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pid\Desktop\CEN\Sandvik-Web-Application\calculators\"/>
    </mc:Choice>
  </mc:AlternateContent>
  <xr:revisionPtr revIDLastSave="0" documentId="13_ncr:1_{841CC035-2558-419F-82D0-540525A0958B}" xr6:coauthVersionLast="45" xr6:coauthVersionMax="45" xr10:uidLastSave="{00000000-0000-0000-0000-000000000000}"/>
  <bookViews>
    <workbookView xWindow="390" yWindow="390" windowWidth="14055" windowHeight="11835" xr2:uid="{00000000-000D-0000-FFFF-FFFF00000000}"/>
  </bookViews>
  <sheets>
    <sheet name="Calculator" sheetId="1" r:id="rId1"/>
    <sheet name="Calc. Sdk" sheetId="2" r:id="rId2"/>
    <sheet name="Production Calculator Comp." sheetId="3" state="hidden" r:id="rId3"/>
    <sheet name="Calc. Comp." sheetId="4" state="hidden" r:id="rId4"/>
    <sheet name="Sheet1" sheetId="5" r:id="rId5"/>
  </sheets>
  <definedNames>
    <definedName name="_xlnm._FilterDatabase" localSheetId="1" hidden="1">'Calc. Sdk'!$AL$62:$AZ$658</definedName>
    <definedName name="DI">'Calc. Sdk'!$DM$14</definedName>
    <definedName name="_xlnm.Print_Area" localSheetId="0">Calculator!$B$1:$P$44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U46" i="2" l="1"/>
  <c r="FY46" i="2"/>
  <c r="CK58" i="2" l="1"/>
  <c r="CM49" i="2" l="1"/>
  <c r="CM44" i="2"/>
  <c r="N23" i="3" l="1"/>
  <c r="I23" i="3"/>
  <c r="D23" i="3"/>
  <c r="N20" i="3"/>
  <c r="I20" i="3"/>
  <c r="D20" i="3"/>
  <c r="I11" i="3"/>
  <c r="D11" i="3"/>
  <c r="N4" i="3"/>
  <c r="FY103" i="2"/>
  <c r="FU103" i="2"/>
  <c r="FY102" i="2"/>
  <c r="FU102" i="2"/>
  <c r="FY101" i="2"/>
  <c r="FU101" i="2"/>
  <c r="FY100" i="2"/>
  <c r="FU100" i="2"/>
  <c r="FY99" i="2"/>
  <c r="FU99" i="2"/>
  <c r="FY98" i="2"/>
  <c r="FU98" i="2"/>
  <c r="FY97" i="2"/>
  <c r="FU97" i="2"/>
  <c r="FY96" i="2"/>
  <c r="FU96" i="2"/>
  <c r="FY95" i="2"/>
  <c r="FU95" i="2"/>
  <c r="FY94" i="2"/>
  <c r="FU94" i="2"/>
  <c r="FY93" i="2"/>
  <c r="FU93" i="2"/>
  <c r="FY92" i="2"/>
  <c r="FU92" i="2"/>
  <c r="FY91" i="2"/>
  <c r="FU91" i="2"/>
  <c r="FY90" i="2"/>
  <c r="FU90" i="2"/>
  <c r="FY89" i="2"/>
  <c r="FU89" i="2"/>
  <c r="FY88" i="2"/>
  <c r="FU88" i="2"/>
  <c r="FY87" i="2"/>
  <c r="FU87" i="2"/>
  <c r="FY86" i="2"/>
  <c r="FU86" i="2"/>
  <c r="FY85" i="2"/>
  <c r="FU85" i="2"/>
  <c r="FY84" i="2"/>
  <c r="FU84" i="2"/>
  <c r="FY83" i="2"/>
  <c r="FU83" i="2"/>
  <c r="CK83" i="2"/>
  <c r="FY82" i="2"/>
  <c r="FU82" i="2"/>
  <c r="CK82" i="2"/>
  <c r="FY81" i="2"/>
  <c r="FU81" i="2"/>
  <c r="CK81" i="2"/>
  <c r="FY80" i="2"/>
  <c r="FU80" i="2"/>
  <c r="CK80" i="2"/>
  <c r="FY79" i="2"/>
  <c r="FU79" i="2"/>
  <c r="CK79" i="2"/>
  <c r="FY78" i="2"/>
  <c r="FU78" i="2"/>
  <c r="CK78" i="2"/>
  <c r="BZ78" i="2"/>
  <c r="FY77" i="2"/>
  <c r="FU77" i="2"/>
  <c r="CK77" i="2"/>
  <c r="BZ77" i="2"/>
  <c r="FY76" i="2"/>
  <c r="FU76" i="2"/>
  <c r="CK76" i="2"/>
  <c r="BZ76" i="2"/>
  <c r="FY75" i="2"/>
  <c r="FU75" i="2"/>
  <c r="CK75" i="2"/>
  <c r="BZ75" i="2"/>
  <c r="FY74" i="2"/>
  <c r="FU74" i="2"/>
  <c r="CK74" i="2"/>
  <c r="BZ74" i="2"/>
  <c r="FY73" i="2"/>
  <c r="FU73" i="2"/>
  <c r="CK73" i="2"/>
  <c r="CH73" i="2"/>
  <c r="BZ73" i="2"/>
  <c r="FY72" i="2"/>
  <c r="FU72" i="2"/>
  <c r="FM72" i="2"/>
  <c r="CK72" i="2"/>
  <c r="CH72" i="2"/>
  <c r="FY71" i="2"/>
  <c r="FU71" i="2"/>
  <c r="CK71" i="2"/>
  <c r="CH71" i="2"/>
  <c r="FY70" i="2"/>
  <c r="FU70" i="2"/>
  <c r="CK70" i="2"/>
  <c r="CH70" i="2"/>
  <c r="FM69" i="2"/>
  <c r="CK69" i="2"/>
  <c r="CH69" i="2"/>
  <c r="CK68" i="2"/>
  <c r="CH68" i="2"/>
  <c r="CK67" i="2"/>
  <c r="CH67" i="2"/>
  <c r="CG67" i="2"/>
  <c r="CD67" i="2"/>
  <c r="CC67" i="2"/>
  <c r="CB67" i="2"/>
  <c r="CA67" i="2"/>
  <c r="BZ67" i="2"/>
  <c r="BY67" i="2"/>
  <c r="BX67" i="2"/>
  <c r="CK66" i="2"/>
  <c r="CH66" i="2"/>
  <c r="CG66" i="2"/>
  <c r="CD66" i="2"/>
  <c r="CC66" i="2"/>
  <c r="CB66" i="2"/>
  <c r="CA66" i="2"/>
  <c r="BZ66" i="2"/>
  <c r="BY66" i="2"/>
  <c r="BX66" i="2"/>
  <c r="FY65" i="2"/>
  <c r="FU65" i="2"/>
  <c r="CK65" i="2"/>
  <c r="CH65" i="2"/>
  <c r="CG65" i="2"/>
  <c r="CD65" i="2"/>
  <c r="CC65" i="2"/>
  <c r="CB65" i="2"/>
  <c r="CA65" i="2"/>
  <c r="BZ65" i="2"/>
  <c r="BY65" i="2"/>
  <c r="BX65" i="2"/>
  <c r="CK64" i="2"/>
  <c r="CH64" i="2"/>
  <c r="CG64" i="2"/>
  <c r="CD64" i="2"/>
  <c r="CC64" i="2"/>
  <c r="CB64" i="2"/>
  <c r="CA64" i="2"/>
  <c r="BZ64" i="2"/>
  <c r="BY64" i="2"/>
  <c r="BX64" i="2"/>
  <c r="CK63" i="2"/>
  <c r="CH63" i="2"/>
  <c r="CG63" i="2"/>
  <c r="CD63" i="2"/>
  <c r="CC63" i="2"/>
  <c r="CB63" i="2"/>
  <c r="CA63" i="2"/>
  <c r="BZ63" i="2"/>
  <c r="BY63" i="2"/>
  <c r="BX63" i="2"/>
  <c r="FY62" i="2"/>
  <c r="FU62" i="2"/>
  <c r="CK62" i="2"/>
  <c r="CH62" i="2"/>
  <c r="CG62" i="2"/>
  <c r="CD62" i="2"/>
  <c r="CC62" i="2"/>
  <c r="CB62" i="2"/>
  <c r="CA62" i="2"/>
  <c r="BZ62" i="2"/>
  <c r="BY62" i="2"/>
  <c r="BX62" i="2"/>
  <c r="CK61" i="2"/>
  <c r="CH61" i="2"/>
  <c r="CG61" i="2"/>
  <c r="CD61" i="2"/>
  <c r="CC61" i="2"/>
  <c r="CB61" i="2"/>
  <c r="CA61" i="2"/>
  <c r="BZ61" i="2"/>
  <c r="BY61" i="2"/>
  <c r="BX61" i="2"/>
  <c r="CK60" i="2"/>
  <c r="CD60" i="2"/>
  <c r="CC60" i="2"/>
  <c r="CB60" i="2"/>
  <c r="CA60" i="2"/>
  <c r="BZ60" i="2"/>
  <c r="BY60" i="2"/>
  <c r="BX60" i="2"/>
  <c r="FY59" i="2"/>
  <c r="FU59" i="2"/>
  <c r="CK59" i="2"/>
  <c r="BU59" i="2"/>
  <c r="FY58" i="2"/>
  <c r="FU58" i="2"/>
  <c r="FY56" i="2"/>
  <c r="FU56" i="2"/>
  <c r="FY55" i="2"/>
  <c r="FU55" i="2"/>
  <c r="FY54" i="2"/>
  <c r="FU54" i="2"/>
  <c r="CP54" i="2"/>
  <c r="FY53" i="2"/>
  <c r="FU53" i="2"/>
  <c r="CM53" i="2"/>
  <c r="CM52" i="2"/>
  <c r="CM51" i="2"/>
  <c r="AJ51" i="2"/>
  <c r="FY50" i="2"/>
  <c r="FU50" i="2"/>
  <c r="CM50" i="2"/>
  <c r="AJ50" i="2"/>
  <c r="FY49" i="2"/>
  <c r="FU49" i="2"/>
  <c r="FY48" i="2"/>
  <c r="FU48" i="2"/>
  <c r="FY47" i="2"/>
  <c r="FU47" i="2"/>
  <c r="FY45" i="2"/>
  <c r="FU45" i="2"/>
  <c r="FY44" i="2"/>
  <c r="FU44" i="2"/>
  <c r="FY43" i="2"/>
  <c r="FU43" i="2"/>
  <c r="FY42" i="2"/>
  <c r="FU42" i="2"/>
  <c r="DU41" i="2"/>
  <c r="DU42" i="2" s="1"/>
  <c r="DU43" i="2" s="1"/>
  <c r="DU44" i="2" s="1"/>
  <c r="DU45" i="2" s="1"/>
  <c r="DU46" i="2" s="1"/>
  <c r="FY40" i="2"/>
  <c r="FU40" i="2"/>
  <c r="FY39" i="2"/>
  <c r="FU39" i="2"/>
  <c r="BB39" i="2"/>
  <c r="AU47" i="2" s="1"/>
  <c r="AU56" i="2" s="1"/>
  <c r="BA39" i="2"/>
  <c r="AV56" i="2" s="1"/>
  <c r="AS39" i="2"/>
  <c r="AR47" i="2" s="1"/>
  <c r="AR56" i="2" s="1"/>
  <c r="AR39" i="2"/>
  <c r="AS56" i="2" s="1"/>
  <c r="FY38" i="2"/>
  <c r="FU38" i="2"/>
  <c r="BB38" i="2"/>
  <c r="AU46" i="2" s="1"/>
  <c r="AU55" i="2" s="1"/>
  <c r="BA38" i="2"/>
  <c r="AV55" i="2" s="1"/>
  <c r="AS38" i="2"/>
  <c r="AR46" i="2" s="1"/>
  <c r="AR55" i="2" s="1"/>
  <c r="AR38" i="2"/>
  <c r="AS55" i="2" s="1"/>
  <c r="BB37" i="2"/>
  <c r="AU45" i="2" s="1"/>
  <c r="AU54" i="2" s="1"/>
  <c r="BA37" i="2"/>
  <c r="AV54" i="2" s="1"/>
  <c r="AS37" i="2"/>
  <c r="AR45" i="2" s="1"/>
  <c r="AR54" i="2" s="1"/>
  <c r="AR37" i="2"/>
  <c r="AS54" i="2" s="1"/>
  <c r="FY36" i="2"/>
  <c r="FU36" i="2"/>
  <c r="BB36" i="2"/>
  <c r="AU44" i="2" s="1"/>
  <c r="AU53" i="2" s="1"/>
  <c r="BA36" i="2"/>
  <c r="AV53" i="2" s="1"/>
  <c r="AV51" i="2" s="1"/>
  <c r="AS36" i="2"/>
  <c r="AR44" i="2" s="1"/>
  <c r="AR53" i="2" s="1"/>
  <c r="AR36" i="2"/>
  <c r="AS53" i="2" s="1"/>
  <c r="DW35" i="2"/>
  <c r="DH35" i="2"/>
  <c r="DT41" i="2" s="1"/>
  <c r="AE35" i="2"/>
  <c r="AH35" i="2" s="1"/>
  <c r="DS30" i="2"/>
  <c r="BO23" i="2"/>
  <c r="DH22" i="2"/>
  <c r="DS41" i="2" s="1"/>
  <c r="DV41" i="2" s="1"/>
  <c r="DH20" i="2"/>
  <c r="FW25" i="2" s="1"/>
  <c r="EX19" i="2"/>
  <c r="EX18" i="2"/>
  <c r="DS16" i="2"/>
  <c r="DT16" i="2" s="1"/>
  <c r="DR16" i="2"/>
  <c r="DI10" i="2"/>
  <c r="FW21" i="2" s="1"/>
  <c r="GI36" i="2" s="1"/>
  <c r="CY10" i="2"/>
  <c r="CZ10" i="2" s="1"/>
  <c r="DB20" i="2" s="1"/>
  <c r="CW10" i="2"/>
  <c r="CX10" i="2" s="1"/>
  <c r="CU10" i="2"/>
  <c r="CV10" i="2" s="1"/>
  <c r="DB8" i="2" s="1"/>
  <c r="CS10" i="2"/>
  <c r="CT10" i="2" s="1"/>
  <c r="CQ10" i="2"/>
  <c r="CR10" i="2" s="1"/>
  <c r="CO10" i="2"/>
  <c r="CP10" i="2" s="1"/>
  <c r="CM10" i="2"/>
  <c r="CN10" i="2" s="1"/>
  <c r="DB14" i="2" s="1"/>
  <c r="CK10" i="2"/>
  <c r="CL10" i="2" s="1"/>
  <c r="FJ7" i="2"/>
  <c r="FK7" i="2" s="1"/>
  <c r="AB6" i="2"/>
  <c r="CH5" i="2"/>
  <c r="DK4" i="2"/>
  <c r="DK3" i="2"/>
  <c r="FK2" i="2"/>
  <c r="FI2" i="2"/>
  <c r="FW29" i="2" s="1"/>
  <c r="EU2" i="2"/>
  <c r="EV2" i="2" s="1"/>
  <c r="EX6" i="2" s="1"/>
  <c r="ES2" i="2"/>
  <c r="ET2" i="2" s="1"/>
  <c r="EQ2" i="2"/>
  <c r="ER2" i="2" s="1"/>
  <c r="EO2" i="2"/>
  <c r="EP2" i="2" s="1"/>
  <c r="EJ2" i="2"/>
  <c r="EH2" i="2"/>
  <c r="EI2" i="2" s="1"/>
  <c r="EF2" i="2"/>
  <c r="EG2" i="2" s="1"/>
  <c r="ED2" i="2"/>
  <c r="EE2" i="2" s="1"/>
  <c r="EB2" i="2"/>
  <c r="EC2" i="2" s="1"/>
  <c r="EA2" i="2"/>
  <c r="DQ2" i="2"/>
  <c r="DY2" i="2" s="1"/>
  <c r="DZ2" i="2" s="1"/>
  <c r="DN2" i="2"/>
  <c r="DO2" i="2" s="1"/>
  <c r="DM2" i="2"/>
  <c r="DM11" i="2" s="1"/>
  <c r="CZ2" i="2"/>
  <c r="DA10" i="2" s="1"/>
  <c r="CY2" i="2"/>
  <c r="CX2" i="2"/>
  <c r="DA9" i="2" s="1"/>
  <c r="CW2" i="2"/>
  <c r="CV2" i="2"/>
  <c r="DA8" i="2" s="1"/>
  <c r="CU2" i="2"/>
  <c r="CT2" i="2"/>
  <c r="DA7" i="2" s="1"/>
  <c r="CS2" i="2"/>
  <c r="CR2" i="2"/>
  <c r="DA6" i="2" s="1"/>
  <c r="CQ2" i="2"/>
  <c r="CP2" i="2"/>
  <c r="DA5" i="2" s="1"/>
  <c r="CO2" i="2"/>
  <c r="CN2" i="2"/>
  <c r="DA4" i="2" s="1"/>
  <c r="CM2" i="2"/>
  <c r="CL2" i="2"/>
  <c r="DA3" i="2" s="1"/>
  <c r="CK2" i="2"/>
  <c r="CI2" i="2"/>
  <c r="CD2" i="2"/>
  <c r="CE2" i="2" s="1"/>
  <c r="CB2" i="2"/>
  <c r="CC2" i="2" s="1"/>
  <c r="BZ2" i="2"/>
  <c r="CA2" i="2" s="1"/>
  <c r="BQ2" i="2"/>
  <c r="BR2" i="2" s="1"/>
  <c r="BO2" i="2"/>
  <c r="BP2" i="2" s="1"/>
  <c r="BM2" i="2"/>
  <c r="BH4" i="2" s="1"/>
  <c r="BH2" i="2" s="1"/>
  <c r="BK2" i="2"/>
  <c r="BM23" i="2" s="1"/>
  <c r="BI2" i="2"/>
  <c r="BJ2" i="2" s="1"/>
  <c r="AY2" i="2"/>
  <c r="AZ2" i="2" s="1"/>
  <c r="AW2" i="2"/>
  <c r="AX2" i="2" s="1"/>
  <c r="BB8" i="2" s="1"/>
  <c r="BC8" i="2" s="1"/>
  <c r="AU2" i="2"/>
  <c r="AV2" i="2" s="1"/>
  <c r="BB7" i="2" s="1"/>
  <c r="BC7" i="2" s="1"/>
  <c r="AS2" i="2"/>
  <c r="AT2" i="2" s="1"/>
  <c r="BB6" i="2" s="1"/>
  <c r="BC6" i="2" s="1"/>
  <c r="AQ2" i="2"/>
  <c r="AR2" i="2" s="1"/>
  <c r="BB5" i="2" s="1"/>
  <c r="BC5" i="2" s="1"/>
  <c r="AO2" i="2"/>
  <c r="AP2" i="2" s="1"/>
  <c r="BB4" i="2" s="1"/>
  <c r="BC4" i="2" s="1"/>
  <c r="AM2" i="2"/>
  <c r="AN2" i="2" s="1"/>
  <c r="BB3" i="2" s="1"/>
  <c r="BC3" i="2" s="1"/>
  <c r="AI2" i="2"/>
  <c r="AD2" i="2"/>
  <c r="AF2" i="2" s="1"/>
  <c r="AG8" i="2" s="1"/>
  <c r="AB2" i="2"/>
  <c r="AB15" i="2" s="1"/>
  <c r="D28" i="1"/>
  <c r="N25" i="1"/>
  <c r="DS31" i="2" s="1"/>
  <c r="I25" i="1"/>
  <c r="DS26" i="2" s="1"/>
  <c r="D25" i="1"/>
  <c r="DS28" i="2" s="1"/>
  <c r="N22" i="1"/>
  <c r="DG9" i="2" s="1"/>
  <c r="DH17" i="2" s="1"/>
  <c r="I22" i="1"/>
  <c r="DS25" i="2" s="1"/>
  <c r="D22" i="1"/>
  <c r="I13" i="1"/>
  <c r="DG4" i="2" s="1"/>
  <c r="DG3" i="2" s="1"/>
  <c r="D13" i="1"/>
  <c r="DG6" i="2" s="1"/>
  <c r="DG5" i="2" s="1"/>
  <c r="N4" i="1"/>
  <c r="DU40" i="2" l="1"/>
  <c r="DU39" i="2" s="1"/>
  <c r="DU38" i="2" s="1"/>
  <c r="DU37" i="2" s="1"/>
  <c r="E38" i="3"/>
  <c r="E41" i="3" s="1"/>
  <c r="E42" i="3" s="1"/>
  <c r="E39" i="1"/>
  <c r="E42" i="1" s="1"/>
  <c r="E43" i="1" s="1"/>
  <c r="AF54" i="2"/>
  <c r="AF56" i="2"/>
  <c r="BF18" i="2"/>
  <c r="AL17" i="2"/>
  <c r="BF23" i="2"/>
  <c r="AL18" i="2"/>
  <c r="AL23" i="2"/>
  <c r="AF50" i="2"/>
  <c r="AF51" i="2"/>
  <c r="BF17" i="2"/>
  <c r="DT40" i="2"/>
  <c r="DT39" i="2" s="1"/>
  <c r="DT38" i="2" s="1"/>
  <c r="DT37" i="2" s="1"/>
  <c r="DT42" i="2"/>
  <c r="DT43" i="2" s="1"/>
  <c r="DT44" i="2" s="1"/>
  <c r="DT45" i="2" s="1"/>
  <c r="DT46" i="2" s="1"/>
  <c r="DM10" i="2"/>
  <c r="DS42" i="2"/>
  <c r="AB11" i="2"/>
  <c r="AB16" i="2"/>
  <c r="GG36" i="2"/>
  <c r="GG39" i="2"/>
  <c r="AB10" i="2"/>
  <c r="DS40" i="2"/>
  <c r="FX29" i="2"/>
  <c r="GG101" i="2"/>
  <c r="GG97" i="2"/>
  <c r="GG93" i="2"/>
  <c r="GG89" i="2"/>
  <c r="GG85" i="2"/>
  <c r="GG76" i="2"/>
  <c r="GG70" i="2"/>
  <c r="GG56" i="2"/>
  <c r="GG51" i="2"/>
  <c r="GG50" i="2"/>
  <c r="GG48" i="2"/>
  <c r="GG46" i="2"/>
  <c r="GG44" i="2"/>
  <c r="GG42" i="2"/>
  <c r="GG40" i="2"/>
  <c r="GG100" i="2"/>
  <c r="GG96" i="2"/>
  <c r="GG92" i="2"/>
  <c r="GG88" i="2"/>
  <c r="GG84" i="2"/>
  <c r="GG73" i="2"/>
  <c r="GG58" i="2"/>
  <c r="GG45" i="2"/>
  <c r="GG102" i="2"/>
  <c r="GG98" i="2"/>
  <c r="GG94" i="2"/>
  <c r="GG90" i="2"/>
  <c r="GG86" i="2"/>
  <c r="GG75" i="2"/>
  <c r="GG72" i="2"/>
  <c r="GG62" i="2"/>
  <c r="GG60" i="2"/>
  <c r="GG49" i="2"/>
  <c r="GG43" i="2"/>
  <c r="GG37" i="2"/>
  <c r="GG103" i="2"/>
  <c r="GG99" i="2"/>
  <c r="GG95" i="2"/>
  <c r="GG91" i="2"/>
  <c r="GG87" i="2"/>
  <c r="GG83" i="2"/>
  <c r="GG82" i="2"/>
  <c r="GG81" i="2"/>
  <c r="GG80" i="2"/>
  <c r="GG79" i="2"/>
  <c r="GG78" i="2"/>
  <c r="GG74" i="2"/>
  <c r="GG65" i="2"/>
  <c r="GG63" i="2"/>
  <c r="GG61" i="2"/>
  <c r="GG59" i="2"/>
  <c r="GG54" i="2"/>
  <c r="GG53" i="2"/>
  <c r="GG52" i="2"/>
  <c r="GG38" i="2"/>
  <c r="GG77" i="2"/>
  <c r="GG71" i="2"/>
  <c r="GG64" i="2"/>
  <c r="GG57" i="2"/>
  <c r="GG55" i="2"/>
  <c r="GG47" i="2"/>
  <c r="GG41" i="2"/>
  <c r="GI38" i="2"/>
  <c r="EX21" i="2"/>
  <c r="EM8" i="2"/>
  <c r="EL8" i="2" s="1"/>
  <c r="AL7" i="2"/>
  <c r="CH8" i="2"/>
  <c r="BF12" i="2"/>
  <c r="AL16" i="2"/>
  <c r="BF20" i="2"/>
  <c r="AL22" i="2"/>
  <c r="BN27" i="2"/>
  <c r="AF46" i="2"/>
  <c r="CJ3" i="2"/>
  <c r="CH4" i="2"/>
  <c r="BF5" i="2"/>
  <c r="AL6" i="2"/>
  <c r="CH7" i="2"/>
  <c r="BF10" i="2"/>
  <c r="BF11" i="2"/>
  <c r="AB13" i="2"/>
  <c r="AL15" i="2"/>
  <c r="BN28" i="2"/>
  <c r="BN38" i="2"/>
  <c r="AF39" i="2"/>
  <c r="AF42" i="2"/>
  <c r="AF53" i="2"/>
  <c r="BV5" i="2"/>
  <c r="CH3" i="2"/>
  <c r="BF4" i="2"/>
  <c r="AL5" i="2"/>
  <c r="AL3" i="2"/>
  <c r="CJ4" i="2"/>
  <c r="CJ2" i="2" s="1"/>
  <c r="CH6" i="2"/>
  <c r="CJ7" i="2"/>
  <c r="AL8" i="2"/>
  <c r="AL9" i="2"/>
  <c r="AL14" i="2"/>
  <c r="BF15" i="2"/>
  <c r="AL21" i="2"/>
  <c r="AF45" i="2"/>
  <c r="AF55" i="2"/>
  <c r="BV4" i="2"/>
  <c r="BF3" i="2"/>
  <c r="AL4" i="2"/>
  <c r="CJ5" i="2"/>
  <c r="CJ6" i="2"/>
  <c r="BF8" i="2"/>
  <c r="BF9" i="2"/>
  <c r="AL12" i="2"/>
  <c r="BF14" i="2"/>
  <c r="BF21" i="2"/>
  <c r="BN25" i="2"/>
  <c r="AF36" i="2"/>
  <c r="BN37" i="2"/>
  <c r="BH3" i="2"/>
  <c r="BN2" i="2"/>
  <c r="BV3" i="2" s="1"/>
  <c r="BS2" i="2"/>
  <c r="BT2" i="2" s="1"/>
  <c r="BV6" i="2" s="1"/>
  <c r="DM14" i="2"/>
  <c r="DO14" i="2" s="1"/>
  <c r="DO15" i="2" s="1"/>
  <c r="EM3" i="2"/>
  <c r="EL3" i="2" s="1"/>
  <c r="EM4" i="2"/>
  <c r="EL4" i="2" s="1"/>
  <c r="EM17" i="2"/>
  <c r="EL17" i="2" s="1"/>
  <c r="EM14" i="2"/>
  <c r="EM12" i="2"/>
  <c r="EL12" i="2" s="1"/>
  <c r="EM11" i="2"/>
  <c r="EL11" i="2" s="1"/>
  <c r="EM13" i="2"/>
  <c r="EL13" i="2" s="1"/>
  <c r="EM20" i="2"/>
  <c r="EM22" i="2"/>
  <c r="EL22" i="2" s="1"/>
  <c r="DS27" i="2"/>
  <c r="DS29" i="2" s="1"/>
  <c r="EM6" i="2"/>
  <c r="EL6" i="2" s="1"/>
  <c r="EM16" i="2"/>
  <c r="EL16" i="2" s="1"/>
  <c r="EM18" i="2"/>
  <c r="EL18" i="2" s="1"/>
  <c r="EM10" i="2"/>
  <c r="EL10" i="2" s="1"/>
  <c r="EM7" i="2"/>
  <c r="EL7" i="2" s="1"/>
  <c r="EM9" i="2"/>
  <c r="EL9" i="2" s="1"/>
  <c r="EM21" i="2"/>
  <c r="EM23" i="2"/>
  <c r="EL23" i="2" s="1"/>
  <c r="EM5" i="2"/>
  <c r="EL5" i="2" s="1"/>
  <c r="EL14" i="2"/>
  <c r="EM15" i="2"/>
  <c r="EL15" i="2" s="1"/>
  <c r="EM19" i="2"/>
  <c r="DB16" i="2"/>
  <c r="DB6" i="2"/>
  <c r="BB9" i="2"/>
  <c r="BC9" i="2" s="1"/>
  <c r="AE2" i="2"/>
  <c r="BR41" i="2" s="1"/>
  <c r="BN41" i="2" s="1"/>
  <c r="FZ25" i="2"/>
  <c r="D39" i="1"/>
  <c r="D38" i="3"/>
  <c r="FW27" i="2"/>
  <c r="GI82" i="2"/>
  <c r="GI78" i="2"/>
  <c r="GI76" i="2"/>
  <c r="GI74" i="2"/>
  <c r="GI71" i="2"/>
  <c r="GI55" i="2"/>
  <c r="GI52" i="2"/>
  <c r="GI45" i="2"/>
  <c r="GI41" i="2"/>
  <c r="GI81" i="2"/>
  <c r="GI72" i="2"/>
  <c r="GI65" i="2"/>
  <c r="GI61" i="2"/>
  <c r="GI60" i="2"/>
  <c r="GI58" i="2"/>
  <c r="GI54" i="2"/>
  <c r="GI50" i="2"/>
  <c r="GI48" i="2"/>
  <c r="GI47" i="2"/>
  <c r="GI43" i="2"/>
  <c r="GI80" i="2"/>
  <c r="GI77" i="2"/>
  <c r="GI75" i="2"/>
  <c r="GI73" i="2"/>
  <c r="GI70" i="2"/>
  <c r="GI57" i="2"/>
  <c r="GI53" i="2"/>
  <c r="GI42" i="2"/>
  <c r="GI40" i="2"/>
  <c r="GI39" i="2"/>
  <c r="GI49" i="2"/>
  <c r="GI37" i="2"/>
  <c r="GI103" i="2"/>
  <c r="GI102" i="2"/>
  <c r="GI101" i="2"/>
  <c r="GI100" i="2"/>
  <c r="GI99" i="2"/>
  <c r="GI98" i="2"/>
  <c r="GI97" i="2"/>
  <c r="GI96" i="2"/>
  <c r="GI95" i="2"/>
  <c r="GI94" i="2"/>
  <c r="GI93" i="2"/>
  <c r="GI92" i="2"/>
  <c r="GI91" i="2"/>
  <c r="GI90" i="2"/>
  <c r="GI89" i="2"/>
  <c r="GI88" i="2"/>
  <c r="GI87" i="2"/>
  <c r="GI86" i="2"/>
  <c r="GI85" i="2"/>
  <c r="GI84" i="2"/>
  <c r="GI83" i="2"/>
  <c r="GI79" i="2"/>
  <c r="GI64" i="2"/>
  <c r="GI63" i="2"/>
  <c r="GI62" i="2"/>
  <c r="GI59" i="2"/>
  <c r="GI51" i="2"/>
  <c r="GI46" i="2"/>
  <c r="GI44" i="2"/>
  <c r="GI56" i="2"/>
  <c r="DB9" i="2"/>
  <c r="DB19" i="2"/>
  <c r="DB17" i="2"/>
  <c r="DB7" i="2"/>
  <c r="DB5" i="2"/>
  <c r="DB15" i="2"/>
  <c r="BB2" i="2"/>
  <c r="DB3" i="2"/>
  <c r="DB13" i="2"/>
  <c r="BL2" i="2"/>
  <c r="FA2" i="2"/>
  <c r="FE2" i="2"/>
  <c r="AG9" i="2"/>
  <c r="DB10" i="2"/>
  <c r="DD10" i="2" s="1"/>
  <c r="DB18" i="2"/>
  <c r="BK23" i="2"/>
  <c r="BL23" i="2" s="1"/>
  <c r="AJ35" i="2"/>
  <c r="AG35" i="2"/>
  <c r="DB4" i="2"/>
  <c r="FC2" i="2"/>
  <c r="FD2" i="2" s="1"/>
  <c r="FD29" i="2" s="1"/>
  <c r="BN15" i="2"/>
  <c r="BN16" i="2"/>
  <c r="BF6" i="2"/>
  <c r="BF7" i="2"/>
  <c r="AL13" i="2"/>
  <c r="BF16" i="2"/>
  <c r="AL19" i="2"/>
  <c r="BF22" i="2"/>
  <c r="BN29" i="2"/>
  <c r="BN31" i="2"/>
  <c r="BN33" i="2"/>
  <c r="BN35" i="2"/>
  <c r="BN36" i="2"/>
  <c r="BN39" i="2"/>
  <c r="AF44" i="2"/>
  <c r="AF47" i="2"/>
  <c r="AF48" i="2"/>
  <c r="AL10" i="2"/>
  <c r="AL11" i="2"/>
  <c r="BF13" i="2"/>
  <c r="BF19" i="2"/>
  <c r="AL20" i="2"/>
  <c r="BN24" i="2"/>
  <c r="BN26" i="2"/>
  <c r="BN30" i="2"/>
  <c r="AF37" i="2"/>
  <c r="AF38" i="2"/>
  <c r="AF40" i="2"/>
  <c r="AF41" i="2"/>
  <c r="AF43" i="2"/>
  <c r="AF49" i="2"/>
  <c r="DR2" i="2"/>
  <c r="DS2" i="2"/>
  <c r="DT2" i="2" s="1"/>
  <c r="DW2" i="2"/>
  <c r="DX2" i="2" s="1"/>
  <c r="DU2" i="2"/>
  <c r="DV2" i="2" s="1"/>
  <c r="AF35" i="2" l="1"/>
  <c r="CH2" i="2"/>
  <c r="CK40" i="2" s="1"/>
  <c r="BV61" i="2" s="1"/>
  <c r="DD4" i="2" s="1"/>
  <c r="DV42" i="2"/>
  <c r="DS43" i="2"/>
  <c r="DS39" i="2"/>
  <c r="DV40" i="2"/>
  <c r="AL2" i="2"/>
  <c r="EK25" i="2"/>
  <c r="BC2" i="2"/>
  <c r="DM12" i="2"/>
  <c r="BV2" i="2"/>
  <c r="I15" i="1" s="1"/>
  <c r="C7" i="3"/>
  <c r="C7" i="1"/>
  <c r="FD30" i="2"/>
  <c r="DM15" i="2"/>
  <c r="DM17" i="2" s="1"/>
  <c r="BR40" i="2"/>
  <c r="BN40" i="2" s="1"/>
  <c r="BR42" i="2"/>
  <c r="BN42" i="2" s="1"/>
  <c r="BR43" i="2"/>
  <c r="BN43" i="2" s="1"/>
  <c r="BN23" i="2" s="1"/>
  <c r="AN51" i="2"/>
  <c r="AU51" i="2" s="1"/>
  <c r="AI51" i="2" s="1"/>
  <c r="EL25" i="2"/>
  <c r="FN32" i="2"/>
  <c r="FB2" i="2"/>
  <c r="EK20" i="2"/>
  <c r="EL20" i="2" s="1"/>
  <c r="EL2" i="2" s="1"/>
  <c r="EX3" i="2" s="1"/>
  <c r="EK19" i="2"/>
  <c r="EL19" i="2" s="1"/>
  <c r="EM25" i="2"/>
  <c r="EK21" i="2"/>
  <c r="EL21" i="2" s="1"/>
  <c r="M29" i="3"/>
  <c r="M30" i="1"/>
  <c r="BV64" i="2" l="1"/>
  <c r="CP45" i="2"/>
  <c r="BV65" i="2"/>
  <c r="DD8" i="2" s="1"/>
  <c r="BV62" i="2"/>
  <c r="DD5" i="2" s="1"/>
  <c r="CQ45" i="2"/>
  <c r="BV67" i="2"/>
  <c r="BV60" i="2"/>
  <c r="DD3" i="2" s="1"/>
  <c r="CM40" i="2"/>
  <c r="BV66" i="2"/>
  <c r="DD9" i="2" s="1"/>
  <c r="FO12" i="2"/>
  <c r="BV63" i="2"/>
  <c r="DD6" i="2" s="1"/>
  <c r="DV39" i="2"/>
  <c r="DS38" i="2"/>
  <c r="DS44" i="2"/>
  <c r="DV43" i="2"/>
  <c r="N15" i="3"/>
  <c r="N14" i="3" s="1"/>
  <c r="N16" i="1"/>
  <c r="BS40" i="2" s="1"/>
  <c r="DD7" i="2"/>
  <c r="DD2" i="2" s="1"/>
  <c r="CK42" i="2" s="1"/>
  <c r="CL42" i="2" s="1"/>
  <c r="CM42" i="2" s="1"/>
  <c r="CN42" i="2" s="1"/>
  <c r="CP47" i="2" s="1"/>
  <c r="DM13" i="2"/>
  <c r="DM8" i="2" s="1"/>
  <c r="BW2" i="2"/>
  <c r="DG7" i="2"/>
  <c r="DG8" i="2" s="1"/>
  <c r="I14" i="3"/>
  <c r="D17" i="3"/>
  <c r="EK2" i="2"/>
  <c r="D19" i="1"/>
  <c r="AR51" i="2"/>
  <c r="AI50" i="2" s="1"/>
  <c r="AI35" i="2" s="1"/>
  <c r="AL35" i="2" s="1"/>
  <c r="I32" i="1" s="1"/>
  <c r="AS51" i="2"/>
  <c r="FS32" i="2"/>
  <c r="FO32" i="2"/>
  <c r="FP32" i="2"/>
  <c r="FR32" i="2"/>
  <c r="FQ32" i="2"/>
  <c r="EX5" i="2"/>
  <c r="EM2" i="2"/>
  <c r="D26" i="3"/>
  <c r="EX4" i="2"/>
  <c r="D27" i="1"/>
  <c r="BV59" i="2" l="1"/>
  <c r="CL40" i="2" s="1"/>
  <c r="FW23" i="2"/>
  <c r="DS45" i="2"/>
  <c r="DV44" i="2"/>
  <c r="DS37" i="2"/>
  <c r="DV37" i="2" s="1"/>
  <c r="DV38" i="2"/>
  <c r="N15" i="1"/>
  <c r="GE36" i="2"/>
  <c r="GF36" i="2" s="1"/>
  <c r="GH36" i="2" s="1"/>
  <c r="GJ36" i="2" s="1"/>
  <c r="GK36" i="2" s="1"/>
  <c r="I40" i="1"/>
  <c r="DM9" i="2"/>
  <c r="I39" i="3"/>
  <c r="I38" i="3" s="1"/>
  <c r="GE42" i="2"/>
  <c r="GF42" i="2" s="1"/>
  <c r="FF9" i="2"/>
  <c r="GE84" i="2"/>
  <c r="GF84" i="2" s="1"/>
  <c r="GE101" i="2"/>
  <c r="GF101" i="2" s="1"/>
  <c r="GE43" i="2"/>
  <c r="GF43" i="2" s="1"/>
  <c r="FF20" i="2"/>
  <c r="GE52" i="2"/>
  <c r="GF52" i="2" s="1"/>
  <c r="GH52" i="2" s="1"/>
  <c r="GJ52" i="2" s="1"/>
  <c r="GK52" i="2" s="1"/>
  <c r="FF11" i="2"/>
  <c r="GE82" i="2"/>
  <c r="GF82" i="2" s="1"/>
  <c r="GE99" i="2"/>
  <c r="GF99" i="2" s="1"/>
  <c r="FF12" i="2"/>
  <c r="GE79" i="2"/>
  <c r="GF79" i="2" s="1"/>
  <c r="GH79" i="2" s="1"/>
  <c r="GJ79" i="2" s="1"/>
  <c r="GK79" i="2" s="1"/>
  <c r="GE86" i="2"/>
  <c r="GF86" i="2" s="1"/>
  <c r="GE64" i="2"/>
  <c r="GF64" i="2" s="1"/>
  <c r="FF15" i="2"/>
  <c r="I18" i="3"/>
  <c r="I17" i="3" s="1"/>
  <c r="DR11" i="2"/>
  <c r="I19" i="1"/>
  <c r="I18" i="1" s="1"/>
  <c r="GE76" i="2"/>
  <c r="GF76" i="2" s="1"/>
  <c r="GH76" i="2" s="1"/>
  <c r="GJ76" i="2" s="1"/>
  <c r="GK76" i="2" s="1"/>
  <c r="GE75" i="2"/>
  <c r="GF75" i="2" s="1"/>
  <c r="GE98" i="2"/>
  <c r="GF98" i="2" s="1"/>
  <c r="FF5" i="2"/>
  <c r="GE102" i="2"/>
  <c r="GF102" i="2" s="1"/>
  <c r="GH102" i="2" s="1"/>
  <c r="GJ102" i="2" s="1"/>
  <c r="GK102" i="2" s="1"/>
  <c r="GE87" i="2"/>
  <c r="GF87" i="2" s="1"/>
  <c r="GE100" i="2"/>
  <c r="GF100" i="2" s="1"/>
  <c r="GE37" i="2"/>
  <c r="GF37" i="2" s="1"/>
  <c r="GH37" i="2" s="1"/>
  <c r="GE62" i="2"/>
  <c r="GF62" i="2" s="1"/>
  <c r="GE83" i="2"/>
  <c r="GF83" i="2" s="1"/>
  <c r="GE55" i="2"/>
  <c r="GF55" i="2" s="1"/>
  <c r="GH55" i="2" s="1"/>
  <c r="GJ55" i="2" s="1"/>
  <c r="GK55" i="2" s="1"/>
  <c r="GE78" i="2"/>
  <c r="GF78" i="2" s="1"/>
  <c r="GH78" i="2" s="1"/>
  <c r="GJ78" i="2" s="1"/>
  <c r="GK78" i="2" s="1"/>
  <c r="FF14" i="2"/>
  <c r="GE93" i="2"/>
  <c r="GF93" i="2" s="1"/>
  <c r="GE92" i="2"/>
  <c r="GF92" i="2" s="1"/>
  <c r="GE81" i="2"/>
  <c r="GF81" i="2" s="1"/>
  <c r="GE60" i="2"/>
  <c r="GF60" i="2" s="1"/>
  <c r="GE103" i="2"/>
  <c r="GF103" i="2" s="1"/>
  <c r="GE59" i="2"/>
  <c r="GF59" i="2" s="1"/>
  <c r="GE77" i="2"/>
  <c r="GF77" i="2" s="1"/>
  <c r="GH77" i="2" s="1"/>
  <c r="GJ77" i="2" s="1"/>
  <c r="GK77" i="2" s="1"/>
  <c r="GE44" i="2"/>
  <c r="GF44" i="2" s="1"/>
  <c r="GE54" i="2"/>
  <c r="GF54" i="2" s="1"/>
  <c r="GE39" i="2"/>
  <c r="GF39" i="2" s="1"/>
  <c r="GH39" i="2" s="1"/>
  <c r="GE61" i="2"/>
  <c r="GF61" i="2" s="1"/>
  <c r="GH61" i="2" s="1"/>
  <c r="GJ61" i="2" s="1"/>
  <c r="GK61" i="2" s="1"/>
  <c r="FF6" i="2"/>
  <c r="FF8" i="2"/>
  <c r="FF17" i="2"/>
  <c r="FF21" i="2"/>
  <c r="GE95" i="2"/>
  <c r="GF95" i="2" s="1"/>
  <c r="GE94" i="2"/>
  <c r="GF94" i="2" s="1"/>
  <c r="GE40" i="2"/>
  <c r="GF40" i="2" s="1"/>
  <c r="GE85" i="2"/>
  <c r="GF85" i="2" s="1"/>
  <c r="GH85" i="2" s="1"/>
  <c r="GJ85" i="2" s="1"/>
  <c r="GK85" i="2" s="1"/>
  <c r="GE57" i="2"/>
  <c r="GF57" i="2" s="1"/>
  <c r="GE90" i="2"/>
  <c r="GF90" i="2" s="1"/>
  <c r="GE41" i="2"/>
  <c r="GF41" i="2" s="1"/>
  <c r="GE71" i="2"/>
  <c r="GF71" i="2" s="1"/>
  <c r="GE73" i="2"/>
  <c r="GF73" i="2" s="1"/>
  <c r="GE50" i="2"/>
  <c r="GF50" i="2" s="1"/>
  <c r="GE80" i="2"/>
  <c r="GF80" i="2" s="1"/>
  <c r="GE51" i="2"/>
  <c r="GF51" i="2" s="1"/>
  <c r="GH51" i="2" s="1"/>
  <c r="GJ51" i="2" s="1"/>
  <c r="GK51" i="2" s="1"/>
  <c r="GE49" i="2"/>
  <c r="GF49" i="2" s="1"/>
  <c r="DE2" i="2"/>
  <c r="GE72" i="2"/>
  <c r="GF72" i="2" s="1"/>
  <c r="GH72" i="2" s="1"/>
  <c r="GJ72" i="2" s="1"/>
  <c r="GK72" i="2" s="1"/>
  <c r="GE58" i="2"/>
  <c r="GF58" i="2" s="1"/>
  <c r="FF16" i="2"/>
  <c r="GE47" i="2"/>
  <c r="GF47" i="2" s="1"/>
  <c r="FF23" i="2"/>
  <c r="FF4" i="2"/>
  <c r="GE74" i="2"/>
  <c r="GF74" i="2" s="1"/>
  <c r="GE48" i="2"/>
  <c r="GF48" i="2" s="1"/>
  <c r="GE63" i="2"/>
  <c r="GF63" i="2" s="1"/>
  <c r="GH63" i="2" s="1"/>
  <c r="GJ63" i="2" s="1"/>
  <c r="GK63" i="2" s="1"/>
  <c r="GE45" i="2"/>
  <c r="GF45" i="2" s="1"/>
  <c r="GE91" i="2"/>
  <c r="GF91" i="2" s="1"/>
  <c r="GE46" i="2"/>
  <c r="GF46" i="2" s="1"/>
  <c r="GE65" i="2"/>
  <c r="GF65" i="2" s="1"/>
  <c r="GE70" i="2"/>
  <c r="GF70" i="2" s="1"/>
  <c r="GE89" i="2"/>
  <c r="GF89" i="2" s="1"/>
  <c r="GE88" i="2"/>
  <c r="GF88" i="2" s="1"/>
  <c r="GH88" i="2" s="1"/>
  <c r="GJ88" i="2" s="1"/>
  <c r="GK88" i="2" s="1"/>
  <c r="GE56" i="2"/>
  <c r="GF56" i="2" s="1"/>
  <c r="GE97" i="2"/>
  <c r="GF97" i="2" s="1"/>
  <c r="GE96" i="2"/>
  <c r="GF96" i="2" s="1"/>
  <c r="GE38" i="2"/>
  <c r="GF38" i="2" s="1"/>
  <c r="FF18" i="2"/>
  <c r="FF22" i="2"/>
  <c r="FF10" i="2"/>
  <c r="FF3" i="2"/>
  <c r="FF7" i="2"/>
  <c r="FF13" i="2"/>
  <c r="GE53" i="2"/>
  <c r="GF53" i="2" s="1"/>
  <c r="FF19" i="2"/>
  <c r="CH86" i="2"/>
  <c r="CH83" i="2"/>
  <c r="CH81" i="2"/>
  <c r="CH79" i="2"/>
  <c r="CH76" i="2"/>
  <c r="CH75" i="2" s="1"/>
  <c r="CF45" i="2" s="1"/>
  <c r="CF47" i="2" s="1"/>
  <c r="CH87" i="2"/>
  <c r="CH85" i="2"/>
  <c r="CH77" i="2"/>
  <c r="CH88" i="2"/>
  <c r="CH84" i="2"/>
  <c r="CH82" i="2"/>
  <c r="CH80" i="2"/>
  <c r="CH78" i="2"/>
  <c r="EX2" i="2"/>
  <c r="DH18" i="2" l="1"/>
  <c r="DI2" i="2" s="1"/>
  <c r="DH16" i="2"/>
  <c r="DI7" i="2" s="1"/>
  <c r="D29" i="3" s="1"/>
  <c r="D28" i="3" s="1"/>
  <c r="DS46" i="2"/>
  <c r="DV46" i="2" s="1"/>
  <c r="DV45" i="2"/>
  <c r="DG2" i="2"/>
  <c r="N19" i="1" s="1"/>
  <c r="M27" i="1" s="1"/>
  <c r="I39" i="1"/>
  <c r="BY69" i="2"/>
  <c r="CQ47" i="2"/>
  <c r="CQ49" i="2" s="1"/>
  <c r="CP49" i="2"/>
  <c r="D14" i="3"/>
  <c r="D16" i="1"/>
  <c r="FF2" i="2"/>
  <c r="GH95" i="2"/>
  <c r="GJ95" i="2" s="1"/>
  <c r="GK95" i="2" s="1"/>
  <c r="GH98" i="2"/>
  <c r="GJ98" i="2" s="1"/>
  <c r="GK98" i="2" s="1"/>
  <c r="GH42" i="2"/>
  <c r="GJ42" i="2" s="1"/>
  <c r="GK42" i="2" s="1"/>
  <c r="GH53" i="2"/>
  <c r="GJ53" i="2" s="1"/>
  <c r="GK53" i="2" s="1"/>
  <c r="GH40" i="2"/>
  <c r="GJ40" i="2" s="1"/>
  <c r="GK40" i="2" s="1"/>
  <c r="GH58" i="2"/>
  <c r="GJ58" i="2" s="1"/>
  <c r="GK58" i="2" s="1"/>
  <c r="GH92" i="2"/>
  <c r="GJ92" i="2" s="1"/>
  <c r="GK92" i="2" s="1"/>
  <c r="GH70" i="2"/>
  <c r="GJ70" i="2" s="1"/>
  <c r="GK70" i="2" s="1"/>
  <c r="GH73" i="2"/>
  <c r="GJ73" i="2" s="1"/>
  <c r="GK73" i="2" s="1"/>
  <c r="GH50" i="2"/>
  <c r="GJ50" i="2" s="1"/>
  <c r="GK50" i="2" s="1"/>
  <c r="GH83" i="2"/>
  <c r="GJ83" i="2" s="1"/>
  <c r="GK83" i="2" s="1"/>
  <c r="GH75" i="2"/>
  <c r="GJ75" i="2" s="1"/>
  <c r="GK75" i="2" s="1"/>
  <c r="GH38" i="2"/>
  <c r="GJ38" i="2" s="1"/>
  <c r="GK38" i="2" s="1"/>
  <c r="GH60" i="2"/>
  <c r="GJ60" i="2" s="1"/>
  <c r="GK60" i="2" s="1"/>
  <c r="GH56" i="2"/>
  <c r="GJ56" i="2" s="1"/>
  <c r="GK56" i="2" s="1"/>
  <c r="GH48" i="2"/>
  <c r="GJ48" i="2" s="1"/>
  <c r="GK48" i="2" s="1"/>
  <c r="GH99" i="2"/>
  <c r="GJ99" i="2" s="1"/>
  <c r="GK99" i="2" s="1"/>
  <c r="GH59" i="2"/>
  <c r="GJ59" i="2" s="1"/>
  <c r="GK59" i="2" s="1"/>
  <c r="GH74" i="2"/>
  <c r="GJ74" i="2" s="1"/>
  <c r="GK74" i="2" s="1"/>
  <c r="GH89" i="2"/>
  <c r="GJ89" i="2" s="1"/>
  <c r="GK89" i="2" s="1"/>
  <c r="GH82" i="2"/>
  <c r="GJ82" i="2" s="1"/>
  <c r="GK82" i="2" s="1"/>
  <c r="GH44" i="2"/>
  <c r="GJ44" i="2" s="1"/>
  <c r="GK44" i="2" s="1"/>
  <c r="GH64" i="2"/>
  <c r="GJ64" i="2" s="1"/>
  <c r="GK64" i="2" s="1"/>
  <c r="GH65" i="2"/>
  <c r="GJ65" i="2" s="1"/>
  <c r="GK65" i="2" s="1"/>
  <c r="GH101" i="2"/>
  <c r="GJ101" i="2" s="1"/>
  <c r="GK101" i="2" s="1"/>
  <c r="GH43" i="2"/>
  <c r="GJ43" i="2" s="1"/>
  <c r="GK43" i="2" s="1"/>
  <c r="GH81" i="2"/>
  <c r="GJ81" i="2" s="1"/>
  <c r="GK81" i="2" s="1"/>
  <c r="GH93" i="2"/>
  <c r="GJ93" i="2" s="1"/>
  <c r="GK93" i="2" s="1"/>
  <c r="GH54" i="2"/>
  <c r="GJ54" i="2" s="1"/>
  <c r="GK54" i="2" s="1"/>
  <c r="GH96" i="2"/>
  <c r="GJ96" i="2" s="1"/>
  <c r="GK96" i="2" s="1"/>
  <c r="GH47" i="2"/>
  <c r="GJ47" i="2" s="1"/>
  <c r="GK47" i="2" s="1"/>
  <c r="GH45" i="2"/>
  <c r="GJ45" i="2" s="1"/>
  <c r="GK45" i="2" s="1"/>
  <c r="GH57" i="2"/>
  <c r="GJ57" i="2" s="1"/>
  <c r="GK57" i="2" s="1"/>
  <c r="GH84" i="2"/>
  <c r="GJ84" i="2" s="1"/>
  <c r="GK84" i="2" s="1"/>
  <c r="GH87" i="2"/>
  <c r="GJ87" i="2" s="1"/>
  <c r="GK87" i="2" s="1"/>
  <c r="GH41" i="2"/>
  <c r="GJ41" i="2" s="1"/>
  <c r="GK41" i="2" s="1"/>
  <c r="GH97" i="2"/>
  <c r="GJ97" i="2" s="1"/>
  <c r="GK97" i="2" s="1"/>
  <c r="GH90" i="2"/>
  <c r="GJ90" i="2" s="1"/>
  <c r="GK90" i="2" s="1"/>
  <c r="GH86" i="2"/>
  <c r="GJ86" i="2" s="1"/>
  <c r="GK86" i="2" s="1"/>
  <c r="GH100" i="2"/>
  <c r="GJ100" i="2" s="1"/>
  <c r="GK100" i="2" s="1"/>
  <c r="GH103" i="2"/>
  <c r="GJ103" i="2" s="1"/>
  <c r="GK103" i="2" s="1"/>
  <c r="GH94" i="2"/>
  <c r="GJ94" i="2" s="1"/>
  <c r="GK94" i="2" s="1"/>
  <c r="GH46" i="2"/>
  <c r="GJ46" i="2" s="1"/>
  <c r="GK46" i="2" s="1"/>
  <c r="GH71" i="2"/>
  <c r="GJ71" i="2" s="1"/>
  <c r="GK71" i="2" s="1"/>
  <c r="GH80" i="2"/>
  <c r="GJ80" i="2" s="1"/>
  <c r="GK80" i="2" s="1"/>
  <c r="GH49" i="2"/>
  <c r="GJ49" i="2" s="1"/>
  <c r="GK49" i="2" s="1"/>
  <c r="GH62" i="2"/>
  <c r="GJ62" i="2" s="1"/>
  <c r="GK62" i="2" s="1"/>
  <c r="GH91" i="2"/>
  <c r="GJ91" i="2" s="1"/>
  <c r="GK91" i="2" s="1"/>
  <c r="GJ37" i="2"/>
  <c r="GK37" i="2" s="1"/>
  <c r="GJ39" i="2"/>
  <c r="GK39" i="2" s="1"/>
  <c r="DH19" i="2" l="1"/>
  <c r="GK34" i="2"/>
  <c r="GB25" i="2" s="1"/>
  <c r="M27" i="3" s="1"/>
  <c r="CL59" i="2"/>
  <c r="CM60" i="2"/>
  <c r="CM64" i="2"/>
  <c r="CM68" i="2"/>
  <c r="CM72" i="2"/>
  <c r="CM76" i="2"/>
  <c r="CM80" i="2"/>
  <c r="CM58" i="2"/>
  <c r="CM71" i="2"/>
  <c r="CM61" i="2"/>
  <c r="CM65" i="2"/>
  <c r="CM69" i="2"/>
  <c r="CM73" i="2"/>
  <c r="CM77" i="2"/>
  <c r="CM81" i="2"/>
  <c r="CM62" i="2"/>
  <c r="CM66" i="2"/>
  <c r="CM70" i="2"/>
  <c r="CM74" i="2"/>
  <c r="CM78" i="2"/>
  <c r="CM82" i="2"/>
  <c r="CL58" i="2"/>
  <c r="CM59" i="2"/>
  <c r="CM63" i="2"/>
  <c r="CM67" i="2"/>
  <c r="CM75" i="2"/>
  <c r="CM79" i="2"/>
  <c r="CM83" i="2"/>
  <c r="N18" i="3"/>
  <c r="N17" i="3" s="1"/>
  <c r="D30" i="1"/>
  <c r="D29" i="1" s="1"/>
  <c r="N18" i="1"/>
  <c r="DI8" i="2"/>
  <c r="FD33" i="2" s="1"/>
  <c r="GK68" i="2"/>
  <c r="CL77" i="2"/>
  <c r="CL75" i="2"/>
  <c r="CL72" i="2"/>
  <c r="CL68" i="2"/>
  <c r="CL71" i="2"/>
  <c r="CL61" i="2"/>
  <c r="CL82" i="2"/>
  <c r="CL74" i="2"/>
  <c r="CL64" i="2"/>
  <c r="CL70" i="2"/>
  <c r="CL63" i="2"/>
  <c r="CL67" i="2"/>
  <c r="CL62" i="2"/>
  <c r="CL76" i="2"/>
  <c r="CL78" i="2"/>
  <c r="CL65" i="2"/>
  <c r="CL79" i="2"/>
  <c r="CL69" i="2"/>
  <c r="CL60" i="2"/>
  <c r="CL73" i="2"/>
  <c r="CL83" i="2"/>
  <c r="CL81" i="2"/>
  <c r="CL66" i="2"/>
  <c r="CL80" i="2"/>
  <c r="CP52" i="2" l="1"/>
  <c r="CQ52" i="2"/>
  <c r="CQ54" i="2" s="1"/>
  <c r="DI3" i="2" s="1"/>
  <c r="DI4" i="2" s="1"/>
  <c r="I30" i="1"/>
  <c r="I29" i="1" s="1"/>
  <c r="M26" i="3"/>
  <c r="I29" i="3"/>
  <c r="I28" i="3" s="1"/>
  <c r="M28" i="3"/>
  <c r="M28" i="1"/>
  <c r="M29" i="1"/>
  <c r="M31" i="1"/>
  <c r="CG40" i="2" l="1"/>
  <c r="EX11" i="2"/>
  <c r="EX12" i="2" s="1"/>
  <c r="EX1" i="2" s="1"/>
  <c r="D34" i="3"/>
  <c r="D33" i="3" s="1"/>
  <c r="D34" i="1" l="1"/>
  <c r="D35" i="1" s="1"/>
  <c r="D37" i="1" s="1"/>
  <c r="EX7" i="2" l="1"/>
  <c r="EY8" i="2" l="1"/>
  <c r="EX8" i="2"/>
  <c r="I36" i="3" s="1"/>
  <c r="EX13" i="2" l="1"/>
  <c r="EX14" i="2" s="1"/>
  <c r="I34" i="3" s="1"/>
  <c r="I33" i="3" s="1"/>
  <c r="EX9" i="2"/>
  <c r="EX16" i="2" s="1"/>
  <c r="DI5" i="2" s="1"/>
  <c r="DS24" i="2" s="1"/>
  <c r="DS34" i="2" s="1"/>
  <c r="DT60" i="2" s="1"/>
  <c r="EX23" i="2"/>
  <c r="EX24" i="2" s="1"/>
  <c r="I34" i="1" s="1"/>
  <c r="I37" i="1"/>
  <c r="EY9" i="2"/>
  <c r="DS54" i="2" l="1"/>
  <c r="DS57" i="2"/>
  <c r="DU55" i="2"/>
  <c r="DT58" i="2"/>
  <c r="DT61" i="2"/>
  <c r="DT57" i="2"/>
  <c r="DT54" i="2"/>
  <c r="DS61" i="2"/>
  <c r="DU54" i="2"/>
  <c r="DS60" i="2"/>
  <c r="DS55" i="2"/>
  <c r="DV57" i="2"/>
  <c r="DT56" i="2"/>
  <c r="DS58" i="2"/>
  <c r="DS56" i="2"/>
  <c r="DV60" i="2"/>
  <c r="DU60" i="2"/>
  <c r="DV58" i="2"/>
  <c r="DT59" i="2"/>
  <c r="DV62" i="2"/>
  <c r="DU57" i="2"/>
  <c r="DU62" i="2"/>
  <c r="DU61" i="2"/>
  <c r="DW53" i="2"/>
  <c r="DW54" i="2" s="1"/>
  <c r="DW55" i="2" s="1"/>
  <c r="DW56" i="2" s="1"/>
  <c r="DW57" i="2" s="1"/>
  <c r="DW58" i="2" s="1"/>
  <c r="DW59" i="2" s="1"/>
  <c r="DW60" i="2" s="1"/>
  <c r="DW61" i="2" s="1"/>
  <c r="DW62" i="2" s="1"/>
  <c r="DV54" i="2"/>
  <c r="DT62" i="2"/>
  <c r="DU56" i="2"/>
  <c r="DU58" i="2"/>
  <c r="DV56" i="2"/>
  <c r="DU59" i="2"/>
  <c r="DV55" i="2"/>
  <c r="DV59" i="2"/>
  <c r="DV61" i="2"/>
  <c r="DT55" i="2"/>
  <c r="DS62" i="2"/>
  <c r="DS59" i="2"/>
  <c r="N38" i="3"/>
  <c r="N39" i="3" s="1"/>
  <c r="N41" i="3" s="1"/>
  <c r="I41" i="3" s="1"/>
  <c r="D42" i="3" s="1"/>
  <c r="I35" i="1" l="1"/>
  <c r="N39" i="1" s="1"/>
  <c r="N40" i="1" s="1"/>
  <c r="N42" i="1" s="1"/>
  <c r="I43" i="1" s="1"/>
  <c r="D41" i="3"/>
  <c r="I42" i="3"/>
  <c r="D42" i="1" l="1"/>
  <c r="I42" i="1"/>
  <c r="D43" i="1" s="1"/>
</calcChain>
</file>

<file path=xl/sharedStrings.xml><?xml version="1.0" encoding="utf-8"?>
<sst xmlns="http://schemas.openxmlformats.org/spreadsheetml/2006/main" count="5685" uniqueCount="1333">
  <si>
    <t>D245S</t>
  </si>
  <si>
    <t>D25KS</t>
  </si>
  <si>
    <t>D45KS34</t>
  </si>
  <si>
    <t>D45KS40</t>
  </si>
  <si>
    <t>D50KS34</t>
  </si>
  <si>
    <t>D50KS40</t>
  </si>
  <si>
    <t>D55SP</t>
  </si>
  <si>
    <t>D75KS40</t>
  </si>
  <si>
    <t>D90KS</t>
  </si>
  <si>
    <t>D90KS65</t>
  </si>
  <si>
    <t>Unit of meassurement</t>
  </si>
  <si>
    <t>Imperial</t>
  </si>
  <si>
    <t>Metric</t>
  </si>
  <si>
    <t>Rig models</t>
  </si>
  <si>
    <t>Pipe range</t>
  </si>
  <si>
    <t>Rotary</t>
  </si>
  <si>
    <t>Drilling method</t>
  </si>
  <si>
    <t xml:space="preserve">Drilling method </t>
  </si>
  <si>
    <t xml:space="preserve">Drill rig model </t>
  </si>
  <si>
    <t xml:space="preserve">Drill pipe OD </t>
  </si>
  <si>
    <t>Low pressure compressors</t>
  </si>
  <si>
    <t xml:space="preserve">Compressor size </t>
  </si>
  <si>
    <t xml:space="preserve"> in</t>
  </si>
  <si>
    <t xml:space="preserve"> m³/min</t>
  </si>
  <si>
    <t xml:space="preserve"> mm</t>
  </si>
  <si>
    <t xml:space="preserve"> cfm</t>
  </si>
  <si>
    <t>DTH</t>
  </si>
  <si>
    <t xml:space="preserve">Burden </t>
  </si>
  <si>
    <t xml:space="preserve">Spacing </t>
  </si>
  <si>
    <t xml:space="preserve"> m</t>
  </si>
  <si>
    <t xml:space="preserve"> ft</t>
  </si>
  <si>
    <t xml:space="preserve">Rock UCS </t>
  </si>
  <si>
    <t xml:space="preserve"> psi</t>
  </si>
  <si>
    <t xml:space="preserve"> MPa</t>
  </si>
  <si>
    <t xml:space="preserve"> tonne/m³</t>
  </si>
  <si>
    <t xml:space="preserve"> ton/yd³</t>
  </si>
  <si>
    <t xml:space="preserve">Up-hole velocity </t>
  </si>
  <si>
    <t xml:space="preserve"> m/sec</t>
  </si>
  <si>
    <t xml:space="preserve"> fpm</t>
  </si>
  <si>
    <t>Up-hole velocity</t>
  </si>
  <si>
    <t xml:space="preserve">Elevation </t>
  </si>
  <si>
    <t xml:space="preserve"> °C</t>
  </si>
  <si>
    <t xml:space="preserve"> °F</t>
  </si>
  <si>
    <t>Temp factor</t>
  </si>
  <si>
    <t>Elevation factor</t>
  </si>
  <si>
    <t xml:space="preserve">Equivalent volume </t>
  </si>
  <si>
    <t>Adjusted volume</t>
  </si>
  <si>
    <t xml:space="preserve">Angle drill </t>
  </si>
  <si>
    <t>Volume</t>
  </si>
  <si>
    <t xml:space="preserve"> bar</t>
  </si>
  <si>
    <t>Operating Pressure</t>
  </si>
  <si>
    <t>b</t>
  </si>
  <si>
    <t>F</t>
  </si>
  <si>
    <t>Mission 50</t>
  </si>
  <si>
    <t>Mission 55</t>
  </si>
  <si>
    <t>Mission 60</t>
  </si>
  <si>
    <t>Mission 65</t>
  </si>
  <si>
    <t>Mission 85</t>
  </si>
  <si>
    <t>Penetration rate DTH hammer</t>
  </si>
  <si>
    <t>UCS</t>
  </si>
  <si>
    <t>VE/VR</t>
  </si>
  <si>
    <t>Instantaneous penetration rate</t>
  </si>
  <si>
    <t xml:space="preserve"> m/hr</t>
  </si>
  <si>
    <t xml:space="preserve"> fph</t>
  </si>
  <si>
    <t>Penetration rate Rotary</t>
  </si>
  <si>
    <t>Rotary power</t>
  </si>
  <si>
    <t>W</t>
  </si>
  <si>
    <t>C</t>
  </si>
  <si>
    <t>D</t>
  </si>
  <si>
    <t>HP</t>
  </si>
  <si>
    <t>R</t>
  </si>
  <si>
    <t>RPM</t>
  </si>
  <si>
    <t>Std bit</t>
  </si>
  <si>
    <t>Charger</t>
  </si>
  <si>
    <t xml:space="preserve"> lb.</t>
  </si>
  <si>
    <t xml:space="preserve"> kN</t>
  </si>
  <si>
    <t>Optimum bit load</t>
  </si>
  <si>
    <t>Pull down</t>
  </si>
  <si>
    <t>Bit load warning</t>
  </si>
  <si>
    <t>Fracturization</t>
  </si>
  <si>
    <t>None</t>
  </si>
  <si>
    <t>Light</t>
  </si>
  <si>
    <t>Moderate</t>
  </si>
  <si>
    <t>Heavy</t>
  </si>
  <si>
    <t>Angle drilling</t>
  </si>
  <si>
    <t xml:space="preserve">Rock fracturization </t>
  </si>
  <si>
    <t>Net penetration rate</t>
  </si>
  <si>
    <t xml:space="preserve">Days per year </t>
  </si>
  <si>
    <t xml:space="preserve">Hours per day </t>
  </si>
  <si>
    <t xml:space="preserve">Operator efficiency </t>
  </si>
  <si>
    <t>Operator efficiency</t>
  </si>
  <si>
    <t>Ambient temp</t>
  </si>
  <si>
    <t>Site elevation</t>
  </si>
  <si>
    <t>Volume selected</t>
  </si>
  <si>
    <t>Pure penetration rate</t>
  </si>
  <si>
    <t xml:space="preserve">Rotation power </t>
  </si>
  <si>
    <t xml:space="preserve"> HP</t>
  </si>
  <si>
    <t xml:space="preserve"> kW</t>
  </si>
  <si>
    <t>Rotation power</t>
  </si>
  <si>
    <t xml:space="preserve">Production requirements </t>
  </si>
  <si>
    <t>Production requirements</t>
  </si>
  <si>
    <t>bcyd</t>
  </si>
  <si>
    <t>ton</t>
  </si>
  <si>
    <t xml:space="preserve"> bcm</t>
  </si>
  <si>
    <t xml:space="preserve"> tonne</t>
  </si>
  <si>
    <t xml:space="preserve">Drilling required </t>
  </si>
  <si>
    <t>Hours per day</t>
  </si>
  <si>
    <t>Days per year</t>
  </si>
  <si>
    <t>Dilling required</t>
  </si>
  <si>
    <t>byd required</t>
  </si>
  <si>
    <t>ton required</t>
  </si>
  <si>
    <t xml:space="preserve">Sub-drilling </t>
  </si>
  <si>
    <t>cyd per ft drilled</t>
  </si>
  <si>
    <t>ton per ft drilled</t>
  </si>
  <si>
    <t>ton/ft</t>
  </si>
  <si>
    <t>yd³/ft</t>
  </si>
  <si>
    <t>m³/m</t>
  </si>
  <si>
    <t>tonne/m</t>
  </si>
  <si>
    <t>ft</t>
  </si>
  <si>
    <t>m</t>
  </si>
  <si>
    <t xml:space="preserve">Hours of drilling </t>
  </si>
  <si>
    <t xml:space="preserve">Bit size </t>
  </si>
  <si>
    <t>Rotation power warning</t>
  </si>
  <si>
    <t xml:space="preserve">Rock density in-situ </t>
  </si>
  <si>
    <t>Mechanical availability</t>
  </si>
  <si>
    <t xml:space="preserve">Mech. availability </t>
  </si>
  <si>
    <t xml:space="preserve">Fleet utilization </t>
  </si>
  <si>
    <t>Fleet utilization</t>
  </si>
  <si>
    <t xml:space="preserve">Fleet size </t>
  </si>
  <si>
    <t xml:space="preserve"> hr.</t>
  </si>
  <si>
    <t xml:space="preserve"> drill(s)</t>
  </si>
  <si>
    <t>ft drilled</t>
  </si>
  <si>
    <t>Add pipe</t>
  </si>
  <si>
    <t>Single pass</t>
  </si>
  <si>
    <t>Pipe length</t>
  </si>
  <si>
    <t>Pipe loader</t>
  </si>
  <si>
    <t>No. of pipes</t>
  </si>
  <si>
    <t xml:space="preserve">Bench height </t>
  </si>
  <si>
    <t xml:space="preserve">Piece(s) pipe to add </t>
  </si>
  <si>
    <t>Feed</t>
  </si>
  <si>
    <t>Retract</t>
  </si>
  <si>
    <t>Set up</t>
  </si>
  <si>
    <t>Drill time</t>
  </si>
  <si>
    <t>Collaring</t>
  </si>
  <si>
    <t>Remove</t>
  </si>
  <si>
    <t>Cleaning</t>
  </si>
  <si>
    <t xml:space="preserve">Project name: </t>
  </si>
  <si>
    <t xml:space="preserve">Customer name: </t>
  </si>
  <si>
    <t xml:space="preserve">Date: </t>
  </si>
  <si>
    <t xml:space="preserve">Rotation Speed </t>
  </si>
  <si>
    <t xml:space="preserve">Ambient temperature </t>
  </si>
  <si>
    <t xml:space="preserve">Compressor pressure </t>
  </si>
  <si>
    <t xml:space="preserve">Fleet capacity </t>
  </si>
  <si>
    <t xml:space="preserve">Fleet hours </t>
  </si>
  <si>
    <t>Production</t>
  </si>
  <si>
    <t>Net pen rate</t>
  </si>
  <si>
    <t>fph</t>
  </si>
  <si>
    <t>Burden</t>
  </si>
  <si>
    <t>Spacing</t>
  </si>
  <si>
    <t>bench heigh</t>
  </si>
  <si>
    <t>sub drilling</t>
  </si>
  <si>
    <t>hours drilling</t>
  </si>
  <si>
    <t>hole dpth</t>
  </si>
  <si>
    <t>density</t>
  </si>
  <si>
    <t>production</t>
  </si>
  <si>
    <t>Total</t>
  </si>
  <si>
    <t>D45KS "34"</t>
  </si>
  <si>
    <t>D45KS "40"</t>
  </si>
  <si>
    <t>D50KS "34"</t>
  </si>
  <si>
    <t>D50KS "40"</t>
  </si>
  <si>
    <t>D75KS "40"</t>
  </si>
  <si>
    <t>D90KS "65"</t>
  </si>
  <si>
    <t>D45KS 34</t>
  </si>
  <si>
    <t>D45KS 40</t>
  </si>
  <si>
    <t>D50KS 34</t>
  </si>
  <si>
    <t>D50KS 40</t>
  </si>
  <si>
    <t>D75KS 40</t>
  </si>
  <si>
    <t>D90KS 65</t>
  </si>
  <si>
    <t>1190E</t>
  </si>
  <si>
    <t>1190E "65"</t>
  </si>
  <si>
    <t>1190E 65</t>
  </si>
  <si>
    <t>D85KS "48"</t>
  </si>
  <si>
    <t>DR460 48</t>
  </si>
  <si>
    <t>DR46048</t>
  </si>
  <si>
    <t>DR460 63</t>
  </si>
  <si>
    <t>DR46063</t>
  </si>
  <si>
    <t>SA</t>
  </si>
  <si>
    <t>DR560</t>
  </si>
  <si>
    <t>DR580</t>
  </si>
  <si>
    <t>PRODUCTION BLASTHOLE &amp; DTH CALCULATOR</t>
  </si>
  <si>
    <t>160D</t>
  </si>
  <si>
    <t>MAX RPM</t>
  </si>
  <si>
    <t>UNITS</t>
  </si>
  <si>
    <t>PENETRATION RESISTANCE</t>
  </si>
  <si>
    <t>MIN Hole</t>
  </si>
  <si>
    <t>MAX Hole</t>
  </si>
  <si>
    <t>Max Pulldown</t>
  </si>
  <si>
    <t>FRACTURIZATION</t>
  </si>
  <si>
    <t>17QX2,1</t>
  </si>
  <si>
    <t>17QX2,2</t>
  </si>
  <si>
    <t>25QX2,1</t>
  </si>
  <si>
    <t>25QX2,2</t>
  </si>
  <si>
    <t>30QX2,1</t>
  </si>
  <si>
    <t>30QX2,2</t>
  </si>
  <si>
    <t>35QX2,1</t>
  </si>
  <si>
    <t>35QX2,2</t>
  </si>
  <si>
    <t>37QX2,1</t>
  </si>
  <si>
    <t>37QX2,2</t>
  </si>
  <si>
    <t>40QX2,1</t>
  </si>
  <si>
    <t>40QX2,2</t>
  </si>
  <si>
    <t>40QX2,3</t>
  </si>
  <si>
    <t>40QX2,4</t>
  </si>
  <si>
    <t>50QX2,1</t>
  </si>
  <si>
    <t>50QX2,2</t>
  </si>
  <si>
    <t>70QX2,1</t>
  </si>
  <si>
    <t>NECESSARY PULLDOWN REQUIRED</t>
  </si>
  <si>
    <t>HOLE SIZE</t>
  </si>
  <si>
    <t>ROCK HARDNESS</t>
  </si>
  <si>
    <t>ROCK TYPE</t>
  </si>
  <si>
    <t>Max. UCS Capability</t>
  </si>
  <si>
    <t>Min. UCS Capability</t>
  </si>
  <si>
    <t>CHARGER BITS</t>
  </si>
  <si>
    <t>STANDARD  BITS</t>
  </si>
  <si>
    <t>X05</t>
  </si>
  <si>
    <t>S17</t>
  </si>
  <si>
    <t>X07/S07,1</t>
  </si>
  <si>
    <t>X07/S07,2</t>
  </si>
  <si>
    <t>X10/S10,1</t>
  </si>
  <si>
    <t>X10/S10,2</t>
  </si>
  <si>
    <t>X10/S10,3</t>
  </si>
  <si>
    <t>X10/S10,4</t>
  </si>
  <si>
    <t>S15,1</t>
  </si>
  <si>
    <t>S15,2</t>
  </si>
  <si>
    <t>X20/S20,1</t>
  </si>
  <si>
    <t>X20/S20,2</t>
  </si>
  <si>
    <t>X20/S20,3</t>
  </si>
  <si>
    <t>X30/S30,1</t>
  </si>
  <si>
    <t>X30/S30,2</t>
  </si>
  <si>
    <t>X30/S30,3</t>
  </si>
  <si>
    <t>X30/S30,4</t>
  </si>
  <si>
    <t>X40/S40,1</t>
  </si>
  <si>
    <t>X40/S40,2</t>
  </si>
  <si>
    <t>X40/S40,3</t>
  </si>
  <si>
    <t>X40/S40,4</t>
  </si>
  <si>
    <t>X47/S47,1</t>
  </si>
  <si>
    <t>X47/S47,2</t>
  </si>
  <si>
    <t>X47/S47,3</t>
  </si>
  <si>
    <t>X50/S50,1</t>
  </si>
  <si>
    <t>X50/S50,2</t>
  </si>
  <si>
    <t>X50/S50,3</t>
  </si>
  <si>
    <t>X50/S50,4</t>
  </si>
  <si>
    <t>X60/S60,1</t>
  </si>
  <si>
    <t>X60/S60,2</t>
  </si>
  <si>
    <t>X60/S60,3</t>
  </si>
  <si>
    <t>X60/S60,4</t>
  </si>
  <si>
    <t>X70/70,1</t>
  </si>
  <si>
    <t>X70/70,2</t>
  </si>
  <si>
    <t>X70/70,3</t>
  </si>
  <si>
    <t>07QX2,1</t>
  </si>
  <si>
    <t>07QX2,2</t>
  </si>
  <si>
    <t>20QX2,1</t>
  </si>
  <si>
    <t>20QX2,2</t>
  </si>
  <si>
    <t>30QX2,3</t>
  </si>
  <si>
    <t>39QX2,1</t>
  </si>
  <si>
    <t>39QX2,2</t>
  </si>
  <si>
    <t>45QX2</t>
  </si>
  <si>
    <t>50QX2,3</t>
  </si>
  <si>
    <t>50QX2,4</t>
  </si>
  <si>
    <t>60QX2,1</t>
  </si>
  <si>
    <t>60QX2,2</t>
  </si>
  <si>
    <t>60QX2,3</t>
  </si>
  <si>
    <t>Rock Drill</t>
  </si>
  <si>
    <t>TopHammer</t>
  </si>
  <si>
    <t>Drillability Index</t>
  </si>
  <si>
    <t>ROP Spherical</t>
  </si>
  <si>
    <t>ROP Ballistic</t>
  </si>
  <si>
    <t>Rock DRI</t>
  </si>
  <si>
    <t>Factor</t>
  </si>
  <si>
    <t>Operating Air Pressure</t>
  </si>
  <si>
    <t>M30</t>
  </si>
  <si>
    <t>M40</t>
  </si>
  <si>
    <t>M55</t>
  </si>
  <si>
    <t>M65</t>
  </si>
  <si>
    <t>Spherical</t>
  </si>
  <si>
    <t>Ballistic</t>
  </si>
  <si>
    <t>INSTANTANEOUS ROP</t>
  </si>
  <si>
    <t>Bit Size Chosen</t>
  </si>
  <si>
    <t>Hammer Model</t>
  </si>
  <si>
    <t>M50</t>
  </si>
  <si>
    <t>M60</t>
  </si>
  <si>
    <t>INCH</t>
  </si>
  <si>
    <t>MM</t>
  </si>
  <si>
    <t>Theoretical Hammer  ROP</t>
  </si>
  <si>
    <t>Adjusted Hammer ROP</t>
  </si>
  <si>
    <t>ROP in DRI rock at Given Pressure</t>
  </si>
  <si>
    <t>DR481</t>
  </si>
  <si>
    <t>Rotary Power</t>
  </si>
  <si>
    <t>Pulldown</t>
  </si>
  <si>
    <t>D245 Hard Rock</t>
  </si>
  <si>
    <t xml:space="preserve">Zhanjun </t>
  </si>
  <si>
    <t>Standard</t>
  </si>
  <si>
    <t>Bench Height</t>
  </si>
  <si>
    <t>SubDrill</t>
  </si>
  <si>
    <t>Pure Pen Rate</t>
  </si>
  <si>
    <t>Optimum bit load for Hole Size and Rock</t>
  </si>
  <si>
    <t>P/N</t>
  </si>
  <si>
    <t>Description</t>
  </si>
  <si>
    <t>TOP OD</t>
  </si>
  <si>
    <t>BOT OD</t>
  </si>
  <si>
    <t>PIN THD</t>
  </si>
  <si>
    <t>BOX THD</t>
  </si>
  <si>
    <t>WALL</t>
  </si>
  <si>
    <t>LGTH</t>
  </si>
  <si>
    <t>WGT</t>
  </si>
  <si>
    <t>ID</t>
  </si>
  <si>
    <t>FLAT</t>
  </si>
  <si>
    <t>REMARKS</t>
  </si>
  <si>
    <t>TYPE</t>
  </si>
  <si>
    <t>COM</t>
  </si>
  <si>
    <t>022063-001</t>
  </si>
  <si>
    <t>Drill Pipe</t>
  </si>
  <si>
    <t>2 3/8 MJR</t>
  </si>
  <si>
    <t>.28"</t>
  </si>
  <si>
    <t>25'</t>
  </si>
  <si>
    <t>1½"</t>
  </si>
  <si>
    <t>2¼</t>
  </si>
  <si>
    <t>PRT</t>
  </si>
  <si>
    <t>022166-002</t>
  </si>
  <si>
    <t>.38"</t>
  </si>
  <si>
    <t>9'6"</t>
  </si>
  <si>
    <t>1"</t>
  </si>
  <si>
    <t>Gator</t>
  </si>
  <si>
    <t>022166-001</t>
  </si>
  <si>
    <t>13'</t>
  </si>
  <si>
    <t>001890-003</t>
  </si>
  <si>
    <t>2 3/8 API</t>
  </si>
  <si>
    <t>3/8"</t>
  </si>
  <si>
    <t>30'</t>
  </si>
  <si>
    <t>DRL</t>
  </si>
  <si>
    <t>001890-002</t>
  </si>
  <si>
    <t>20'</t>
  </si>
  <si>
    <t>001890-001</t>
  </si>
  <si>
    <t>021515-002</t>
  </si>
  <si>
    <t>021515-001</t>
  </si>
  <si>
    <t>2 3/8 IF</t>
  </si>
  <si>
    <t>016691-001</t>
  </si>
  <si>
    <t>Drill Pipe CSR</t>
  </si>
  <si>
    <t>3 3/4 MPD</t>
  </si>
  <si>
    <t>2 lg</t>
  </si>
  <si>
    <t>Dual Tube, CSR</t>
  </si>
  <si>
    <t>002724-006</t>
  </si>
  <si>
    <t xml:space="preserve"> </t>
  </si>
  <si>
    <t>.330</t>
  </si>
  <si>
    <t>1 3/4"</t>
  </si>
  <si>
    <t>3½</t>
  </si>
  <si>
    <t>002724-003</t>
  </si>
  <si>
    <t>10'</t>
  </si>
  <si>
    <t>NCR</t>
  </si>
  <si>
    <t>002724-002</t>
  </si>
  <si>
    <t>002724-001</t>
  </si>
  <si>
    <t>012155-004</t>
  </si>
  <si>
    <t>2 7/8 API</t>
  </si>
  <si>
    <t>.500</t>
  </si>
  <si>
    <t>1¼"</t>
  </si>
  <si>
    <t>012155-003</t>
  </si>
  <si>
    <t>3 172</t>
  </si>
  <si>
    <t>012155-002</t>
  </si>
  <si>
    <t>29'</t>
  </si>
  <si>
    <t>3¼</t>
  </si>
  <si>
    <t>012155-001</t>
  </si>
  <si>
    <t>002724-008</t>
  </si>
  <si>
    <t>002724-007</t>
  </si>
  <si>
    <t>002724-005</t>
  </si>
  <si>
    <t>.750</t>
  </si>
  <si>
    <t>002724-004</t>
  </si>
  <si>
    <t>009211-001</t>
  </si>
  <si>
    <t>3½ API</t>
  </si>
  <si>
    <t>½"</t>
  </si>
  <si>
    <t>Special</t>
  </si>
  <si>
    <t>021516-002</t>
  </si>
  <si>
    <t>021516-001</t>
  </si>
  <si>
    <t>013892-002</t>
  </si>
  <si>
    <t>4½ DS</t>
  </si>
  <si>
    <t>3½ lg</t>
  </si>
  <si>
    <t>Dual Tube</t>
  </si>
  <si>
    <t>013892-001</t>
  </si>
  <si>
    <t>001354-007</t>
  </si>
  <si>
    <t>3RH</t>
  </si>
  <si>
    <t>15'</t>
  </si>
  <si>
    <t>Obsolete</t>
  </si>
  <si>
    <t>001354-003</t>
  </si>
  <si>
    <t>3 RH</t>
  </si>
  <si>
    <t>001354-001</t>
  </si>
  <si>
    <t>023200-002</t>
  </si>
  <si>
    <t>4½</t>
  </si>
  <si>
    <t>3½ RH</t>
  </si>
  <si>
    <t>27'</t>
  </si>
  <si>
    <t>C245</t>
  </si>
  <si>
    <t>017346-001</t>
  </si>
  <si>
    <t>.362</t>
  </si>
  <si>
    <t>009678-001</t>
  </si>
  <si>
    <t>3½FH</t>
  </si>
  <si>
    <t>2¼"</t>
  </si>
  <si>
    <t>Korea/US Army</t>
  </si>
  <si>
    <t>003461-001</t>
  </si>
  <si>
    <t>END</t>
  </si>
  <si>
    <t>009592-001</t>
  </si>
  <si>
    <t>.50</t>
  </si>
  <si>
    <t>Spec/60 Loader</t>
  </si>
  <si>
    <t>019127-001</t>
  </si>
  <si>
    <t>.75</t>
  </si>
  <si>
    <t>35'</t>
  </si>
  <si>
    <t xml:space="preserve">C75 Special  </t>
  </si>
  <si>
    <t>022926-002</t>
  </si>
  <si>
    <t>022926-001</t>
  </si>
  <si>
    <t>019802-002</t>
  </si>
  <si>
    <t>3½ API BOX</t>
  </si>
  <si>
    <t>30'3.75"</t>
  </si>
  <si>
    <t>019802-001</t>
  </si>
  <si>
    <t>25'3.75"</t>
  </si>
  <si>
    <t>003461-005</t>
  </si>
  <si>
    <t>003461-004</t>
  </si>
  <si>
    <t>003461-003</t>
  </si>
  <si>
    <t>003225-002</t>
  </si>
  <si>
    <t>3½ IF</t>
  </si>
  <si>
    <t>2 11/16"</t>
  </si>
  <si>
    <t>003225-001</t>
  </si>
  <si>
    <t>001429-003</t>
  </si>
  <si>
    <t>001429-002</t>
  </si>
  <si>
    <t>001429-001</t>
  </si>
  <si>
    <t>001354-006</t>
  </si>
  <si>
    <t>001354-005</t>
  </si>
  <si>
    <t>001354-004</t>
  </si>
  <si>
    <t>3RH Pin</t>
  </si>
  <si>
    <t>Osolete</t>
  </si>
  <si>
    <t>023201-002</t>
  </si>
  <si>
    <t>3/4"</t>
  </si>
  <si>
    <t>324"</t>
  </si>
  <si>
    <t>Special Peabody D245</t>
  </si>
  <si>
    <t>023201-001</t>
  </si>
  <si>
    <t>023200-001</t>
  </si>
  <si>
    <t>006406-001</t>
  </si>
  <si>
    <t>3½ RH Box</t>
  </si>
  <si>
    <t>3x4</t>
  </si>
  <si>
    <t>Box/Box</t>
  </si>
  <si>
    <t>003461-006</t>
  </si>
  <si>
    <t>003461-002</t>
  </si>
  <si>
    <t>001429-006</t>
  </si>
  <si>
    <t>001429-005</t>
  </si>
  <si>
    <t>001429-004</t>
  </si>
  <si>
    <t>001354-002</t>
  </si>
  <si>
    <t>011073-006</t>
  </si>
  <si>
    <t>4½ RH</t>
  </si>
  <si>
    <t>2½"</t>
  </si>
  <si>
    <t>5½</t>
  </si>
  <si>
    <t>011073-005</t>
  </si>
  <si>
    <t>4½ REG</t>
  </si>
  <si>
    <t>011073-004</t>
  </si>
  <si>
    <t>011073-002</t>
  </si>
  <si>
    <t>011073-001</t>
  </si>
  <si>
    <t>009207-001</t>
  </si>
  <si>
    <t>003741-002</t>
  </si>
  <si>
    <t>4½ IF</t>
  </si>
  <si>
    <t>3 7/8"</t>
  </si>
  <si>
    <t>Spec. Ctr. Load</t>
  </si>
  <si>
    <t>003741-001</t>
  </si>
  <si>
    <t>023139-001</t>
  </si>
  <si>
    <t>023203-001</t>
  </si>
  <si>
    <t>4½ RH BOX</t>
  </si>
  <si>
    <t>364.25"</t>
  </si>
  <si>
    <t>011073-003</t>
  </si>
  <si>
    <t>002518-004</t>
  </si>
  <si>
    <t>.413</t>
  </si>
  <si>
    <t>013369-001</t>
  </si>
  <si>
    <t>4 FH</t>
  </si>
  <si>
    <t>2"</t>
  </si>
  <si>
    <t>015659-002</t>
  </si>
  <si>
    <t>.50"</t>
  </si>
  <si>
    <t>C75K4</t>
  </si>
  <si>
    <t>015659-003</t>
  </si>
  <si>
    <t>.75"</t>
  </si>
  <si>
    <t>022205-001</t>
  </si>
  <si>
    <t>D560</t>
  </si>
  <si>
    <t>017797-004</t>
  </si>
  <si>
    <t>017797-003</t>
  </si>
  <si>
    <t>006510-001</t>
  </si>
  <si>
    <t>C60K2L</t>
  </si>
  <si>
    <t>002518-002</t>
  </si>
  <si>
    <t>017797-002</t>
  </si>
  <si>
    <t>017797-001</t>
  </si>
  <si>
    <t>C55SP</t>
  </si>
  <si>
    <t>015659-001</t>
  </si>
  <si>
    <t>008840-001</t>
  </si>
  <si>
    <t>006510-002</t>
  </si>
  <si>
    <t>7½ RH</t>
  </si>
  <si>
    <t>002518-005</t>
  </si>
  <si>
    <t>002518-001</t>
  </si>
  <si>
    <t>022205-002</t>
  </si>
  <si>
    <t>021936-001</t>
  </si>
  <si>
    <t>017797-005</t>
  </si>
  <si>
    <t>002518-006</t>
  </si>
  <si>
    <t>002518-003</t>
  </si>
  <si>
    <t>019971-001</t>
  </si>
  <si>
    <t>019043-001</t>
  </si>
  <si>
    <t>6 RH</t>
  </si>
  <si>
    <t>26'</t>
  </si>
  <si>
    <t>C75 SPCL</t>
  </si>
  <si>
    <t>018043-001</t>
  </si>
  <si>
    <t>017798-003</t>
  </si>
  <si>
    <t>2 3/4"</t>
  </si>
  <si>
    <t>017798-002</t>
  </si>
  <si>
    <t>017798-001</t>
  </si>
  <si>
    <t>020179-001</t>
  </si>
  <si>
    <t>5½ API</t>
  </si>
  <si>
    <t>003415-008</t>
  </si>
  <si>
    <t>3"</t>
  </si>
  <si>
    <t>003415-005</t>
  </si>
  <si>
    <t>5¼ RH</t>
  </si>
  <si>
    <t>003415-004</t>
  </si>
  <si>
    <t>003415-003</t>
  </si>
  <si>
    <t>017575-001</t>
  </si>
  <si>
    <t>6 Beco</t>
  </si>
  <si>
    <t>40'</t>
  </si>
  <si>
    <t>C90KD</t>
  </si>
  <si>
    <t>003415-007</t>
  </si>
  <si>
    <t>26'3"</t>
  </si>
  <si>
    <t>003415-006</t>
  </si>
  <si>
    <t>003415-002</t>
  </si>
  <si>
    <t>003415-001</t>
  </si>
  <si>
    <t>27'6"</t>
  </si>
  <si>
    <t>023210-001</t>
  </si>
  <si>
    <t>5/8"</t>
  </si>
  <si>
    <t>D75K Special</t>
  </si>
  <si>
    <t>013240-001</t>
  </si>
  <si>
    <t>6 RH Beco</t>
  </si>
  <si>
    <t>C75D</t>
  </si>
  <si>
    <t>SUB</t>
  </si>
  <si>
    <t>012709-001</t>
  </si>
  <si>
    <t>C75D SPECIAL</t>
  </si>
  <si>
    <t>003556-006</t>
  </si>
  <si>
    <t>.906</t>
  </si>
  <si>
    <t>C60/75</t>
  </si>
  <si>
    <t>013220-001</t>
  </si>
  <si>
    <t>8 5/8/4½</t>
  </si>
  <si>
    <t>2 7/8 IF</t>
  </si>
  <si>
    <t>2"/7 5/8"</t>
  </si>
  <si>
    <t>003556-003</t>
  </si>
  <si>
    <t>003556-002</t>
  </si>
  <si>
    <t>Kaiser Coal</t>
  </si>
  <si>
    <t>014854-002</t>
  </si>
  <si>
    <t>5 RH</t>
  </si>
  <si>
    <t xml:space="preserve"> 6 lg</t>
  </si>
  <si>
    <t>C90K</t>
  </si>
  <si>
    <t>014854-001</t>
  </si>
  <si>
    <t>003556-005</t>
  </si>
  <si>
    <t>003556-004</t>
  </si>
  <si>
    <t>003556-001</t>
  </si>
  <si>
    <t>012570-001</t>
  </si>
  <si>
    <t>003556-007</t>
  </si>
  <si>
    <t>Spec. Korean</t>
  </si>
  <si>
    <t>015963-001</t>
  </si>
  <si>
    <t>014855-001</t>
  </si>
  <si>
    <t>SCR</t>
  </si>
  <si>
    <t>011363-001</t>
  </si>
  <si>
    <t>005706-001</t>
  </si>
  <si>
    <t>6 5/8 API Box</t>
  </si>
  <si>
    <t>3½"</t>
  </si>
  <si>
    <t>8X3</t>
  </si>
  <si>
    <t>Micropipe</t>
  </si>
  <si>
    <t>014856-002</t>
  </si>
  <si>
    <t>8 RH</t>
  </si>
  <si>
    <t>5"</t>
  </si>
  <si>
    <t>014856-001</t>
  </si>
  <si>
    <t>005706-002</t>
  </si>
  <si>
    <t>005496-001</t>
  </si>
  <si>
    <t>3x1½</t>
  </si>
  <si>
    <t>Fabricated</t>
  </si>
  <si>
    <t>007354-001</t>
  </si>
  <si>
    <t>6 RH/6 5/8 API</t>
  </si>
  <si>
    <t>Spec Cerrejon Demo</t>
  </si>
  <si>
    <t>020481-001</t>
  </si>
  <si>
    <t>8 RH BOX</t>
  </si>
  <si>
    <t>33'</t>
  </si>
  <si>
    <t>6 lg</t>
  </si>
  <si>
    <t>014857-003</t>
  </si>
  <si>
    <t>32'6"</t>
  </si>
  <si>
    <t>C90KSP</t>
  </si>
  <si>
    <t>014857-002</t>
  </si>
  <si>
    <t>014857-001</t>
  </si>
  <si>
    <t>004799-001</t>
  </si>
  <si>
    <t>004799-002</t>
  </si>
  <si>
    <t>005706-003</t>
  </si>
  <si>
    <t>9X3</t>
  </si>
  <si>
    <t>005706-004</t>
  </si>
  <si>
    <t>005496-002</t>
  </si>
  <si>
    <t>017072-001</t>
  </si>
  <si>
    <t>10¼</t>
  </si>
  <si>
    <t>8 Beco</t>
  </si>
  <si>
    <t>C90SP</t>
  </si>
  <si>
    <t>021151-001</t>
  </si>
  <si>
    <t>12¼</t>
  </si>
  <si>
    <t>33"</t>
  </si>
  <si>
    <t>6¼"</t>
  </si>
  <si>
    <t>D90KSP</t>
  </si>
  <si>
    <t>004686-006</t>
  </si>
  <si>
    <t>.300</t>
  </si>
  <si>
    <t>004686-002</t>
  </si>
  <si>
    <t>.368</t>
  </si>
  <si>
    <t>004686-001</t>
  </si>
  <si>
    <t>004686-005</t>
  </si>
  <si>
    <t>004686-004</t>
  </si>
  <si>
    <t>004686-003</t>
  </si>
  <si>
    <t>020493-003</t>
  </si>
  <si>
    <t>020493-002</t>
  </si>
  <si>
    <t>10'6"</t>
  </si>
  <si>
    <t>020493-001</t>
  </si>
  <si>
    <t>002684-001</t>
  </si>
  <si>
    <t>002638-001</t>
  </si>
  <si>
    <t>3 1/8D131</t>
  </si>
  <si>
    <t>Duotube</t>
  </si>
  <si>
    <t>014130-001</t>
  </si>
  <si>
    <t>NC 35</t>
  </si>
  <si>
    <t>.337</t>
  </si>
  <si>
    <t>2 1/8"</t>
  </si>
  <si>
    <t>002687-003</t>
  </si>
  <si>
    <t>002687-002</t>
  </si>
  <si>
    <t>002687-001</t>
  </si>
  <si>
    <t>001840-003</t>
  </si>
  <si>
    <t>001840-002</t>
  </si>
  <si>
    <t>001840-001</t>
  </si>
  <si>
    <t>001630-012</t>
  </si>
  <si>
    <t>001630-004</t>
  </si>
  <si>
    <t>001630-003</t>
  </si>
  <si>
    <t>001630-002</t>
  </si>
  <si>
    <t>001630-001</t>
  </si>
  <si>
    <t>023175-002</t>
  </si>
  <si>
    <t>3½ DIBH</t>
  </si>
  <si>
    <t>.337"</t>
  </si>
  <si>
    <t>023175-001</t>
  </si>
  <si>
    <t>005245-002</t>
  </si>
  <si>
    <t>Aluminum</t>
  </si>
  <si>
    <t>005245-001</t>
  </si>
  <si>
    <t>001630-007</t>
  </si>
  <si>
    <t>001630-006</t>
  </si>
  <si>
    <t>001360-008</t>
  </si>
  <si>
    <t>001630-010</t>
  </si>
  <si>
    <t>001630-009</t>
  </si>
  <si>
    <t>001630-005</t>
  </si>
  <si>
    <t>016364-001</t>
  </si>
  <si>
    <t>12½</t>
  </si>
  <si>
    <t>C40K4</t>
  </si>
  <si>
    <t>004369-002</t>
  </si>
  <si>
    <t>004369-001</t>
  </si>
  <si>
    <t>001630-011</t>
  </si>
  <si>
    <t>1.375-1.5</t>
  </si>
  <si>
    <t>1 ½"-1 3/4 "</t>
  </si>
  <si>
    <t>001963-001</t>
  </si>
  <si>
    <t>Drill systems</t>
  </si>
  <si>
    <t>CSR</t>
  </si>
  <si>
    <t>24'</t>
  </si>
  <si>
    <t>003752-001</t>
  </si>
  <si>
    <t>4 1/8D131</t>
  </si>
  <si>
    <t>003442-001</t>
  </si>
  <si>
    <t>002459-001</t>
  </si>
  <si>
    <t>021517-002</t>
  </si>
  <si>
    <t>021517-001</t>
  </si>
  <si>
    <t>003530-005</t>
  </si>
  <si>
    <t>.335</t>
  </si>
  <si>
    <t>015773-002</t>
  </si>
  <si>
    <t>.361</t>
  </si>
  <si>
    <t>2 13/16"</t>
  </si>
  <si>
    <t>4¼</t>
  </si>
  <si>
    <t>T40KW</t>
  </si>
  <si>
    <t>015773-001</t>
  </si>
  <si>
    <t>008835-004</t>
  </si>
  <si>
    <t>.415</t>
  </si>
  <si>
    <t>008835-003</t>
  </si>
  <si>
    <t>Special C75D</t>
  </si>
  <si>
    <t>008835-002</t>
  </si>
  <si>
    <t>008835-001</t>
  </si>
  <si>
    <t>003530-004</t>
  </si>
  <si>
    <t>003530-003</t>
  </si>
  <si>
    <t>003530-001</t>
  </si>
  <si>
    <t>002576-001</t>
  </si>
  <si>
    <t>017528-001</t>
  </si>
  <si>
    <t>.42</t>
  </si>
  <si>
    <t>C45</t>
  </si>
  <si>
    <t>022206-002</t>
  </si>
  <si>
    <t>4½ API</t>
  </si>
  <si>
    <t>.42"</t>
  </si>
  <si>
    <t>022206-001</t>
  </si>
  <si>
    <t>013368-001</t>
  </si>
  <si>
    <t>008835-006</t>
  </si>
  <si>
    <t>008835-005</t>
  </si>
  <si>
    <t>003530-007</t>
  </si>
  <si>
    <t>003530-006</t>
  </si>
  <si>
    <t>003530-002</t>
  </si>
  <si>
    <t>021822-001</t>
  </si>
  <si>
    <t>019823-001</t>
  </si>
  <si>
    <t>014468-001</t>
  </si>
  <si>
    <t>5½ 3½</t>
  </si>
  <si>
    <t>4½"</t>
  </si>
  <si>
    <t>Spec. Austr.</t>
  </si>
  <si>
    <t>001206-008</t>
  </si>
  <si>
    <t>6¼</t>
  </si>
  <si>
    <t>19'</t>
  </si>
  <si>
    <t>021365-001</t>
  </si>
  <si>
    <t>6½</t>
  </si>
  <si>
    <t>001206-009</t>
  </si>
  <si>
    <t>001206-007</t>
  </si>
  <si>
    <t>001206-006</t>
  </si>
  <si>
    <t>001206-004</t>
  </si>
  <si>
    <t>001206-001</t>
  </si>
  <si>
    <t>020861-002</t>
  </si>
  <si>
    <t>18"</t>
  </si>
  <si>
    <t>020861-001</t>
  </si>
  <si>
    <t>001206-003</t>
  </si>
  <si>
    <t>18'</t>
  </si>
  <si>
    <t>Starter Pipe A100 Hammer</t>
  </si>
  <si>
    <t>001206-002</t>
  </si>
  <si>
    <t>019869-001</t>
  </si>
  <si>
    <t>001206-005</t>
  </si>
  <si>
    <t>019066-001</t>
  </si>
  <si>
    <t>7½</t>
  </si>
  <si>
    <t>C75 Special IR Pipe</t>
  </si>
  <si>
    <t>005844-002</t>
  </si>
  <si>
    <t>9¼</t>
  </si>
  <si>
    <t>D80</t>
  </si>
  <si>
    <t>005844-001</t>
  </si>
  <si>
    <t>022726-001</t>
  </si>
  <si>
    <t>005844-003</t>
  </si>
  <si>
    <t>Pipe Diameter</t>
  </si>
  <si>
    <t>Pipe Length</t>
  </si>
  <si>
    <t>001891-001</t>
  </si>
  <si>
    <t>Bit Sub</t>
  </si>
  <si>
    <t>24"</t>
  </si>
  <si>
    <t>021518-001</t>
  </si>
  <si>
    <t>4 lg</t>
  </si>
  <si>
    <t>Gator XL 5</t>
  </si>
  <si>
    <t>022167-001</t>
  </si>
  <si>
    <t>021518-002</t>
  </si>
  <si>
    <t>022061-001</t>
  </si>
  <si>
    <t>022167-002</t>
  </si>
  <si>
    <t>021518-003</t>
  </si>
  <si>
    <t>Gator XL 4</t>
  </si>
  <si>
    <t>022167-003</t>
  </si>
  <si>
    <t>002723-001</t>
  </si>
  <si>
    <t>002744-001</t>
  </si>
  <si>
    <t>002745-001</t>
  </si>
  <si>
    <t>012154-001</t>
  </si>
  <si>
    <t>012154-002</t>
  </si>
  <si>
    <t>021519-001</t>
  </si>
  <si>
    <t>008949-001</t>
  </si>
  <si>
    <t>54"</t>
  </si>
  <si>
    <t>002723-002</t>
  </si>
  <si>
    <t>002723-003</t>
  </si>
  <si>
    <t>3 ½ API</t>
  </si>
  <si>
    <t>003750-001</t>
  </si>
  <si>
    <t>10"</t>
  </si>
  <si>
    <t>Duotube/Skirted bit sub box/box</t>
  </si>
  <si>
    <t>001383-002</t>
  </si>
  <si>
    <t>12"</t>
  </si>
  <si>
    <t>001383-001</t>
  </si>
  <si>
    <t>3½ API Box</t>
  </si>
  <si>
    <t>001428-001</t>
  </si>
  <si>
    <t>001997-001</t>
  </si>
  <si>
    <t>3 RH Pin</t>
  </si>
  <si>
    <t>003224-001</t>
  </si>
  <si>
    <t>2 7/16"</t>
  </si>
  <si>
    <t>003464-001</t>
  </si>
  <si>
    <t>017353-001</t>
  </si>
  <si>
    <t>001428-002</t>
  </si>
  <si>
    <t>32"</t>
  </si>
  <si>
    <t>001428-003</t>
  </si>
  <si>
    <t>48"</t>
  </si>
  <si>
    <t>001428-004</t>
  </si>
  <si>
    <t>60"</t>
  </si>
  <si>
    <t>12 lg</t>
  </si>
  <si>
    <t>001428-005</t>
  </si>
  <si>
    <t>72"</t>
  </si>
  <si>
    <t>009205-001</t>
  </si>
  <si>
    <t>003493-002</t>
  </si>
  <si>
    <t>001473-001</t>
  </si>
  <si>
    <t>001836-001</t>
  </si>
  <si>
    <t>4½ API Box</t>
  </si>
  <si>
    <t>003493-001</t>
  </si>
  <si>
    <t>023595-001</t>
  </si>
  <si>
    <t>1 3/8</t>
  </si>
  <si>
    <t>003649-002</t>
  </si>
  <si>
    <t>23"</t>
  </si>
  <si>
    <t>003742-001</t>
  </si>
  <si>
    <t>003743-001</t>
  </si>
  <si>
    <t>002520-003</t>
  </si>
  <si>
    <t>002520-005</t>
  </si>
  <si>
    <t>002520-007</t>
  </si>
  <si>
    <t>009248-001</t>
  </si>
  <si>
    <t>009249-001</t>
  </si>
  <si>
    <t>023207-001</t>
  </si>
  <si>
    <t>41"</t>
  </si>
  <si>
    <t>017843-010</t>
  </si>
  <si>
    <t>50"</t>
  </si>
  <si>
    <t xml:space="preserve"> 4 lg</t>
  </si>
  <si>
    <t>017843-013</t>
  </si>
  <si>
    <t>96"</t>
  </si>
  <si>
    <t>1.75/2.50</t>
  </si>
  <si>
    <t>009283-001</t>
  </si>
  <si>
    <t>6 5/8 API</t>
  </si>
  <si>
    <t>3½'</t>
  </si>
  <si>
    <t>003649-001</t>
  </si>
  <si>
    <t>003643-001</t>
  </si>
  <si>
    <t>21"</t>
  </si>
  <si>
    <t>017843-001</t>
  </si>
  <si>
    <t>4½ RH Beco</t>
  </si>
  <si>
    <t>110"</t>
  </si>
  <si>
    <t>017843-008</t>
  </si>
  <si>
    <t>017843-011</t>
  </si>
  <si>
    <t>142"</t>
  </si>
  <si>
    <t>002520-001</t>
  </si>
  <si>
    <t>002520-002</t>
  </si>
  <si>
    <t>002520-004</t>
  </si>
  <si>
    <t>008841-001</t>
  </si>
  <si>
    <t>008841-003</t>
  </si>
  <si>
    <t>013371-001</t>
  </si>
  <si>
    <t>008841-002</t>
  </si>
  <si>
    <t>28"</t>
  </si>
  <si>
    <t>002520-006</t>
  </si>
  <si>
    <t>30"</t>
  </si>
  <si>
    <t>002520-008</t>
  </si>
  <si>
    <t>36"</t>
  </si>
  <si>
    <t>017843-003</t>
  </si>
  <si>
    <t>65"</t>
  </si>
  <si>
    <t>017843-005</t>
  </si>
  <si>
    <t xml:space="preserve">4½ RH  </t>
  </si>
  <si>
    <t>86"</t>
  </si>
  <si>
    <t>017843-012</t>
  </si>
  <si>
    <t>003585-002</t>
  </si>
  <si>
    <t>4½ EH</t>
  </si>
  <si>
    <t>003585-003</t>
  </si>
  <si>
    <t>005652-002</t>
  </si>
  <si>
    <t>003585-004</t>
  </si>
  <si>
    <t>023522-001</t>
  </si>
  <si>
    <t>2½</t>
  </si>
  <si>
    <t>017843-002</t>
  </si>
  <si>
    <t xml:space="preserve">6 RH  </t>
  </si>
  <si>
    <t>017843-014</t>
  </si>
  <si>
    <t>003416-002</t>
  </si>
  <si>
    <t>003416-003</t>
  </si>
  <si>
    <t>003416-004</t>
  </si>
  <si>
    <t>003416-001</t>
  </si>
  <si>
    <t>017843-009</t>
  </si>
  <si>
    <t>017843-004</t>
  </si>
  <si>
    <t>017843-006</t>
  </si>
  <si>
    <t>007979-001</t>
  </si>
  <si>
    <t>003651-001</t>
  </si>
  <si>
    <t>004476-001</t>
  </si>
  <si>
    <t>007979-002</t>
  </si>
  <si>
    <t>023205-001</t>
  </si>
  <si>
    <t>003651-002</t>
  </si>
  <si>
    <t>012711-001</t>
  </si>
  <si>
    <t>006982-001</t>
  </si>
  <si>
    <t>7 5/8 API</t>
  </si>
  <si>
    <t>003557-003</t>
  </si>
  <si>
    <t>003557-002</t>
  </si>
  <si>
    <t>003557-004</t>
  </si>
  <si>
    <t>003557-001</t>
  </si>
  <si>
    <t>003557-005</t>
  </si>
  <si>
    <t>42"</t>
  </si>
  <si>
    <t>003557-006</t>
  </si>
  <si>
    <t>68"</t>
  </si>
  <si>
    <t>012569-001</t>
  </si>
  <si>
    <t>005846-002</t>
  </si>
  <si>
    <t>014869-001</t>
  </si>
  <si>
    <t>014868-001</t>
  </si>
  <si>
    <t>018270-001</t>
  </si>
  <si>
    <t>Special, D90K</t>
  </si>
  <si>
    <t>004800-003</t>
  </si>
  <si>
    <t>4 3/4"</t>
  </si>
  <si>
    <t>004800-001</t>
  </si>
  <si>
    <t>004800-002</t>
  </si>
  <si>
    <t>017074-001</t>
  </si>
  <si>
    <t>021149-001</t>
  </si>
  <si>
    <t>D90K</t>
  </si>
  <si>
    <t>020859-001</t>
  </si>
  <si>
    <t>020495-005</t>
  </si>
  <si>
    <t>020495-002</t>
  </si>
  <si>
    <t>14"</t>
  </si>
  <si>
    <t>020495-006</t>
  </si>
  <si>
    <t>009521-001</t>
  </si>
  <si>
    <t>004687-001</t>
  </si>
  <si>
    <t>004687-002</t>
  </si>
  <si>
    <t>004687-003</t>
  </si>
  <si>
    <t>008720-001</t>
  </si>
  <si>
    <t>2 3/8 API Pin</t>
  </si>
  <si>
    <t>Pin/Pin</t>
  </si>
  <si>
    <t>002685-001</t>
  </si>
  <si>
    <t>010010-001</t>
  </si>
  <si>
    <t>019627-001</t>
  </si>
  <si>
    <t>023202-001</t>
  </si>
  <si>
    <t>009520-001</t>
  </si>
  <si>
    <t>4½ API Pin</t>
  </si>
  <si>
    <t>009521-002</t>
  </si>
  <si>
    <t>020495-001</t>
  </si>
  <si>
    <t>020495-003</t>
  </si>
  <si>
    <t>020495-004</t>
  </si>
  <si>
    <t>002689-002</t>
  </si>
  <si>
    <t>009282-001</t>
  </si>
  <si>
    <t>2'</t>
  </si>
  <si>
    <t>014133-002</t>
  </si>
  <si>
    <t>002689-001</t>
  </si>
  <si>
    <t>014133-001</t>
  </si>
  <si>
    <t>020863-001</t>
  </si>
  <si>
    <t>21.5"</t>
  </si>
  <si>
    <t>Bored for SF-6R Float Valve</t>
  </si>
  <si>
    <t>002262-001</t>
  </si>
  <si>
    <t>004263-001</t>
  </si>
  <si>
    <t>40"</t>
  </si>
  <si>
    <t>1½</t>
  </si>
  <si>
    <t>002262-004</t>
  </si>
  <si>
    <t>002262-003</t>
  </si>
  <si>
    <t>002262-002</t>
  </si>
  <si>
    <t>005498-001</t>
  </si>
  <si>
    <t>20"</t>
  </si>
  <si>
    <t>FAB</t>
  </si>
  <si>
    <t>005497-001</t>
  </si>
  <si>
    <t>6'4"</t>
  </si>
  <si>
    <t>005497-002</t>
  </si>
  <si>
    <t>001631-004</t>
  </si>
  <si>
    <t>125"</t>
  </si>
  <si>
    <t>021520-002</t>
  </si>
  <si>
    <t>14 3/4"</t>
  </si>
  <si>
    <t>Gator XL 6</t>
  </si>
  <si>
    <t>002945-002</t>
  </si>
  <si>
    <t>004597-001</t>
  </si>
  <si>
    <t>002256-001</t>
  </si>
  <si>
    <t>Blank</t>
  </si>
  <si>
    <t>22"</t>
  </si>
  <si>
    <t>001631-001</t>
  </si>
  <si>
    <t>001841-001</t>
  </si>
  <si>
    <t>001997-002</t>
  </si>
  <si>
    <t>002066-001</t>
  </si>
  <si>
    <t>3½ API Pin</t>
  </si>
  <si>
    <t>002688-001</t>
  </si>
  <si>
    <t>002945-001</t>
  </si>
  <si>
    <t>PRW</t>
  </si>
  <si>
    <t>014132-001</t>
  </si>
  <si>
    <t>021520-001</t>
  </si>
  <si>
    <t>023174-001</t>
  </si>
  <si>
    <t>020862-001</t>
  </si>
  <si>
    <t>27"</t>
  </si>
  <si>
    <t>1 3/4" - 2 7/16"</t>
  </si>
  <si>
    <t>Bored for 2F-3R Float Valve</t>
  </si>
  <si>
    <t>001841-003</t>
  </si>
  <si>
    <t>021520-003</t>
  </si>
  <si>
    <t>023202-002</t>
  </si>
  <si>
    <t>001841-002</t>
  </si>
  <si>
    <t>001631-002</t>
  </si>
  <si>
    <t>66"</t>
  </si>
  <si>
    <t>001631-003</t>
  </si>
  <si>
    <t>84"</t>
  </si>
  <si>
    <t>002203-001</t>
  </si>
  <si>
    <t>24</t>
  </si>
  <si>
    <t>004031-001</t>
  </si>
  <si>
    <t>020884-001</t>
  </si>
  <si>
    <t>Bored for 4R Float Valve</t>
  </si>
  <si>
    <t>004263-002</t>
  </si>
  <si>
    <t xml:space="preserve">4½ </t>
  </si>
  <si>
    <t>7 5/8API</t>
  </si>
  <si>
    <t>015787-001</t>
  </si>
  <si>
    <t>4 API</t>
  </si>
  <si>
    <t>Float Valve</t>
  </si>
  <si>
    <t>015788-001</t>
  </si>
  <si>
    <t>003533-004</t>
  </si>
  <si>
    <t>003533-005</t>
  </si>
  <si>
    <t>003533-007</t>
  </si>
  <si>
    <t>003533-006</t>
  </si>
  <si>
    <t>003533-003</t>
  </si>
  <si>
    <t>002577-001</t>
  </si>
  <si>
    <t>003533-001</t>
  </si>
  <si>
    <t>003533-002</t>
  </si>
  <si>
    <t>006483-001</t>
  </si>
  <si>
    <t>006483-002</t>
  </si>
  <si>
    <t>009821-001</t>
  </si>
  <si>
    <t>009821-002</t>
  </si>
  <si>
    <t>012308-001</t>
  </si>
  <si>
    <t>Spec. C75D</t>
  </si>
  <si>
    <t>013370-001</t>
  </si>
  <si>
    <t>015786-001</t>
  </si>
  <si>
    <t>019824-001</t>
  </si>
  <si>
    <t>023069-001</t>
  </si>
  <si>
    <t>001431-003</t>
  </si>
  <si>
    <t>023525-001</t>
  </si>
  <si>
    <t>005652-001</t>
  </si>
  <si>
    <t>003585-001</t>
  </si>
  <si>
    <t>005498-002</t>
  </si>
  <si>
    <t>017843-007</t>
  </si>
  <si>
    <t>2½ "</t>
  </si>
  <si>
    <t>001431-001</t>
  </si>
  <si>
    <t>001431-002</t>
  </si>
  <si>
    <t>021771-001</t>
  </si>
  <si>
    <t>7½.</t>
  </si>
  <si>
    <t>11"</t>
  </si>
  <si>
    <t>005846-001</t>
  </si>
  <si>
    <t>005846-003</t>
  </si>
  <si>
    <t>D90</t>
  </si>
  <si>
    <t>017578-001</t>
  </si>
  <si>
    <t>013580-001</t>
  </si>
  <si>
    <t>Sub Crossover</t>
  </si>
  <si>
    <t>BQ</t>
  </si>
  <si>
    <t>2 3/8 FEDP</t>
  </si>
  <si>
    <t>Coring Head</t>
  </si>
  <si>
    <t>003749-001</t>
  </si>
  <si>
    <t>003729-002</t>
  </si>
  <si>
    <t>45½</t>
  </si>
  <si>
    <t>003729-001</t>
  </si>
  <si>
    <t>9½</t>
  </si>
  <si>
    <t>017312-001</t>
  </si>
  <si>
    <t>C25K5</t>
  </si>
  <si>
    <t>003445-001</t>
  </si>
  <si>
    <t>017352-001</t>
  </si>
  <si>
    <t>002654-001</t>
  </si>
  <si>
    <t>Use 3109 Wrench</t>
  </si>
  <si>
    <t>003504-001</t>
  </si>
  <si>
    <t>3½ BECO</t>
  </si>
  <si>
    <t>010315-001</t>
  </si>
  <si>
    <t>1 5/8"</t>
  </si>
  <si>
    <t>017073-002</t>
  </si>
  <si>
    <t>8 RH Pin</t>
  </si>
  <si>
    <t>C90Sp Pipe Sub</t>
  </si>
  <si>
    <t>017073-001</t>
  </si>
  <si>
    <t>005705-001</t>
  </si>
  <si>
    <t>6 5/8 API Pin</t>
  </si>
  <si>
    <t>Micropile/Pin/Pin</t>
  </si>
  <si>
    <t>005232-001</t>
  </si>
  <si>
    <t>005232-002</t>
  </si>
  <si>
    <t>008724-001</t>
  </si>
  <si>
    <t>004324-001</t>
  </si>
  <si>
    <t>004324-002</t>
  </si>
  <si>
    <t>3½ IF PIN</t>
  </si>
  <si>
    <t>004324-003</t>
  </si>
  <si>
    <t>010732-001</t>
  </si>
  <si>
    <t>019149-001</t>
  </si>
  <si>
    <t>6"</t>
  </si>
  <si>
    <t>C75 Special</t>
  </si>
  <si>
    <t>005704-001</t>
  </si>
  <si>
    <t>022165-001</t>
  </si>
  <si>
    <t>Top Sub</t>
  </si>
  <si>
    <t>020494-001</t>
  </si>
  <si>
    <t>021512-001</t>
  </si>
  <si>
    <t>021513-001</t>
  </si>
  <si>
    <t>024173-001</t>
  </si>
  <si>
    <t xml:space="preserve">3 1/2 API </t>
  </si>
  <si>
    <t xml:space="preserve">2 3/8 IF    </t>
  </si>
  <si>
    <t xml:space="preserve">16" </t>
  </si>
  <si>
    <t>T25</t>
  </si>
  <si>
    <t>REPLACES 004685-002</t>
  </si>
  <si>
    <t>004685-004</t>
  </si>
  <si>
    <t>3.5 API</t>
  </si>
  <si>
    <t>2.375 API</t>
  </si>
  <si>
    <t>003738-001</t>
  </si>
  <si>
    <t>003463-002</t>
  </si>
  <si>
    <t>003463-003</t>
  </si>
  <si>
    <t>1.5 lg</t>
  </si>
  <si>
    <t>019801-001</t>
  </si>
  <si>
    <t>3½ API PIN</t>
  </si>
  <si>
    <t>003226-001</t>
  </si>
  <si>
    <t>16"</t>
  </si>
  <si>
    <t>1 3/4"-2 11/16"</t>
  </si>
  <si>
    <t>009681-001</t>
  </si>
  <si>
    <t>3½ FH</t>
  </si>
  <si>
    <t>1 3/4" - 2¼"</t>
  </si>
  <si>
    <t>006412-001</t>
  </si>
  <si>
    <t>3½ RH Pin</t>
  </si>
  <si>
    <t>4"</t>
  </si>
  <si>
    <t>001364-001</t>
  </si>
  <si>
    <t>9"</t>
  </si>
  <si>
    <t>001430-001</t>
  </si>
  <si>
    <t>003463-001</t>
  </si>
  <si>
    <t>023596-001</t>
  </si>
  <si>
    <t>2 3/4</t>
  </si>
  <si>
    <t>012156-001</t>
  </si>
  <si>
    <t>8"</t>
  </si>
  <si>
    <t>C60K4</t>
  </si>
  <si>
    <t>017837-012</t>
  </si>
  <si>
    <t>021715-001</t>
  </si>
  <si>
    <t>010317-001</t>
  </si>
  <si>
    <t>003740-001</t>
  </si>
  <si>
    <t>023206-001</t>
  </si>
  <si>
    <t>4½ RH PIN</t>
  </si>
  <si>
    <t>25"</t>
  </si>
  <si>
    <t>022775-001</t>
  </si>
  <si>
    <t>5½ API PIN</t>
  </si>
  <si>
    <t>015830-002</t>
  </si>
  <si>
    <t>020304-001</t>
  </si>
  <si>
    <t>3½ IF BOX</t>
  </si>
  <si>
    <t>016792-002</t>
  </si>
  <si>
    <t>D75K6H</t>
  </si>
  <si>
    <t>016792-001</t>
  </si>
  <si>
    <t>TM40</t>
  </si>
  <si>
    <t>017837-008</t>
  </si>
  <si>
    <t>5 lg</t>
  </si>
  <si>
    <t>015660-001</t>
  </si>
  <si>
    <t>017837-003</t>
  </si>
  <si>
    <t>017837-009</t>
  </si>
  <si>
    <t>017837-001</t>
  </si>
  <si>
    <t>4.5 RH</t>
  </si>
  <si>
    <t>7"</t>
  </si>
  <si>
    <t>015830-003</t>
  </si>
  <si>
    <t>017197-001</t>
  </si>
  <si>
    <t>015830-001</t>
  </si>
  <si>
    <t>020574-002</t>
  </si>
  <si>
    <t>023076-001</t>
  </si>
  <si>
    <t>020574-001</t>
  </si>
  <si>
    <t>011250-001</t>
  </si>
  <si>
    <t>019888-001</t>
  </si>
  <si>
    <t>005246-002</t>
  </si>
  <si>
    <t>017837-011</t>
  </si>
  <si>
    <t>017837-010</t>
  </si>
  <si>
    <t>005246-001</t>
  </si>
  <si>
    <t>003414-001</t>
  </si>
  <si>
    <t>017837-004</t>
  </si>
  <si>
    <t>017837-005</t>
  </si>
  <si>
    <t>2 ½"</t>
  </si>
  <si>
    <t>010316-001</t>
  </si>
  <si>
    <t>017837-002</t>
  </si>
  <si>
    <t>017837-006</t>
  </si>
  <si>
    <t>23/4"</t>
  </si>
  <si>
    <t>017577-001</t>
  </si>
  <si>
    <t>010264-005</t>
  </si>
  <si>
    <t>012710-001</t>
  </si>
  <si>
    <t>Spec. C75</t>
  </si>
  <si>
    <t>003553-001</t>
  </si>
  <si>
    <t>010264-001</t>
  </si>
  <si>
    <t>003553-002</t>
  </si>
  <si>
    <t>014847-001</t>
  </si>
  <si>
    <t>010264-004</t>
  </si>
  <si>
    <t>010264-003</t>
  </si>
  <si>
    <t>014848-002</t>
  </si>
  <si>
    <t xml:space="preserve">C90K </t>
  </si>
  <si>
    <t>010264-002</t>
  </si>
  <si>
    <t>014848-001</t>
  </si>
  <si>
    <t>017659-001</t>
  </si>
  <si>
    <t>7 Beco</t>
  </si>
  <si>
    <t>2 7/8"</t>
  </si>
  <si>
    <t>014849-001</t>
  </si>
  <si>
    <t>004798-002</t>
  </si>
  <si>
    <t>26"</t>
  </si>
  <si>
    <t>004798-001</t>
  </si>
  <si>
    <t>014850-002</t>
  </si>
  <si>
    <t>014850-001</t>
  </si>
  <si>
    <t>017071-001</t>
  </si>
  <si>
    <t>021152-001</t>
  </si>
  <si>
    <t>013852-001</t>
  </si>
  <si>
    <t>001889-001</t>
  </si>
  <si>
    <t>004685-002</t>
  </si>
  <si>
    <t>USE 024173-001</t>
  </si>
  <si>
    <t>004685-001</t>
  </si>
  <si>
    <t>002310-001</t>
  </si>
  <si>
    <t>001839-001</t>
  </si>
  <si>
    <t>3 RH Box</t>
  </si>
  <si>
    <t>023466-001</t>
  </si>
  <si>
    <t>5/8</t>
  </si>
  <si>
    <t>10 3/4"</t>
  </si>
  <si>
    <t>Gator, w/shock sub</t>
  </si>
  <si>
    <t>022062-001</t>
  </si>
  <si>
    <t>023466-002</t>
  </si>
  <si>
    <t>1 3/8"</t>
  </si>
  <si>
    <t>1¼</t>
  </si>
  <si>
    <t>023466-003</t>
  </si>
  <si>
    <t>1 1/4"</t>
  </si>
  <si>
    <t>008944-001</t>
  </si>
  <si>
    <t>012153-001</t>
  </si>
  <si>
    <t>C25</t>
  </si>
  <si>
    <t>001277-006</t>
  </si>
  <si>
    <t>001277-005</t>
  </si>
  <si>
    <t>004918-002</t>
  </si>
  <si>
    <t>004918-003</t>
  </si>
  <si>
    <t>007145-001</t>
  </si>
  <si>
    <t>6RH</t>
  </si>
  <si>
    <t>Spec. Cerreion</t>
  </si>
  <si>
    <t>003652-001</t>
  </si>
  <si>
    <t>004918-001</t>
  </si>
  <si>
    <t>007145-002</t>
  </si>
  <si>
    <t>004685-003</t>
  </si>
  <si>
    <t>019626-001</t>
  </si>
  <si>
    <t>023466-004</t>
  </si>
  <si>
    <t>001628-003</t>
  </si>
  <si>
    <t>002686-002</t>
  </si>
  <si>
    <t>1 3/4" - 2"</t>
  </si>
  <si>
    <t>023173-001</t>
  </si>
  <si>
    <t>001628-002</t>
  </si>
  <si>
    <t>002686-001</t>
  </si>
  <si>
    <t>002735-001</t>
  </si>
  <si>
    <t>014131-001</t>
  </si>
  <si>
    <t>016427-001</t>
  </si>
  <si>
    <t>T25K3</t>
  </si>
  <si>
    <t>013816-003</t>
  </si>
  <si>
    <t>013816-002</t>
  </si>
  <si>
    <t>49"</t>
  </si>
  <si>
    <t>013816-001</t>
  </si>
  <si>
    <t>009933-001</t>
  </si>
  <si>
    <t>6'6"</t>
  </si>
  <si>
    <t>Tigre Tierra 612 Hammer</t>
  </si>
  <si>
    <t>001628-001</t>
  </si>
  <si>
    <t>003645-001</t>
  </si>
  <si>
    <t>Use 001628-001</t>
  </si>
  <si>
    <t>001277-003</t>
  </si>
  <si>
    <t>001277-002</t>
  </si>
  <si>
    <t>001277-001</t>
  </si>
  <si>
    <t>001277-004</t>
  </si>
  <si>
    <t>005703-001</t>
  </si>
  <si>
    <t>021514-001</t>
  </si>
  <si>
    <t>012094-005</t>
  </si>
  <si>
    <t>31"</t>
  </si>
  <si>
    <t>1½" - 2"</t>
  </si>
  <si>
    <t>012094-002</t>
  </si>
  <si>
    <t>012094-003</t>
  </si>
  <si>
    <t>012094-004</t>
  </si>
  <si>
    <t>012094-001</t>
  </si>
  <si>
    <t>006481-001</t>
  </si>
  <si>
    <t>008896-001</t>
  </si>
  <si>
    <t>2 LG</t>
  </si>
  <si>
    <t>021935-001</t>
  </si>
  <si>
    <t>12'10"</t>
  </si>
  <si>
    <t>015779-001</t>
  </si>
  <si>
    <t>4 API Full</t>
  </si>
  <si>
    <t>013372-001</t>
  </si>
  <si>
    <t>Subsaver</t>
  </si>
  <si>
    <t>006481-002</t>
  </si>
  <si>
    <t>017837-007</t>
  </si>
  <si>
    <t>016227-001</t>
  </si>
  <si>
    <t>012309-001</t>
  </si>
  <si>
    <t>8½</t>
  </si>
  <si>
    <t>005845-004</t>
  </si>
  <si>
    <t>13"</t>
  </si>
  <si>
    <t>005845-001</t>
  </si>
  <si>
    <t>005845-002</t>
  </si>
  <si>
    <t>005845-003</t>
  </si>
  <si>
    <t>007127-001</t>
  </si>
  <si>
    <t>Top Sub Adapter</t>
  </si>
  <si>
    <t>Special U Joint</t>
  </si>
  <si>
    <t>007127-002</t>
  </si>
  <si>
    <t>Rotary Head Weight</t>
  </si>
  <si>
    <t>14½" Body Dia</t>
  </si>
  <si>
    <t>004359-001</t>
  </si>
  <si>
    <t>Floating Sub</t>
  </si>
  <si>
    <t>27½</t>
  </si>
  <si>
    <t>Inactive Schramm</t>
  </si>
  <si>
    <t>004020-001</t>
  </si>
  <si>
    <t>15½</t>
  </si>
  <si>
    <t>Inactive  Schramm</t>
  </si>
  <si>
    <t>004020-002</t>
  </si>
  <si>
    <t>2 7/8 API-IF</t>
  </si>
  <si>
    <t>Schramm</t>
  </si>
  <si>
    <t>004020-003</t>
  </si>
  <si>
    <t>2 3/8 API-IF</t>
  </si>
  <si>
    <t>004979-001</t>
  </si>
  <si>
    <t>Use 005232</t>
  </si>
  <si>
    <t>SAS</t>
  </si>
  <si>
    <t>007777-001</t>
  </si>
  <si>
    <t>Inactive</t>
  </si>
  <si>
    <t>007777-002</t>
  </si>
  <si>
    <t>3½ Beco</t>
  </si>
  <si>
    <t>007777-003</t>
  </si>
  <si>
    <t>010410-005</t>
  </si>
  <si>
    <t>Shock Sub</t>
  </si>
  <si>
    <t>1.75"</t>
  </si>
  <si>
    <t>3 lg</t>
  </si>
  <si>
    <t>Drilco (15.50 Dia.) D25-D50</t>
  </si>
  <si>
    <t>010410-003</t>
  </si>
  <si>
    <t>4 Full Hole</t>
  </si>
  <si>
    <t>Drilco #40 (15.50 Dia Body)</t>
  </si>
  <si>
    <t>019825-001</t>
  </si>
  <si>
    <t>19"</t>
  </si>
  <si>
    <t>18" OD Body Dia</t>
  </si>
  <si>
    <t>010410-002</t>
  </si>
  <si>
    <t>2.81"</t>
  </si>
  <si>
    <t>3 3/8 lg</t>
  </si>
  <si>
    <t>Drilco #5 (17.88 Dia Body)</t>
  </si>
  <si>
    <t>010410-001</t>
  </si>
  <si>
    <t>2.69 lg</t>
  </si>
  <si>
    <t>010410-004</t>
  </si>
  <si>
    <t>3.25"</t>
  </si>
  <si>
    <t>Drilco #44456-001 (17.88 Dia.)</t>
  </si>
  <si>
    <t>018269-002</t>
  </si>
  <si>
    <t>3.5"</t>
  </si>
  <si>
    <t>Barber</t>
  </si>
  <si>
    <t>018269-003</t>
  </si>
  <si>
    <t>018269-001</t>
  </si>
  <si>
    <t>007553-001</t>
  </si>
  <si>
    <t>17¼</t>
  </si>
  <si>
    <t>ASY</t>
  </si>
  <si>
    <t>007553-002</t>
  </si>
  <si>
    <t>3½ RH Beco</t>
  </si>
  <si>
    <t>007553-003</t>
  </si>
  <si>
    <t>Req. 002023-007 Wrench Jay</t>
  </si>
  <si>
    <t>017818-001</t>
  </si>
  <si>
    <t>017818-002</t>
  </si>
  <si>
    <t>017818-003</t>
  </si>
  <si>
    <t>015722-001</t>
  </si>
  <si>
    <t>D90K (18" Dia body)</t>
  </si>
  <si>
    <t>Pipe Weight</t>
  </si>
  <si>
    <t>Top Sub Weight</t>
  </si>
  <si>
    <t>Bit Sub Length</t>
  </si>
  <si>
    <t>Bit Sub Weight</t>
  </si>
  <si>
    <t>Shock Sub Length</t>
  </si>
  <si>
    <t>Shock Sub Weight</t>
  </si>
  <si>
    <t xml:space="preserve">Shock Sub </t>
  </si>
  <si>
    <t>Yes</t>
  </si>
  <si>
    <t>No</t>
  </si>
  <si>
    <t>Top Sub Length</t>
  </si>
  <si>
    <t>Drill String Weight</t>
  </si>
  <si>
    <t>Weight</t>
  </si>
  <si>
    <t>Length</t>
  </si>
  <si>
    <t>WEIGHT ON BIT</t>
  </si>
  <si>
    <t>Set Bit Load</t>
  </si>
  <si>
    <t>hr</t>
  </si>
  <si>
    <t>Estimated Cycle Time per Hole</t>
  </si>
  <si>
    <t>mins</t>
  </si>
  <si>
    <t>RPM/Bit Load exceeds that recommended for drill bit</t>
  </si>
  <si>
    <t>Set Pulldown</t>
  </si>
  <si>
    <t>DR540</t>
  </si>
  <si>
    <t>Hammer Bit Type</t>
  </si>
  <si>
    <t xml:space="preserve">Max. Compressor pressure </t>
  </si>
  <si>
    <t>Rock Drillability Index</t>
  </si>
  <si>
    <t>Max Possible Weight on Bit</t>
  </si>
  <si>
    <t>DRILLING RATE INDEX FOR DTH</t>
  </si>
  <si>
    <t>m/hr</t>
  </si>
  <si>
    <t>M80</t>
  </si>
  <si>
    <t>Codelco</t>
  </si>
  <si>
    <t>Ministro Hales</t>
  </si>
  <si>
    <t>DR412i MP</t>
  </si>
  <si>
    <t>DR412i SP</t>
  </si>
  <si>
    <t>DR416i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</si>
</sst>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"/>
    <numFmt numFmtId="165" formatCode="#,##0.0"/>
    <numFmt numFmtId="166" formatCode="0.0000"/>
    <numFmt numFmtId="167" formatCode="0.000"/>
    <numFmt numFmtId="168" formatCode="0.0000000"/>
    <numFmt numFmtId="169" formatCode="[$-409]mmmm\ d\,\ yyyy;@"/>
    <numFmt numFmtId="170" formatCode="#\°"/>
    <numFmt numFmtId="171" formatCode="#.0\°"/>
    <numFmt numFmtId="172" formatCode="#\ &quot;Hz&quot;"/>
    <numFmt numFmtId="173" formatCode="_(* #,##0_);_(* \(#,##0\);_(* &quot;-&quot;??_);_(@_)"/>
    <numFmt numFmtId="174" formatCode="#\ ?/8"/>
    <numFmt numFmtId="175" formatCode="#\ ?/4"/>
    <numFmt numFmtId="176" formatCode="#\ ?/2"/>
  </numFmts>
  <fonts count="19" x14ac:knownFonts="1">
    <font>
      <sz val="10"/>
      <name val="Arial"/>
    </font>
    <font>
      <sz val="10"/>
      <name val="Arial"/>
      <family val="2"/>
    </font>
    <font>
      <sz val="10"/>
      <name val="Californian FB"/>
      <family val="1"/>
    </font>
    <font>
      <sz val="8"/>
      <name val="Arial"/>
      <family val="2"/>
    </font>
    <font>
      <b/>
      <sz val="10"/>
      <name val="Californian FB"/>
      <family val="1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b/>
      <sz val="10"/>
      <color indexed="8"/>
      <name val="Californian FB"/>
      <family val="1"/>
    </font>
    <font>
      <sz val="8"/>
      <name val="Arial"/>
      <family val="2"/>
    </font>
    <font>
      <sz val="10"/>
      <name val="Palatino Linotype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2"/>
      <color theme="1"/>
      <name val="Calibri"/>
      <family val="2"/>
      <scheme val="minor"/>
    </font>
    <font>
      <b/>
      <u val="double"/>
      <sz val="20"/>
      <color theme="4"/>
      <name val="Arial Black"/>
      <family val="2"/>
    </font>
    <font>
      <b/>
      <sz val="10"/>
      <color rgb="FFFF0000"/>
      <name val="Californian FB"/>
      <family val="1"/>
    </font>
    <font>
      <b/>
      <sz val="8"/>
      <color rgb="FFFF0000"/>
      <name val="Arial"/>
      <family val="2"/>
    </font>
    <font>
      <sz val="10"/>
      <color rgb="FFFF0000"/>
      <name val="Californian FB"/>
      <family val="1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12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ck">
        <color indexed="12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thick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2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12"/>
      </left>
      <right style="thick">
        <color indexed="9"/>
      </right>
      <top style="thick">
        <color indexed="12"/>
      </top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thick">
        <color indexed="12"/>
      </top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thick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/>
      <diagonal/>
    </border>
    <border>
      <left style="thin">
        <color indexed="9"/>
      </left>
      <right style="thick">
        <color indexed="12"/>
      </right>
      <top style="thin">
        <color indexed="9"/>
      </top>
      <bottom/>
      <diagonal/>
    </border>
    <border>
      <left style="medium">
        <color indexed="64"/>
      </left>
      <right style="thick">
        <color indexed="12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thick">
        <color indexed="12"/>
      </right>
      <top style="medium">
        <color indexed="9"/>
      </top>
      <bottom/>
      <diagonal/>
    </border>
    <border>
      <left style="thick">
        <color indexed="12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12"/>
      </right>
      <top style="medium">
        <color indexed="9"/>
      </top>
      <bottom style="thick">
        <color indexed="9"/>
      </bottom>
      <diagonal/>
    </border>
    <border>
      <left style="thick">
        <color indexed="12"/>
      </left>
      <right style="thick">
        <color indexed="9"/>
      </right>
      <top style="thick">
        <color indexed="9"/>
      </top>
      <bottom style="thick">
        <color indexed="12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12"/>
      </bottom>
      <diagonal/>
    </border>
    <border>
      <left style="thick">
        <color indexed="9"/>
      </left>
      <right style="thick">
        <color indexed="12"/>
      </right>
      <top style="thick">
        <color indexed="9"/>
      </top>
      <bottom style="thick">
        <color indexed="12"/>
      </bottom>
      <diagonal/>
    </border>
    <border>
      <left/>
      <right style="thick">
        <color indexed="9"/>
      </right>
      <top style="thin">
        <color indexed="9"/>
      </top>
      <bottom style="thick">
        <color indexed="9"/>
      </bottom>
      <diagonal/>
    </border>
    <border>
      <left style="thick">
        <color indexed="12"/>
      </left>
      <right/>
      <top style="thin">
        <color indexed="9"/>
      </top>
      <bottom style="thin">
        <color indexed="9"/>
      </bottom>
      <diagonal/>
    </border>
    <border>
      <left/>
      <right style="thick">
        <color indexed="12"/>
      </right>
      <top style="medium">
        <color indexed="9"/>
      </top>
      <bottom style="medium">
        <color indexed="9"/>
      </bottom>
      <diagonal/>
    </border>
    <border>
      <left style="thick">
        <color indexed="12"/>
      </left>
      <right/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12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ck">
        <color indexed="12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 style="thick">
        <color indexed="9"/>
      </left>
      <right style="thick">
        <color indexed="12"/>
      </right>
      <top/>
      <bottom style="thick">
        <color indexed="9"/>
      </bottom>
      <diagonal/>
    </border>
    <border>
      <left/>
      <right style="thick">
        <color indexed="12"/>
      </right>
      <top/>
      <bottom style="thick">
        <color indexed="9"/>
      </bottom>
      <diagonal/>
    </border>
    <border>
      <left style="thick">
        <color indexed="12"/>
      </left>
      <right/>
      <top style="thick">
        <color indexed="9"/>
      </top>
      <bottom style="thick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/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9"/>
      </right>
      <top style="thick">
        <color indexed="12"/>
      </top>
      <bottom/>
      <diagonal/>
    </border>
    <border>
      <left style="thick">
        <color indexed="9"/>
      </left>
      <right/>
      <top/>
      <bottom/>
      <diagonal/>
    </border>
    <border>
      <left/>
      <right style="thick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12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ck">
        <color indexed="12"/>
      </right>
      <top style="thick">
        <color indexed="9"/>
      </top>
      <bottom style="thick">
        <color indexed="9"/>
      </bottom>
      <diagonal/>
    </border>
    <border>
      <left/>
      <right style="medium">
        <color indexed="64"/>
      </right>
      <top style="medium">
        <color indexed="9"/>
      </top>
      <bottom style="medium">
        <color indexed="9"/>
      </bottom>
      <diagonal/>
    </border>
    <border>
      <left/>
      <right/>
      <top style="thick">
        <color indexed="9"/>
      </top>
      <bottom/>
      <diagonal/>
    </border>
    <border>
      <left style="medium">
        <color indexed="64"/>
      </left>
      <right style="thick">
        <color indexed="12"/>
      </right>
      <top style="medium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9"/>
      </right>
      <top/>
      <bottom/>
      <diagonal/>
    </border>
    <border>
      <left/>
      <right style="thick">
        <color indexed="9"/>
      </right>
      <top/>
      <bottom style="thick">
        <color indexed="9"/>
      </bottom>
      <diagonal/>
    </border>
    <border>
      <left/>
      <right style="thick">
        <color indexed="12"/>
      </right>
      <top style="thin">
        <color indexed="9"/>
      </top>
      <bottom style="thin">
        <color indexed="9"/>
      </bottom>
      <diagonal/>
    </border>
    <border>
      <left/>
      <right style="thick">
        <color indexed="12"/>
      </right>
      <top style="thin">
        <color indexed="9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1" fontId="3" fillId="2" borderId="2" xfId="0" applyNumberFormat="1" applyFont="1" applyFill="1" applyBorder="1" applyAlignment="1" applyProtection="1">
      <alignment horizontal="center" vertical="center"/>
      <protection hidden="1"/>
    </xf>
    <xf numFmtId="164" fontId="3" fillId="2" borderId="2" xfId="0" applyNumberFormat="1" applyFont="1" applyFill="1" applyBorder="1" applyAlignment="1" applyProtection="1">
      <alignment horizontal="center" vertical="center"/>
      <protection hidden="1"/>
    </xf>
    <xf numFmtId="3" fontId="3" fillId="0" borderId="2" xfId="0" applyNumberFormat="1" applyFont="1" applyFill="1" applyBorder="1" applyAlignment="1" applyProtection="1">
      <alignment horizontal="center" vertical="center"/>
      <protection locked="0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2" borderId="2" xfId="0" applyNumberFormat="1" applyFont="1" applyFill="1" applyBorder="1" applyAlignment="1" applyProtection="1">
      <alignment horizontal="center" vertical="center"/>
      <protection hidden="1"/>
    </xf>
    <xf numFmtId="3" fontId="3" fillId="2" borderId="2" xfId="0" applyNumberFormat="1" applyFont="1" applyFill="1" applyBorder="1" applyAlignment="1" applyProtection="1">
      <alignment horizontal="center" vertical="center"/>
      <protection hidden="1"/>
    </xf>
    <xf numFmtId="165" fontId="3" fillId="0" borderId="2" xfId="0" applyNumberFormat="1" applyFont="1" applyFill="1" applyBorder="1" applyAlignment="1" applyProtection="1">
      <alignment horizontal="center" vertical="center"/>
      <protection locked="0"/>
    </xf>
    <xf numFmtId="165" fontId="3" fillId="2" borderId="2" xfId="0" applyNumberFormat="1" applyFont="1" applyFill="1" applyBorder="1" applyAlignment="1" applyProtection="1">
      <alignment horizontal="center" vertical="center"/>
      <protection hidden="1"/>
    </xf>
    <xf numFmtId="164" fontId="3" fillId="3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" fontId="3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12" fontId="4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167" fontId="2" fillId="0" borderId="0" xfId="0" applyNumberFormat="1" applyFont="1" applyFill="1" applyBorder="1" applyProtection="1">
      <protection locked="0"/>
    </xf>
    <xf numFmtId="10" fontId="4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9" fontId="2" fillId="0" borderId="0" xfId="0" applyNumberFormat="1" applyFont="1" applyAlignment="1" applyProtection="1">
      <alignment vertical="center"/>
      <protection locked="0"/>
    </xf>
    <xf numFmtId="9" fontId="2" fillId="0" borderId="0" xfId="0" applyNumberFormat="1" applyFont="1" applyAlignment="1" applyProtection="1">
      <alignment horizontal="right" vertical="center"/>
      <protection locked="0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9" fillId="0" borderId="0" xfId="0" applyFont="1" applyProtection="1">
      <protection locked="0"/>
    </xf>
    <xf numFmtId="12" fontId="2" fillId="0" borderId="0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164" fontId="2" fillId="0" borderId="0" xfId="0" applyNumberFormat="1" applyFont="1" applyFill="1" applyBorder="1" applyProtection="1">
      <protection locked="0"/>
    </xf>
    <xf numFmtId="10" fontId="9" fillId="0" borderId="0" xfId="0" applyNumberFormat="1" applyFont="1" applyProtection="1"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2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2" fontId="2" fillId="0" borderId="0" xfId="0" applyNumberFormat="1" applyFont="1" applyFill="1" applyBorder="1" applyProtection="1">
      <protection locked="0"/>
    </xf>
    <xf numFmtId="2" fontId="9" fillId="0" borderId="0" xfId="0" applyNumberFormat="1" applyFont="1" applyProtection="1">
      <protection locked="0"/>
    </xf>
    <xf numFmtId="0" fontId="2" fillId="0" borderId="41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3" fontId="4" fillId="0" borderId="0" xfId="0" applyNumberFormat="1" applyFont="1" applyProtection="1">
      <protection locked="0"/>
    </xf>
    <xf numFmtId="1" fontId="4" fillId="4" borderId="0" xfId="0" applyNumberFormat="1" applyFont="1" applyFill="1" applyBorder="1" applyAlignment="1" applyProtection="1">
      <alignment horizontal="center"/>
      <protection locked="0"/>
    </xf>
    <xf numFmtId="12" fontId="2" fillId="0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2" fontId="2" fillId="0" borderId="0" xfId="0" applyNumberFormat="1" applyFont="1" applyProtection="1">
      <protection locked="0"/>
    </xf>
    <xf numFmtId="3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 applyProtection="1">
      <alignment horizontal="right"/>
      <protection locked="0"/>
    </xf>
    <xf numFmtId="167" fontId="2" fillId="0" borderId="0" xfId="0" applyNumberFormat="1" applyFont="1" applyFill="1" applyProtection="1">
      <protection locked="0"/>
    </xf>
    <xf numFmtId="165" fontId="2" fillId="0" borderId="0" xfId="0" applyNumberFormat="1" applyFo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3" fontId="4" fillId="4" borderId="0" xfId="0" applyNumberFormat="1" applyFont="1" applyFill="1" applyProtection="1">
      <protection locked="0"/>
    </xf>
    <xf numFmtId="166" fontId="2" fillId="0" borderId="0" xfId="0" applyNumberFormat="1" applyFont="1" applyFill="1" applyProtection="1">
      <protection locked="0"/>
    </xf>
    <xf numFmtId="1" fontId="2" fillId="0" borderId="0" xfId="0" applyNumberFormat="1" applyFont="1" applyFill="1" applyBorder="1" applyProtection="1">
      <protection locked="0"/>
    </xf>
    <xf numFmtId="0" fontId="4" fillId="4" borderId="0" xfId="0" applyFont="1" applyFill="1" applyAlignment="1" applyProtection="1">
      <alignment horizontal="right"/>
      <protection locked="0"/>
    </xf>
    <xf numFmtId="14" fontId="2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2" fontId="4" fillId="0" borderId="0" xfId="0" applyNumberFormat="1" applyFont="1" applyAlignment="1" applyProtection="1">
      <protection locked="0"/>
    </xf>
    <xf numFmtId="167" fontId="2" fillId="0" borderId="0" xfId="0" applyNumberFormat="1" applyFont="1" applyProtection="1">
      <protection locked="0"/>
    </xf>
    <xf numFmtId="0" fontId="2" fillId="4" borderId="0" xfId="0" applyFont="1" applyFill="1" applyProtection="1">
      <protection locked="0"/>
    </xf>
    <xf numFmtId="3" fontId="2" fillId="0" borderId="0" xfId="0" applyNumberFormat="1" applyFont="1" applyAlignment="1" applyProtection="1">
      <protection locked="0"/>
    </xf>
    <xf numFmtId="2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3" fontId="2" fillId="0" borderId="0" xfId="0" applyNumberFormat="1" applyFont="1" applyAlignment="1" applyProtection="1">
      <alignment horizontal="center"/>
      <protection locked="0"/>
    </xf>
    <xf numFmtId="0" fontId="10" fillId="0" borderId="45" xfId="0" applyFont="1" applyFill="1" applyBorder="1" applyAlignment="1">
      <alignment horizontal="left"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3" fontId="3" fillId="0" borderId="27" xfId="0" applyNumberFormat="1" applyFont="1" applyBorder="1" applyAlignment="1">
      <alignment horizontal="center" vertical="center"/>
    </xf>
    <xf numFmtId="4" fontId="2" fillId="0" borderId="0" xfId="0" applyNumberFormat="1" applyFont="1" applyProtection="1">
      <protection locked="0"/>
    </xf>
    <xf numFmtId="9" fontId="4" fillId="5" borderId="0" xfId="0" applyNumberFormat="1" applyFont="1" applyFill="1" applyProtection="1">
      <protection locked="0"/>
    </xf>
    <xf numFmtId="9" fontId="4" fillId="0" borderId="0" xfId="0" applyNumberFormat="1" applyFont="1" applyProtection="1">
      <protection locked="0"/>
    </xf>
    <xf numFmtId="170" fontId="2" fillId="0" borderId="0" xfId="0" applyNumberFormat="1" applyFont="1" applyFill="1" applyBorder="1" applyProtection="1">
      <protection locked="0"/>
    </xf>
    <xf numFmtId="171" fontId="2" fillId="0" borderId="0" xfId="0" applyNumberFormat="1" applyFont="1" applyFill="1" applyBorder="1" applyProtection="1"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Protection="1">
      <protection locked="0"/>
    </xf>
    <xf numFmtId="1" fontId="8" fillId="2" borderId="2" xfId="2" applyNumberFormat="1" applyFont="1" applyFill="1" applyBorder="1" applyAlignment="1" applyProtection="1">
      <alignment horizontal="center" vertical="center"/>
      <protection hidden="1"/>
    </xf>
    <xf numFmtId="173" fontId="3" fillId="0" borderId="2" xfId="1" applyNumberFormat="1" applyFont="1" applyBorder="1" applyAlignment="1" applyProtection="1">
      <alignment vertical="center"/>
      <protection locked="0"/>
    </xf>
    <xf numFmtId="9" fontId="2" fillId="0" borderId="0" xfId="2" applyFont="1" applyProtection="1"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right" vertical="center"/>
    </xf>
    <xf numFmtId="0" fontId="5" fillId="6" borderId="2" xfId="0" applyFont="1" applyFill="1" applyBorder="1" applyAlignment="1" applyProtection="1">
      <alignment horizontal="right" vertical="center"/>
    </xf>
    <xf numFmtId="0" fontId="5" fillId="6" borderId="49" xfId="0" applyFont="1" applyFill="1" applyBorder="1" applyAlignment="1">
      <alignment vertical="center"/>
    </xf>
    <xf numFmtId="0" fontId="5" fillId="6" borderId="50" xfId="0" applyFont="1" applyFill="1" applyBorder="1" applyAlignment="1">
      <alignment vertical="center"/>
    </xf>
    <xf numFmtId="0" fontId="5" fillId="6" borderId="49" xfId="0" applyFont="1" applyFill="1" applyBorder="1" applyAlignment="1" applyProtection="1">
      <alignment vertical="center"/>
    </xf>
    <xf numFmtId="0" fontId="5" fillId="6" borderId="50" xfId="0" applyFont="1" applyFill="1" applyBorder="1" applyAlignment="1" applyProtection="1">
      <alignment vertical="center"/>
    </xf>
    <xf numFmtId="0" fontId="5" fillId="6" borderId="51" xfId="0" applyFont="1" applyFill="1" applyBorder="1" applyAlignment="1">
      <alignment vertical="center"/>
    </xf>
    <xf numFmtId="0" fontId="5" fillId="6" borderId="5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6" fillId="7" borderId="0" xfId="0" applyFont="1" applyFill="1" applyBorder="1" applyAlignment="1" applyProtection="1">
      <alignment vertical="center"/>
      <protection hidden="1"/>
    </xf>
    <xf numFmtId="0" fontId="3" fillId="7" borderId="0" xfId="0" applyFont="1" applyFill="1" applyBorder="1" applyAlignment="1" applyProtection="1">
      <alignment vertical="center"/>
      <protection hidden="1"/>
    </xf>
    <xf numFmtId="0" fontId="11" fillId="8" borderId="2" xfId="0" applyFont="1" applyFill="1" applyBorder="1" applyAlignment="1" applyProtection="1">
      <alignment horizontal="right" vertical="center"/>
      <protection hidden="1"/>
    </xf>
    <xf numFmtId="3" fontId="12" fillId="8" borderId="2" xfId="0" applyNumberFormat="1" applyFont="1" applyFill="1" applyBorder="1" applyAlignment="1" applyProtection="1">
      <alignment horizontal="center" vertical="center"/>
      <protection hidden="1"/>
    </xf>
    <xf numFmtId="0" fontId="11" fillId="8" borderId="2" xfId="0" applyFont="1" applyFill="1" applyBorder="1" applyAlignment="1">
      <alignment horizontal="right" vertical="center"/>
    </xf>
    <xf numFmtId="164" fontId="12" fillId="8" borderId="2" xfId="0" applyNumberFormat="1" applyFont="1" applyFill="1" applyBorder="1" applyAlignment="1" applyProtection="1">
      <alignment horizontal="center" vertical="center"/>
      <protection hidden="1"/>
    </xf>
    <xf numFmtId="43" fontId="13" fillId="0" borderId="53" xfId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15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72" xfId="0" applyFill="1" applyBorder="1" applyAlignment="1">
      <alignment horizont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3" fontId="10" fillId="0" borderId="0" xfId="0" applyNumberFormat="1" applyFont="1" applyFill="1" applyBorder="1" applyAlignment="1">
      <alignment horizontal="center" vertical="center"/>
    </xf>
    <xf numFmtId="13" fontId="10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Fill="1" applyBorder="1" applyAlignment="1">
      <alignment horizontal="center" vertical="center"/>
    </xf>
    <xf numFmtId="174" fontId="10" fillId="0" borderId="0" xfId="0" applyNumberFormat="1" applyFont="1" applyFill="1" applyBorder="1" applyAlignment="1">
      <alignment horizontal="center" vertical="center"/>
    </xf>
    <xf numFmtId="175" fontId="10" fillId="0" borderId="0" xfId="0" applyNumberFormat="1" applyFont="1" applyFill="1" applyBorder="1" applyAlignment="1">
      <alignment horizontal="center" vertical="center"/>
    </xf>
    <xf numFmtId="12" fontId="10" fillId="0" borderId="0" xfId="0" applyNumberFormat="1" applyFont="1" applyBorder="1" applyAlignment="1">
      <alignment vertical="center"/>
    </xf>
    <xf numFmtId="176" fontId="10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4" fontId="10" fillId="0" borderId="0" xfId="0" applyNumberFormat="1" applyFont="1" applyBorder="1" applyAlignment="1">
      <alignment horizontal="center" vertical="center"/>
    </xf>
    <xf numFmtId="175" fontId="10" fillId="0" borderId="0" xfId="0" applyNumberFormat="1" applyFont="1" applyBorder="1" applyAlignment="1">
      <alignment horizontal="center" vertical="center"/>
    </xf>
    <xf numFmtId="175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53" xfId="0" applyFont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5" fillId="6" borderId="0" xfId="0" applyFont="1" applyFill="1" applyBorder="1" applyAlignment="1">
      <alignment vertical="center"/>
    </xf>
    <xf numFmtId="3" fontId="3" fillId="2" borderId="0" xfId="0" applyNumberFormat="1" applyFont="1" applyFill="1" applyBorder="1" applyAlignment="1" applyProtection="1">
      <alignment horizontal="center" vertical="center"/>
      <protection hidden="1"/>
    </xf>
    <xf numFmtId="0" fontId="11" fillId="8" borderId="0" xfId="0" applyFont="1" applyFill="1" applyBorder="1" applyAlignment="1">
      <alignment horizontal="right" vertical="center"/>
    </xf>
    <xf numFmtId="0" fontId="3" fillId="0" borderId="73" xfId="0" applyFont="1" applyBorder="1" applyAlignment="1">
      <alignment vertical="center"/>
    </xf>
    <xf numFmtId="0" fontId="11" fillId="9" borderId="2" xfId="0" applyFont="1" applyFill="1" applyBorder="1" applyAlignment="1" applyProtection="1">
      <alignment horizontal="right" vertical="center"/>
      <protection hidden="1"/>
    </xf>
    <xf numFmtId="0" fontId="11" fillId="8" borderId="2" xfId="0" applyFont="1" applyFill="1" applyBorder="1" applyAlignment="1">
      <alignment horizontal="right" vertical="center" wrapText="1"/>
    </xf>
    <xf numFmtId="3" fontId="3" fillId="2" borderId="60" xfId="0" applyNumberFormat="1" applyFont="1" applyFill="1" applyBorder="1" applyAlignment="1" applyProtection="1">
      <alignment horizontal="center" vertical="center"/>
      <protection hidden="1"/>
    </xf>
    <xf numFmtId="0" fontId="5" fillId="6" borderId="61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right" vertical="center" wrapText="1"/>
    </xf>
    <xf numFmtId="3" fontId="3" fillId="9" borderId="0" xfId="0" applyNumberFormat="1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Border="1" applyAlignment="1">
      <alignment vertical="center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5" fillId="6" borderId="48" xfId="0" applyFont="1" applyFill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11" fillId="9" borderId="0" xfId="0" applyFont="1" applyFill="1" applyBorder="1" applyAlignment="1">
      <alignment horizontal="right" vertical="center"/>
    </xf>
    <xf numFmtId="0" fontId="3" fillId="9" borderId="0" xfId="0" applyFont="1" applyFill="1" applyAlignment="1">
      <alignment vertical="center"/>
    </xf>
    <xf numFmtId="0" fontId="3" fillId="0" borderId="74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5" fillId="9" borderId="0" xfId="0" applyFont="1" applyFill="1" applyBorder="1" applyAlignment="1" applyProtection="1">
      <alignment horizontal="right" vertical="center"/>
      <protection hidden="1"/>
    </xf>
    <xf numFmtId="0" fontId="3" fillId="9" borderId="0" xfId="0" applyFont="1" applyFill="1" applyBorder="1" applyAlignment="1">
      <alignment vertical="center"/>
    </xf>
    <xf numFmtId="0" fontId="3" fillId="0" borderId="76" xfId="0" applyFont="1" applyBorder="1" applyAlignment="1">
      <alignment vertical="center"/>
    </xf>
    <xf numFmtId="0" fontId="10" fillId="0" borderId="77" xfId="0" applyFont="1" applyFill="1" applyBorder="1" applyAlignment="1">
      <alignment horizontal="left" vertical="center"/>
    </xf>
    <xf numFmtId="0" fontId="5" fillId="6" borderId="6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80" xfId="0" applyFont="1" applyBorder="1" applyAlignment="1">
      <alignment vertical="center"/>
    </xf>
    <xf numFmtId="164" fontId="3" fillId="9" borderId="0" xfId="0" applyNumberFormat="1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Border="1" applyAlignment="1">
      <alignment horizontal="right" vertical="center"/>
    </xf>
    <xf numFmtId="0" fontId="3" fillId="0" borderId="58" xfId="0" applyFont="1" applyBorder="1" applyAlignment="1">
      <alignment vertical="center"/>
    </xf>
    <xf numFmtId="0" fontId="3" fillId="0" borderId="81" xfId="0" applyFont="1" applyBorder="1" applyAlignment="1">
      <alignment vertical="center"/>
    </xf>
    <xf numFmtId="0" fontId="3" fillId="0" borderId="82" xfId="0" applyFont="1" applyBorder="1" applyAlignment="1">
      <alignment vertical="center"/>
    </xf>
    <xf numFmtId="0" fontId="11" fillId="8" borderId="60" xfId="0" applyFont="1" applyFill="1" applyBorder="1" applyAlignment="1">
      <alignment horizontal="right" vertical="center" wrapText="1"/>
    </xf>
    <xf numFmtId="164" fontId="3" fillId="2" borderId="62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Protection="1">
      <protection locked="0"/>
    </xf>
    <xf numFmtId="0" fontId="5" fillId="6" borderId="2" xfId="0" applyFont="1" applyFill="1" applyBorder="1" applyAlignment="1" applyProtection="1">
      <alignment horizontal="right" vertical="center"/>
      <protection hidden="1"/>
    </xf>
    <xf numFmtId="2" fontId="3" fillId="0" borderId="19" xfId="0" applyNumberFormat="1" applyFont="1" applyBorder="1" applyAlignment="1">
      <alignment vertical="center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center"/>
      <protection locked="0"/>
    </xf>
    <xf numFmtId="0" fontId="3" fillId="0" borderId="84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3" fontId="3" fillId="9" borderId="60" xfId="0" applyNumberFormat="1" applyFont="1" applyFill="1" applyBorder="1" applyAlignment="1" applyProtection="1">
      <alignment horizontal="center" vertical="center"/>
      <protection locked="0" hidden="1"/>
    </xf>
    <xf numFmtId="0" fontId="5" fillId="6" borderId="65" xfId="0" applyFont="1" applyFill="1" applyBorder="1" applyAlignment="1">
      <alignment horizontal="right" vertical="center"/>
    </xf>
    <xf numFmtId="3" fontId="3" fillId="2" borderId="62" xfId="0" applyNumberFormat="1" applyFont="1" applyFill="1" applyBorder="1" applyAlignment="1" applyProtection="1">
      <alignment horizontal="center" vertical="center"/>
      <protection hidden="1"/>
    </xf>
    <xf numFmtId="0" fontId="11" fillId="10" borderId="0" xfId="0" applyFont="1" applyFill="1" applyBorder="1" applyAlignment="1">
      <alignment horizontal="right" vertical="center" wrapText="1"/>
    </xf>
    <xf numFmtId="164" fontId="3" fillId="10" borderId="0" xfId="0" applyNumberFormat="1" applyFont="1" applyFill="1" applyBorder="1" applyAlignment="1" applyProtection="1">
      <alignment horizontal="center" vertical="center"/>
      <protection hidden="1"/>
    </xf>
    <xf numFmtId="0" fontId="5" fillId="10" borderId="0" xfId="0" applyFont="1" applyFill="1" applyBorder="1" applyAlignment="1">
      <alignment vertical="center"/>
    </xf>
    <xf numFmtId="0" fontId="3" fillId="9" borderId="10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3" fillId="9" borderId="11" xfId="0" applyFont="1" applyFill="1" applyBorder="1" applyAlignment="1">
      <alignment vertical="center"/>
    </xf>
    <xf numFmtId="0" fontId="3" fillId="9" borderId="23" xfId="0" applyFont="1" applyFill="1" applyBorder="1" applyAlignment="1">
      <alignment vertical="center"/>
    </xf>
    <xf numFmtId="0" fontId="3" fillId="9" borderId="34" xfId="0" applyFont="1" applyFill="1" applyBorder="1" applyAlignment="1">
      <alignment vertical="center"/>
    </xf>
    <xf numFmtId="0" fontId="3" fillId="9" borderId="73" xfId="0" applyFont="1" applyFill="1" applyBorder="1" applyAlignment="1">
      <alignment vertical="center"/>
    </xf>
    <xf numFmtId="0" fontId="6" fillId="9" borderId="0" xfId="0" applyFont="1" applyFill="1" applyBorder="1" applyAlignment="1" applyProtection="1">
      <alignment vertical="center"/>
      <protection hidden="1"/>
    </xf>
    <xf numFmtId="0" fontId="3" fillId="9" borderId="0" xfId="0" applyFont="1" applyFill="1" applyBorder="1" applyAlignment="1" applyProtection="1">
      <alignment vertical="center"/>
      <protection hidden="1"/>
    </xf>
    <xf numFmtId="0" fontId="3" fillId="9" borderId="85" xfId="0" applyFont="1" applyFill="1" applyBorder="1" applyAlignment="1">
      <alignment vertical="center"/>
    </xf>
    <xf numFmtId="0" fontId="3" fillId="9" borderId="86" xfId="0" applyFont="1" applyFill="1" applyBorder="1" applyAlignment="1">
      <alignment vertical="center"/>
    </xf>
    <xf numFmtId="0" fontId="6" fillId="7" borderId="63" xfId="0" applyFont="1" applyFill="1" applyBorder="1" applyAlignment="1" applyProtection="1">
      <alignment vertical="center"/>
      <protection hidden="1"/>
    </xf>
    <xf numFmtId="0" fontId="3" fillId="7" borderId="41" xfId="0" applyFont="1" applyFill="1" applyBorder="1" applyAlignment="1" applyProtection="1">
      <alignment vertical="center"/>
      <protection hidden="1"/>
    </xf>
    <xf numFmtId="0" fontId="6" fillId="7" borderId="81" xfId="0" applyFont="1" applyFill="1" applyBorder="1" applyAlignment="1" applyProtection="1">
      <alignment vertical="center"/>
      <protection hidden="1"/>
    </xf>
    <xf numFmtId="0" fontId="6" fillId="7" borderId="87" xfId="0" applyFont="1" applyFill="1" applyBorder="1" applyAlignment="1" applyProtection="1">
      <alignment vertical="center"/>
      <protection hidden="1"/>
    </xf>
    <xf numFmtId="0" fontId="6" fillId="7" borderId="88" xfId="0" applyFont="1" applyFill="1" applyBorder="1" applyAlignment="1" applyProtection="1">
      <alignment vertical="center"/>
      <protection hidden="1"/>
    </xf>
    <xf numFmtId="0" fontId="3" fillId="9" borderId="12" xfId="0" applyFont="1" applyFill="1" applyBorder="1" applyAlignment="1">
      <alignment vertical="center"/>
    </xf>
    <xf numFmtId="0" fontId="3" fillId="9" borderId="44" xfId="0" applyFont="1" applyFill="1" applyBorder="1" applyAlignment="1">
      <alignment vertical="center"/>
    </xf>
    <xf numFmtId="0" fontId="3" fillId="9" borderId="33" xfId="0" applyFont="1" applyFill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164" fontId="3" fillId="7" borderId="0" xfId="0" applyNumberFormat="1" applyFont="1" applyFill="1" applyAlignment="1">
      <alignment horizontal="center" vertical="center"/>
    </xf>
    <xf numFmtId="1" fontId="3" fillId="10" borderId="2" xfId="0" applyNumberFormat="1" applyFont="1" applyFill="1" applyBorder="1" applyAlignment="1" applyProtection="1">
      <alignment horizontal="center" vertical="center"/>
      <protection locked="0"/>
    </xf>
    <xf numFmtId="2" fontId="3" fillId="7" borderId="2" xfId="0" applyNumberFormat="1" applyFont="1" applyFill="1" applyBorder="1" applyAlignment="1" applyProtection="1">
      <alignment horizontal="center" vertical="center"/>
      <protection hidden="1"/>
    </xf>
    <xf numFmtId="2" fontId="3" fillId="9" borderId="2" xfId="0" applyNumberFormat="1" applyFont="1" applyFill="1" applyBorder="1" applyAlignment="1" applyProtection="1">
      <alignment horizontal="center" vertical="center"/>
      <protection locked="0"/>
    </xf>
    <xf numFmtId="3" fontId="3" fillId="7" borderId="2" xfId="0" applyNumberFormat="1" applyFont="1" applyFill="1" applyBorder="1" applyAlignment="1" applyProtection="1">
      <alignment horizontal="center" vertical="center"/>
      <protection hidden="1"/>
    </xf>
    <xf numFmtId="0" fontId="3" fillId="7" borderId="2" xfId="0" applyFont="1" applyFill="1" applyBorder="1" applyAlignment="1" applyProtection="1">
      <alignment horizontal="center" vertical="center"/>
      <protection hidden="1"/>
    </xf>
    <xf numFmtId="164" fontId="3" fillId="9" borderId="2" xfId="0" applyNumberFormat="1" applyFont="1" applyFill="1" applyBorder="1" applyAlignment="1" applyProtection="1">
      <alignment horizontal="center" vertical="center"/>
      <protection locked="0"/>
    </xf>
    <xf numFmtId="0" fontId="3" fillId="9" borderId="37" xfId="0" applyFont="1" applyFill="1" applyBorder="1" applyAlignment="1">
      <alignment vertical="center"/>
    </xf>
    <xf numFmtId="0" fontId="3" fillId="9" borderId="57" xfId="0" applyFont="1" applyFill="1" applyBorder="1" applyAlignment="1">
      <alignment vertical="center"/>
    </xf>
    <xf numFmtId="0" fontId="3" fillId="9" borderId="74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3" fontId="3" fillId="9" borderId="2" xfId="0" applyNumberFormat="1" applyFont="1" applyFill="1" applyBorder="1" applyAlignment="1" applyProtection="1">
      <alignment horizontal="center" vertical="center"/>
      <protection locked="0"/>
    </xf>
    <xf numFmtId="1" fontId="3" fillId="9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12" fontId="3" fillId="2" borderId="2" xfId="0" applyNumberFormat="1" applyFont="1" applyFill="1" applyBorder="1" applyAlignment="1" applyProtection="1">
      <alignment horizontal="center" vertical="center"/>
      <protection hidden="1"/>
    </xf>
    <xf numFmtId="4" fontId="3" fillId="7" borderId="2" xfId="0" applyNumberFormat="1" applyFont="1" applyFill="1" applyBorder="1" applyAlignment="1" applyProtection="1">
      <alignment horizontal="center" vertical="center"/>
      <protection hidden="1"/>
    </xf>
    <xf numFmtId="0" fontId="3" fillId="7" borderId="88" xfId="0" applyFont="1" applyFill="1" applyBorder="1" applyAlignment="1" applyProtection="1">
      <alignment vertical="center"/>
      <protection hidden="1"/>
    </xf>
    <xf numFmtId="1" fontId="2" fillId="0" borderId="0" xfId="0" applyNumberFormat="1" applyFont="1" applyBorder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18" fillId="9" borderId="4" xfId="0" applyFont="1" applyFill="1" applyBorder="1" applyAlignment="1">
      <alignment horizontal="center" vertical="center"/>
    </xf>
    <xf numFmtId="0" fontId="18" fillId="9" borderId="7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5" fillId="6" borderId="63" xfId="0" applyFont="1" applyFill="1" applyBorder="1" applyAlignment="1" applyProtection="1">
      <alignment horizontal="right" vertical="center"/>
      <protection hidden="1"/>
    </xf>
    <xf numFmtId="0" fontId="5" fillId="6" borderId="64" xfId="0" applyFont="1" applyFill="1" applyBorder="1" applyAlignment="1" applyProtection="1">
      <alignment horizontal="right" vertical="center"/>
      <protection hidden="1"/>
    </xf>
    <xf numFmtId="0" fontId="5" fillId="6" borderId="65" xfId="0" applyFont="1" applyFill="1" applyBorder="1" applyAlignment="1" applyProtection="1">
      <alignment horizontal="right" vertical="center"/>
      <protection hidden="1"/>
    </xf>
    <xf numFmtId="0" fontId="5" fillId="6" borderId="48" xfId="0" applyFont="1" applyFill="1" applyBorder="1" applyAlignment="1" applyProtection="1">
      <alignment horizontal="right" vertical="center"/>
      <protection hidden="1"/>
    </xf>
    <xf numFmtId="0" fontId="11" fillId="8" borderId="65" xfId="0" applyFont="1" applyFill="1" applyBorder="1" applyAlignment="1">
      <alignment horizontal="right" vertical="center"/>
    </xf>
    <xf numFmtId="0" fontId="11" fillId="8" borderId="48" xfId="0" applyFont="1" applyFill="1" applyBorder="1" applyAlignment="1">
      <alignment horizontal="right" vertical="center"/>
    </xf>
    <xf numFmtId="0" fontId="11" fillId="8" borderId="65" xfId="0" applyFont="1" applyFill="1" applyBorder="1" applyAlignment="1">
      <alignment horizontal="right" vertical="center" wrapText="1"/>
    </xf>
    <xf numFmtId="0" fontId="11" fillId="8" borderId="48" xfId="0" applyFont="1" applyFill="1" applyBorder="1" applyAlignment="1">
      <alignment horizontal="right" vertical="center" wrapText="1"/>
    </xf>
    <xf numFmtId="0" fontId="16" fillId="7" borderId="87" xfId="0" applyFont="1" applyFill="1" applyBorder="1" applyAlignment="1" applyProtection="1">
      <alignment horizontal="left" vertical="center" wrapText="1"/>
      <protection hidden="1"/>
    </xf>
    <xf numFmtId="0" fontId="16" fillId="7" borderId="0" xfId="0" applyFont="1" applyFill="1" applyBorder="1" applyAlignment="1" applyProtection="1">
      <alignment horizontal="left" vertical="center" wrapText="1"/>
      <protection hidden="1"/>
    </xf>
    <xf numFmtId="0" fontId="16" fillId="7" borderId="88" xfId="0" applyFont="1" applyFill="1" applyBorder="1" applyAlignment="1" applyProtection="1">
      <alignment horizontal="left" vertical="center" wrapText="1"/>
      <protection hidden="1"/>
    </xf>
    <xf numFmtId="0" fontId="6" fillId="7" borderId="64" xfId="0" applyFont="1" applyFill="1" applyBorder="1" applyAlignment="1" applyProtection="1">
      <alignment horizontal="left" vertical="center" wrapText="1"/>
      <protection hidden="1"/>
    </xf>
    <xf numFmtId="0" fontId="6" fillId="7" borderId="1" xfId="0" applyFont="1" applyFill="1" applyBorder="1" applyAlignment="1" applyProtection="1">
      <alignment horizontal="left" vertical="center" wrapText="1"/>
      <protection hidden="1"/>
    </xf>
    <xf numFmtId="0" fontId="6" fillId="7" borderId="82" xfId="0" applyFont="1" applyFill="1" applyBorder="1" applyAlignment="1" applyProtection="1">
      <alignment horizontal="left" vertical="center" wrapText="1"/>
      <protection hidden="1"/>
    </xf>
    <xf numFmtId="0" fontId="5" fillId="6" borderId="63" xfId="0" applyFont="1" applyFill="1" applyBorder="1" applyAlignment="1">
      <alignment horizontal="right" vertical="center"/>
    </xf>
    <xf numFmtId="0" fontId="5" fillId="6" borderId="64" xfId="0" applyFont="1" applyFill="1" applyBorder="1" applyAlignment="1">
      <alignment horizontal="right" vertical="center"/>
    </xf>
    <xf numFmtId="0" fontId="5" fillId="6" borderId="65" xfId="0" applyFont="1" applyFill="1" applyBorder="1" applyAlignment="1">
      <alignment horizontal="right" vertical="center" wrapText="1"/>
    </xf>
    <xf numFmtId="0" fontId="5" fillId="6" borderId="48" xfId="0" applyFont="1" applyFill="1" applyBorder="1" applyAlignment="1">
      <alignment horizontal="right" vertical="center" wrapText="1"/>
    </xf>
    <xf numFmtId="0" fontId="11" fillId="8" borderId="63" xfId="0" applyFont="1" applyFill="1" applyBorder="1" applyAlignment="1">
      <alignment horizontal="right" vertical="center"/>
    </xf>
    <xf numFmtId="0" fontId="11" fillId="8" borderId="64" xfId="0" applyFont="1" applyFill="1" applyBorder="1" applyAlignment="1">
      <alignment horizontal="right" vertical="center"/>
    </xf>
    <xf numFmtId="0" fontId="5" fillId="6" borderId="65" xfId="0" applyFont="1" applyFill="1" applyBorder="1" applyAlignment="1">
      <alignment horizontal="right" vertical="center"/>
    </xf>
    <xf numFmtId="0" fontId="5" fillId="6" borderId="48" xfId="0" applyFont="1" applyFill="1" applyBorder="1" applyAlignment="1">
      <alignment horizontal="right" vertical="center"/>
    </xf>
    <xf numFmtId="0" fontId="14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69" fontId="10" fillId="0" borderId="60" xfId="0" applyNumberFormat="1" applyFont="1" applyFill="1" applyBorder="1" applyAlignment="1" applyProtection="1">
      <alignment horizontal="left" vertical="center"/>
      <protection locked="0"/>
    </xf>
    <xf numFmtId="169" fontId="10" fillId="0" borderId="61" xfId="0" applyNumberFormat="1" applyFont="1" applyFill="1" applyBorder="1" applyAlignment="1" applyProtection="1">
      <alignment horizontal="left" vertical="center"/>
      <protection locked="0"/>
    </xf>
    <xf numFmtId="0" fontId="10" fillId="0" borderId="60" xfId="0" applyFont="1" applyFill="1" applyBorder="1" applyAlignment="1" applyProtection="1">
      <alignment horizontal="left" vertical="center"/>
      <protection locked="0"/>
    </xf>
    <xf numFmtId="0" fontId="10" fillId="0" borderId="62" xfId="0" applyFont="1" applyFill="1" applyBorder="1" applyAlignment="1" applyProtection="1">
      <alignment horizontal="left" vertical="center"/>
      <protection locked="0"/>
    </xf>
    <xf numFmtId="0" fontId="10" fillId="0" borderId="61" xfId="0" applyFont="1" applyFill="1" applyBorder="1" applyAlignment="1" applyProtection="1">
      <alignment horizontal="left" vertical="center"/>
      <protection locked="0"/>
    </xf>
    <xf numFmtId="0" fontId="5" fillId="6" borderId="63" xfId="0" applyFont="1" applyFill="1" applyBorder="1" applyAlignment="1" applyProtection="1">
      <alignment horizontal="right" vertical="center"/>
    </xf>
    <xf numFmtId="0" fontId="5" fillId="6" borderId="64" xfId="0" applyFont="1" applyFill="1" applyBorder="1" applyAlignment="1" applyProtection="1">
      <alignment horizontal="right" vertical="center"/>
    </xf>
    <xf numFmtId="0" fontId="10" fillId="9" borderId="62" xfId="0" applyFont="1" applyFill="1" applyBorder="1" applyAlignment="1" applyProtection="1">
      <alignment horizontal="left" vertical="center"/>
      <protection locked="0"/>
    </xf>
    <xf numFmtId="0" fontId="10" fillId="9" borderId="61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71" xfId="0" applyFont="1" applyBorder="1" applyAlignment="1" applyProtection="1">
      <alignment horizontal="center"/>
      <protection locked="0"/>
    </xf>
    <xf numFmtId="0" fontId="2" fillId="0" borderId="53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6" fillId="7" borderId="75" xfId="0" applyFont="1" applyFill="1" applyBorder="1" applyAlignment="1" applyProtection="1">
      <alignment horizontal="left" vertical="center" wrapText="1"/>
      <protection hidden="1"/>
    </xf>
    <xf numFmtId="0" fontId="16" fillId="7" borderId="83" xfId="0" applyFont="1" applyFill="1" applyBorder="1" applyAlignment="1" applyProtection="1">
      <alignment horizontal="left" vertical="center" wrapText="1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20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9" dropStyle="combo" dx="16" fmlaLink="'Calc. Sdk'!$AK$2" fmlaRange="'Calc. Sdk'!$AL$3:$AL$26" noThreeD="1" sel="16" val="10"/>
</file>

<file path=xl/ctrlProps/ctrlProp10.xml><?xml version="1.0" encoding="utf-8"?>
<formControlPr xmlns="http://schemas.microsoft.com/office/spreadsheetml/2009/9/main" objectType="Drop" dropLines="7" dropStyle="combo" dx="16" fmlaLink="'Calc. Sdk'!$AH$2" fmlaRange="'Calc. Sdk'!$AG$3:$AG$9" noThreeD="1" sel="1" val="0"/>
</file>

<file path=xl/ctrlProps/ctrlProp11.xml><?xml version="1.0" encoding="utf-8"?>
<formControlPr xmlns="http://schemas.microsoft.com/office/spreadsheetml/2009/9/main" objectType="Drop" dropLines="4" dropStyle="combo" dx="16" fmlaLink="'Calc. Sdk'!$FH$2" fmlaRange="'Calc. Sdk'!$FI$3:$FI$6" noThreeD="1" sel="3" val="0"/>
</file>

<file path=xl/ctrlProps/ctrlProp12.xml><?xml version="1.0" encoding="utf-8"?>
<formControlPr xmlns="http://schemas.microsoft.com/office/spreadsheetml/2009/9/main" objectType="Drop" dropLines="5" dropStyle="combo" dx="16" fmlaLink="'Calc. Sdk'!$DG$22" fmlaRange="'Calc. Sdk'!$DH$23:$DH$33" noThreeD="1" sel="5" val="3"/>
</file>

<file path=xl/ctrlProps/ctrlProp13.xml><?xml version="1.0" encoding="utf-8"?>
<formControlPr xmlns="http://schemas.microsoft.com/office/spreadsheetml/2009/9/main" objectType="Drop" dropLines="2" dropStyle="combo" dx="16" fmlaLink="'Calc. Sdk'!$AR$29" fmlaRange="'Calc. Sdk'!$AS$29:$AS$30" noThreeD="1" sel="1" val="0"/>
</file>

<file path=xl/ctrlProps/ctrlProp14.xml><?xml version="1.0" encoding="utf-8"?>
<formControlPr xmlns="http://schemas.microsoft.com/office/spreadsheetml/2009/9/main" objectType="Drop" dropLines="2" dropStyle="combo" dx="16" fmlaLink="'Calc. Sdk'!$CO$54" fmlaRange="'Calc. Sdk'!$CP$55:$CP$56" noThreeD="1" sel="2" val="0"/>
</file>

<file path=xl/ctrlProps/ctrlProp15.xml><?xml version="1.0" encoding="utf-8"?>
<formControlPr xmlns="http://schemas.microsoft.com/office/spreadsheetml/2009/9/main" objectType="Drop" dropLines="5" dropStyle="combo" dx="16" fmlaLink="'Calc. Sdk'!$CG$75" fmlaRange="'Calc. Sdk'!$CH$76:$CH$88" noThreeD="1" sel="1" val="0"/>
</file>

<file path=xl/ctrlProps/ctrlProp16.xml><?xml version="1.0" encoding="utf-8"?>
<formControlPr xmlns="http://schemas.microsoft.com/office/spreadsheetml/2009/9/main" objectType="Drop" dropStyle="combo" dx="16" fmlaLink="'Calc. Sdk'!$CL$44" fmlaRange="'Calc. Sdk'!$CJ$58:$CJ$83" noThreeD="1" sel="12" val="10"/>
</file>

<file path=xl/ctrlProps/ctrlProp17.xml><?xml version="1.0" encoding="utf-8"?>
<formControlPr xmlns="http://schemas.microsoft.com/office/spreadsheetml/2009/9/main" objectType="Drop" dropLines="9" dropStyle="combo" dx="16" fmlaLink="'Calc. Sdk'!$AK$2" fmlaRange="'Calc. Sdk'!$AL$3:$AL$26" noThreeD="1" sel="16" val="3"/>
</file>

<file path=xl/ctrlProps/ctrlProp18.xml><?xml version="1.0" encoding="utf-8"?>
<formControlPr xmlns="http://schemas.microsoft.com/office/spreadsheetml/2009/9/main" objectType="Drop" dropLines="2" dropStyle="combo" dx="16" fmlaLink="'Calc. Sdk'!$AA$6" fmlaRange="'Calc. Sdk'!$AB$7:$AB$9" noThreeD="1" sel="1" val="0"/>
</file>

<file path=xl/ctrlProps/ctrlProp19.xml><?xml version="1.0" encoding="utf-8"?>
<formControlPr xmlns="http://schemas.microsoft.com/office/spreadsheetml/2009/9/main" objectType="Drop" dropLines="5" dropStyle="combo" dx="16" fmlaLink="'Calc. Sdk'!$BA$2" fmlaRange="'Calc. Sdk'!$BB$3:$BB$9" noThreeD="1" sel="5" val="0"/>
</file>

<file path=xl/ctrlProps/ctrlProp2.xml><?xml version="1.0" encoding="utf-8"?>
<formControlPr xmlns="http://schemas.microsoft.com/office/spreadsheetml/2009/9/main" objectType="Drop" dropLines="2" dropStyle="combo" dx="16" fmlaLink="'Calc. Sdk'!$AA$6" fmlaRange="'Calc. Sdk'!$AB$7:$AB$9" noThreeD="1" sel="1" val="0"/>
</file>

<file path=xl/ctrlProps/ctrlProp20.xml><?xml version="1.0" encoding="utf-8"?>
<formControlPr xmlns="http://schemas.microsoft.com/office/spreadsheetml/2009/9/main" objectType="Drop" dropLines="3" dropStyle="combo" dx="16" fmlaLink="'Calc. Sdk'!$BU$2" fmlaRange="'Calc. Sdk'!$BV$3:$BV$6" noThreeD="1" sel="2" val="0"/>
</file>

<file path=xl/ctrlProps/ctrlProp21.xml><?xml version="1.0" encoding="utf-8"?>
<formControlPr xmlns="http://schemas.microsoft.com/office/spreadsheetml/2009/9/main" objectType="Drop" dropLines="5" dropStyle="combo" dx="16" fmlaLink="'Calc. Sdk'!$CG$2" fmlaRange="'Calc. Sdk'!$CH$3:$CH$8" noThreeD="1" sel="2" val="0"/>
</file>

<file path=xl/ctrlProps/ctrlProp22.xml><?xml version="1.0" encoding="utf-8"?>
<formControlPr xmlns="http://schemas.microsoft.com/office/spreadsheetml/2009/9/main" objectType="Drop" dropLines="2" dropStyle="combo" dx="16" fmlaLink="'Calc. Sdk'!$DL$2" fmlaRange="'Calc. Sdk'!$DM$3:$DM$4" sel="2" val="0"/>
</file>

<file path=xl/ctrlProps/ctrlProp23.xml><?xml version="1.0" encoding="utf-8"?>
<formControlPr xmlns="http://schemas.microsoft.com/office/spreadsheetml/2009/9/main" objectType="Drop" dropLines="5" dropStyle="combo" dx="16" fmlaLink="'Calc. Sdk'!$DC$2" fmlaRange="'Calc. Sdk'!$DD$3:$DD$10" noThreeD="1" sel="5" val="2"/>
</file>

<file path=xl/ctrlProps/ctrlProp24.xml><?xml version="1.0" encoding="utf-8"?>
<formControlPr xmlns="http://schemas.microsoft.com/office/spreadsheetml/2009/9/main" objectType="Drop" dropLines="5" dropStyle="combo" dx="16" fmlaLink="'Calc. Sdk'!#REF!" fmlaRange="'Calc. Sdk'!$DH$54:$DH$69" noThreeD="1" sel="2" val="0"/>
</file>

<file path=xl/ctrlProps/ctrlProp25.xml><?xml version="1.0" encoding="utf-8"?>
<formControlPr xmlns="http://schemas.microsoft.com/office/spreadsheetml/2009/9/main" objectType="Drop" dropLines="5" dropStyle="combo" dx="16" fmlaLink="'Calc. Sdk'!$DG$35" fmlaRange="'Calc. Sdk'!$DH$36:$DH$52" noThreeD="1" sel="7" val="6"/>
</file>

<file path=xl/ctrlProps/ctrlProp26.xml><?xml version="1.0" encoding="utf-8"?>
<formControlPr xmlns="http://schemas.microsoft.com/office/spreadsheetml/2009/9/main" objectType="Drop" dropLines="7" dropStyle="combo" dx="16" fmlaLink="'Calc. Sdk'!$AH$2" fmlaRange="'Calc. Sdk'!$AG$3:$AG$9" noThreeD="1" sel="1" val="0"/>
</file>

<file path=xl/ctrlProps/ctrlProp27.xml><?xml version="1.0" encoding="utf-8"?>
<formControlPr xmlns="http://schemas.microsoft.com/office/spreadsheetml/2009/9/main" objectType="Drop" dropLines="4" dropStyle="combo" dx="16" fmlaLink="'Calc. Sdk'!$FH$2" fmlaRange="'Calc. Sdk'!$FI$3:$FI$6" noThreeD="1" sel="3" val="0"/>
</file>

<file path=xl/ctrlProps/ctrlProp28.xml><?xml version="1.0" encoding="utf-8"?>
<formControlPr xmlns="http://schemas.microsoft.com/office/spreadsheetml/2009/9/main" objectType="Drop" dropLines="5" dropStyle="combo" dx="16" fmlaLink="'Calc. Sdk'!$DG$22" fmlaRange="'Calc. Sdk'!$DH$23:$DH$33" noThreeD="1" sel="5" val="4"/>
</file>

<file path=xl/ctrlProps/ctrlProp29.xml><?xml version="1.0" encoding="utf-8"?>
<formControlPr xmlns="http://schemas.microsoft.com/office/spreadsheetml/2009/9/main" objectType="Drop" dropLines="2" dropStyle="combo" dx="16" fmlaLink="'Calc. Sdk'!$BG$2" fmlaRange="'Calc. Sdk'!$BH$3:$BH$4" noThreeD="1" sel="2" val="0"/>
</file>

<file path=xl/ctrlProps/ctrlProp3.xml><?xml version="1.0" encoding="utf-8"?>
<formControlPr xmlns="http://schemas.microsoft.com/office/spreadsheetml/2009/9/main" objectType="Drop" dropLines="5" dropStyle="combo" dx="16" fmlaLink="'Calc. Sdk'!$BA$2" fmlaRange="'Calc. Sdk'!$BB$3:$BB$9" noThreeD="1" sel="5" val="2"/>
</file>

<file path=xl/ctrlProps/ctrlProp30.xml><?xml version="1.0" encoding="utf-8"?>
<formControlPr xmlns="http://schemas.microsoft.com/office/spreadsheetml/2009/9/main" objectType="Drop" dropLines="2" dropStyle="combo" dx="16" fmlaLink="'Calc. Sdk'!$AR$29" fmlaRange="'Calc. Sdk'!$AS$29:$AS$30" noThreeD="1" sel="1" val="0"/>
</file>

<file path=xl/ctrlProps/ctrlProp4.xml><?xml version="1.0" encoding="utf-8"?>
<formControlPr xmlns="http://schemas.microsoft.com/office/spreadsheetml/2009/9/main" objectType="Drop" dropLines="3" dropStyle="combo" dx="16" fmlaLink="'Calc. Sdk'!$BU$2" fmlaRange="'Calc. Sdk'!$BV$3:$BV$6" noThreeD="1" sel="2" val="0"/>
</file>

<file path=xl/ctrlProps/ctrlProp5.xml><?xml version="1.0" encoding="utf-8"?>
<formControlPr xmlns="http://schemas.microsoft.com/office/spreadsheetml/2009/9/main" objectType="Drop" dropLines="5" dropStyle="combo" dx="16" fmlaLink="'Calc. Sdk'!$CG$2" fmlaRange="'Calc. Sdk'!$CH$3:$CH$7" noThreeD="1" sel="2" val="0"/>
</file>

<file path=xl/ctrlProps/ctrlProp6.xml><?xml version="1.0" encoding="utf-8"?>
<formControlPr xmlns="http://schemas.microsoft.com/office/spreadsheetml/2009/9/main" objectType="Drop" dropLines="2" dropStyle="combo" dx="16" fmlaLink="'Calc. Sdk'!$DL$2" fmlaRange="'Calc. Sdk'!$DM$3:$DM$4" sel="2" val="0"/>
</file>

<file path=xl/ctrlProps/ctrlProp7.xml><?xml version="1.0" encoding="utf-8"?>
<formControlPr xmlns="http://schemas.microsoft.com/office/spreadsheetml/2009/9/main" objectType="Drop" dropLines="5" dropStyle="combo" dx="16" fmlaLink="'Calc. Sdk'!$DC$2" fmlaRange="'Calc. Sdk'!$DD$3:$DD$10" noThreeD="1" sel="5" val="2"/>
</file>

<file path=xl/ctrlProps/ctrlProp8.xml><?xml version="1.0" encoding="utf-8"?>
<formControlPr xmlns="http://schemas.microsoft.com/office/spreadsheetml/2009/9/main" objectType="Drop" dropLines="5" dropStyle="combo" dx="16" fmlaLink="'Calc. Sdk'!#REF!" fmlaRange="'Calc. Sdk'!$DH$54:$DH$69" noThreeD="1" sel="1" val="0"/>
</file>

<file path=xl/ctrlProps/ctrlProp9.xml><?xml version="1.0" encoding="utf-8"?>
<formControlPr xmlns="http://schemas.microsoft.com/office/spreadsheetml/2009/9/main" objectType="Drop" dropLines="5" dropStyle="combo" dx="16" fmlaLink="'Calc. Sdk'!$DG$35" fmlaRange="'Calc. Sdk'!$DH$36:$DH$52" noThreeD="1" sel="7" val="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5</xdr:row>
          <xdr:rowOff>9525</xdr:rowOff>
        </xdr:from>
        <xdr:to>
          <xdr:col>10</xdr:col>
          <xdr:colOff>19050</xdr:colOff>
          <xdr:row>6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962025</xdr:colOff>
          <xdr:row>5</xdr:row>
          <xdr:rowOff>190500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4</xdr:col>
          <xdr:colOff>9525</xdr:colOff>
          <xdr:row>18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</xdr:row>
          <xdr:rowOff>19050</xdr:rowOff>
        </xdr:from>
        <xdr:to>
          <xdr:col>9</xdr:col>
          <xdr:colOff>19050</xdr:colOff>
          <xdr:row>16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28575</xdr:rowOff>
        </xdr:from>
        <xdr:to>
          <xdr:col>3</xdr:col>
          <xdr:colOff>1038225</xdr:colOff>
          <xdr:row>6</xdr:row>
          <xdr:rowOff>257175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1343025</xdr:colOff>
          <xdr:row>39</xdr:row>
          <xdr:rowOff>19050</xdr:rowOff>
        </xdr:from>
        <xdr:to>
          <xdr:col>6</xdr:col>
          <xdr:colOff>28575</xdr:colOff>
          <xdr:row>40</xdr:row>
          <xdr:rowOff>9525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333375</xdr:colOff>
      <xdr:row>0</xdr:row>
      <xdr:rowOff>104775</xdr:rowOff>
    </xdr:from>
    <xdr:to>
      <xdr:col>3</xdr:col>
      <xdr:colOff>95250</xdr:colOff>
      <xdr:row>2</xdr:row>
      <xdr:rowOff>38100</xdr:rowOff>
    </xdr:to>
    <xdr:pic>
      <xdr:nvPicPr>
        <xdr:cNvPr id="1817" name="Picture 15" descr="sandvikL0GO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1143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47625</xdr:rowOff>
        </xdr:from>
        <xdr:to>
          <xdr:col>4</xdr:col>
          <xdr:colOff>0</xdr:colOff>
          <xdr:row>14</xdr:row>
          <xdr:rowOff>238125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34</xdr:row>
          <xdr:rowOff>0</xdr:rowOff>
        </xdr:from>
        <xdr:to>
          <xdr:col>13</xdr:col>
          <xdr:colOff>704850</xdr:colOff>
          <xdr:row>34</xdr:row>
          <xdr:rowOff>238125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33</xdr:row>
          <xdr:rowOff>0</xdr:rowOff>
        </xdr:from>
        <xdr:to>
          <xdr:col>13</xdr:col>
          <xdr:colOff>704850</xdr:colOff>
          <xdr:row>33</xdr:row>
          <xdr:rowOff>238125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</xdr:row>
          <xdr:rowOff>47625</xdr:rowOff>
        </xdr:from>
        <xdr:to>
          <xdr:col>9</xdr:col>
          <xdr:colOff>9525</xdr:colOff>
          <xdr:row>6</xdr:row>
          <xdr:rowOff>285750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13</xdr:col>
          <xdr:colOff>704850</xdr:colOff>
          <xdr:row>5</xdr:row>
          <xdr:rowOff>238125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14</xdr:col>
          <xdr:colOff>0</xdr:colOff>
          <xdr:row>7</xdr:row>
          <xdr:rowOff>257175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8</xdr:row>
          <xdr:rowOff>0</xdr:rowOff>
        </xdr:from>
        <xdr:to>
          <xdr:col>3</xdr:col>
          <xdr:colOff>1047750</xdr:colOff>
          <xdr:row>8</xdr:row>
          <xdr:rowOff>228600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47625</xdr:rowOff>
        </xdr:from>
        <xdr:to>
          <xdr:col>3</xdr:col>
          <xdr:colOff>1038225</xdr:colOff>
          <xdr:row>7</xdr:row>
          <xdr:rowOff>285750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14</xdr:col>
          <xdr:colOff>0</xdr:colOff>
          <xdr:row>9</xdr:row>
          <xdr:rowOff>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1581150</xdr:colOff>
          <xdr:row>6</xdr:row>
          <xdr:rowOff>9525</xdr:rowOff>
        </xdr:from>
        <xdr:to>
          <xdr:col>13</xdr:col>
          <xdr:colOff>704850</xdr:colOff>
          <xdr:row>6</xdr:row>
          <xdr:rowOff>247650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16</xdr:col>
      <xdr:colOff>35720</xdr:colOff>
      <xdr:row>4</xdr:row>
      <xdr:rowOff>0</xdr:rowOff>
    </xdr:from>
    <xdr:to>
      <xdr:col>25</xdr:col>
      <xdr:colOff>59532</xdr:colOff>
      <xdr:row>36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7470" y="1000125"/>
          <a:ext cx="4405312" cy="6215063"/>
        </a:xfrm>
        <a:prstGeom prst="rect">
          <a:avLst/>
        </a:prstGeom>
        <a:ln w="34925">
          <a:solidFill>
            <a:srgbClr val="2207E9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</xdr:row>
          <xdr:rowOff>47625</xdr:rowOff>
        </xdr:from>
        <xdr:to>
          <xdr:col>9</xdr:col>
          <xdr:colOff>523875</xdr:colOff>
          <xdr:row>8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609600</xdr:colOff>
          <xdr:row>6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609600</xdr:colOff>
          <xdr:row>18</xdr:row>
          <xdr:rowOff>9525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</xdr:row>
          <xdr:rowOff>19050</xdr:rowOff>
        </xdr:from>
        <xdr:to>
          <xdr:col>8</xdr:col>
          <xdr:colOff>628650</xdr:colOff>
          <xdr:row>15</xdr:row>
          <xdr:rowOff>9525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28575</xdr:rowOff>
        </xdr:from>
        <xdr:to>
          <xdr:col>3</xdr:col>
          <xdr:colOff>609600</xdr:colOff>
          <xdr:row>7</xdr:row>
          <xdr:rowOff>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1343025</xdr:colOff>
          <xdr:row>38</xdr:row>
          <xdr:rowOff>19050</xdr:rowOff>
        </xdr:from>
        <xdr:to>
          <xdr:col>7</xdr:col>
          <xdr:colOff>438150</xdr:colOff>
          <xdr:row>39</xdr:row>
          <xdr:rowOff>9525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333375</xdr:colOff>
      <xdr:row>0</xdr:row>
      <xdr:rowOff>104775</xdr:rowOff>
    </xdr:from>
    <xdr:to>
      <xdr:col>3</xdr:col>
      <xdr:colOff>95250</xdr:colOff>
      <xdr:row>2</xdr:row>
      <xdr:rowOff>38100</xdr:rowOff>
    </xdr:to>
    <xdr:pic>
      <xdr:nvPicPr>
        <xdr:cNvPr id="8" name="Picture 15" descr="sandvikL0G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1143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609600</xdr:colOff>
          <xdr:row>15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1371600</xdr:colOff>
          <xdr:row>32</xdr:row>
          <xdr:rowOff>238125</xdr:rowOff>
        </xdr:from>
        <xdr:to>
          <xdr:col>13</xdr:col>
          <xdr:colOff>600075</xdr:colOff>
          <xdr:row>33</xdr:row>
          <xdr:rowOff>161925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31</xdr:row>
          <xdr:rowOff>152400</xdr:rowOff>
        </xdr:from>
        <xdr:to>
          <xdr:col>13</xdr:col>
          <xdr:colOff>609600</xdr:colOff>
          <xdr:row>32</xdr:row>
          <xdr:rowOff>161925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8</xdr:row>
          <xdr:rowOff>47625</xdr:rowOff>
        </xdr:from>
        <xdr:to>
          <xdr:col>8</xdr:col>
          <xdr:colOff>619125</xdr:colOff>
          <xdr:row>9</xdr:row>
          <xdr:rowOff>38100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7</xdr:row>
          <xdr:rowOff>0</xdr:rowOff>
        </xdr:from>
        <xdr:to>
          <xdr:col>13</xdr:col>
          <xdr:colOff>638175</xdr:colOff>
          <xdr:row>8</xdr:row>
          <xdr:rowOff>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8</xdr:row>
          <xdr:rowOff>9525</xdr:rowOff>
        </xdr:from>
        <xdr:to>
          <xdr:col>13</xdr:col>
          <xdr:colOff>638175</xdr:colOff>
          <xdr:row>9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8</xdr:row>
          <xdr:rowOff>47625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50</xdr:row>
          <xdr:rowOff>133350</xdr:rowOff>
        </xdr:from>
        <xdr:to>
          <xdr:col>3</xdr:col>
          <xdr:colOff>400050</xdr:colOff>
          <xdr:row>51</xdr:row>
          <xdr:rowOff>114300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96"/>
  <sheetViews>
    <sheetView tabSelected="1" zoomScale="80" zoomScaleNormal="80" zoomScaleSheetLayoutView="100" workbookViewId="0">
      <selection activeCell="D4" sqref="D4:F4"/>
    </sheetView>
  </sheetViews>
  <sheetFormatPr defaultColWidth="9.140625" defaultRowHeight="11.25" x14ac:dyDescent="0.2"/>
  <cols>
    <col min="1" max="1" width="0.42578125" style="2" customWidth="1"/>
    <col min="2" max="2" width="5.7109375" style="2" customWidth="1"/>
    <col min="3" max="3" width="20.7109375" style="2" customWidth="1"/>
    <col min="4" max="4" width="20.140625" style="2" bestFit="1" customWidth="1"/>
    <col min="5" max="5" width="8.7109375" style="2" customWidth="1"/>
    <col min="6" max="7" width="1.7109375" style="2" customWidth="1"/>
    <col min="8" max="8" width="20.7109375" style="2" customWidth="1"/>
    <col min="9" max="9" width="10.7109375" style="2" customWidth="1"/>
    <col min="10" max="10" width="8.7109375" style="2" customWidth="1"/>
    <col min="11" max="11" width="2.7109375" style="2" customWidth="1"/>
    <col min="12" max="12" width="1.7109375" style="2" customWidth="1"/>
    <col min="13" max="13" width="23.7109375" style="2" customWidth="1"/>
    <col min="14" max="14" width="10.7109375" style="2" customWidth="1"/>
    <col min="15" max="15" width="8.7109375" style="2" customWidth="1"/>
    <col min="16" max="16" width="5.7109375" style="2" customWidth="1"/>
    <col min="17" max="23" width="6.7109375" style="2" customWidth="1"/>
    <col min="24" max="16384" width="9.140625" style="2"/>
  </cols>
  <sheetData>
    <row r="1" spans="1:36" ht="20.100000000000001" customHeight="1" thickTop="1" thickBot="1" x14ac:dyDescent="0.25">
      <c r="A1" s="16"/>
      <c r="B1" s="45"/>
      <c r="C1" s="39"/>
      <c r="D1" s="298" t="s">
        <v>189</v>
      </c>
      <c r="E1" s="299"/>
      <c r="F1" s="299"/>
      <c r="G1" s="299"/>
      <c r="H1" s="299"/>
      <c r="I1" s="299"/>
      <c r="J1" s="299"/>
      <c r="K1" s="299"/>
      <c r="L1" s="299"/>
      <c r="M1" s="299"/>
      <c r="N1" s="300"/>
      <c r="O1" s="39"/>
      <c r="P1" s="46"/>
      <c r="Q1" s="17"/>
      <c r="R1" s="252"/>
      <c r="S1" s="252"/>
      <c r="T1" s="252"/>
      <c r="U1" s="252"/>
      <c r="V1" s="252"/>
      <c r="W1" s="252"/>
      <c r="X1" s="253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</row>
    <row r="2" spans="1:36" ht="20.100000000000001" customHeight="1" thickTop="1" thickBot="1" x14ac:dyDescent="0.25">
      <c r="A2" s="16"/>
      <c r="B2" s="58"/>
      <c r="C2" s="59"/>
      <c r="D2" s="301"/>
      <c r="E2" s="302"/>
      <c r="F2" s="302"/>
      <c r="G2" s="302"/>
      <c r="H2" s="302"/>
      <c r="I2" s="302"/>
      <c r="J2" s="302"/>
      <c r="K2" s="302"/>
      <c r="L2" s="302"/>
      <c r="M2" s="302"/>
      <c r="N2" s="303"/>
      <c r="O2" s="59"/>
      <c r="P2" s="112"/>
      <c r="Q2" s="17"/>
      <c r="R2" s="252"/>
      <c r="S2" s="252"/>
      <c r="T2" s="252"/>
      <c r="U2" s="252"/>
      <c r="V2" s="252"/>
      <c r="W2" s="252"/>
      <c r="X2" s="253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</row>
    <row r="3" spans="1:36" ht="20.100000000000001" customHeight="1" thickTop="1" thickBot="1" x14ac:dyDescent="0.25">
      <c r="A3" s="16"/>
      <c r="B3" s="44"/>
      <c r="C3" s="41"/>
      <c r="D3" s="301"/>
      <c r="E3" s="302"/>
      <c r="F3" s="302"/>
      <c r="G3" s="304"/>
      <c r="H3" s="302"/>
      <c r="I3" s="302"/>
      <c r="J3" s="302"/>
      <c r="K3" s="302"/>
      <c r="L3" s="304"/>
      <c r="M3" s="302"/>
      <c r="N3" s="303"/>
      <c r="O3" s="41"/>
      <c r="P3" s="47"/>
      <c r="Q3" s="17"/>
      <c r="R3" s="252"/>
      <c r="S3" s="252"/>
      <c r="T3" s="252"/>
      <c r="U3" s="252"/>
      <c r="V3" s="252"/>
      <c r="W3" s="252"/>
      <c r="X3" s="253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</row>
    <row r="4" spans="1:36" ht="20.100000000000001" customHeight="1" thickTop="1" thickBot="1" x14ac:dyDescent="0.25">
      <c r="A4" s="16"/>
      <c r="B4" s="235"/>
      <c r="C4" s="131" t="s">
        <v>147</v>
      </c>
      <c r="D4" s="312" t="s">
        <v>1328</v>
      </c>
      <c r="E4" s="312"/>
      <c r="F4" s="313"/>
      <c r="G4" s="207"/>
      <c r="H4" s="131" t="s">
        <v>146</v>
      </c>
      <c r="I4" s="307" t="s">
        <v>1329</v>
      </c>
      <c r="J4" s="308"/>
      <c r="K4" s="309"/>
      <c r="L4" s="116"/>
      <c r="M4" s="131" t="s">
        <v>148</v>
      </c>
      <c r="N4" s="305">
        <f ca="1">TODAY()</f>
        <v>44143</v>
      </c>
      <c r="O4" s="306"/>
      <c r="P4" s="206"/>
      <c r="Q4" s="17"/>
      <c r="R4" s="273" t="s">
        <v>1325</v>
      </c>
      <c r="S4" s="274"/>
      <c r="T4" s="274"/>
      <c r="U4" s="274"/>
      <c r="V4" s="274"/>
      <c r="W4" s="274"/>
      <c r="X4" s="275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</row>
    <row r="5" spans="1:36" ht="7.5" customHeight="1" thickTop="1" thickBot="1" x14ac:dyDescent="0.25">
      <c r="A5" s="16"/>
      <c r="B5" s="249"/>
      <c r="C5" s="69"/>
      <c r="D5" s="69"/>
      <c r="E5" s="69"/>
      <c r="F5" s="69"/>
      <c r="G5" s="41"/>
      <c r="H5" s="69"/>
      <c r="I5" s="69"/>
      <c r="J5" s="69"/>
      <c r="K5" s="69"/>
      <c r="L5" s="41"/>
      <c r="M5" s="69"/>
      <c r="N5" s="69"/>
      <c r="O5" s="69"/>
      <c r="P5" s="47"/>
      <c r="Q5" s="17"/>
      <c r="R5" s="252"/>
      <c r="S5" s="252"/>
      <c r="T5" s="252"/>
      <c r="U5" s="252"/>
      <c r="V5" s="252"/>
      <c r="W5" s="252"/>
      <c r="X5" s="253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</row>
    <row r="6" spans="1:36" ht="20.100000000000001" customHeight="1" thickTop="1" thickBot="1" x14ac:dyDescent="0.25">
      <c r="A6" s="16"/>
      <c r="B6" s="250"/>
      <c r="C6" s="131" t="s">
        <v>17</v>
      </c>
      <c r="D6" s="205"/>
      <c r="E6" s="201"/>
      <c r="F6" s="201"/>
      <c r="G6" s="201"/>
      <c r="H6" s="132" t="s">
        <v>18</v>
      </c>
      <c r="I6" s="78"/>
      <c r="J6" s="201"/>
      <c r="K6" s="201"/>
      <c r="L6" s="201"/>
      <c r="M6" s="131" t="s">
        <v>85</v>
      </c>
      <c r="N6" s="201"/>
      <c r="O6" s="201"/>
      <c r="P6" s="113"/>
      <c r="Q6" s="17"/>
      <c r="R6" s="252"/>
      <c r="S6" s="252"/>
      <c r="T6" s="252"/>
      <c r="U6" s="252"/>
      <c r="V6" s="252"/>
      <c r="W6" s="252"/>
      <c r="X6" s="253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</row>
    <row r="7" spans="1:36" ht="24" customHeight="1" thickTop="1" thickBot="1" x14ac:dyDescent="0.25">
      <c r="A7" s="16"/>
      <c r="B7" s="235"/>
      <c r="C7" s="185" t="str">
        <f>+'Calc. Sdk'!AB13</f>
        <v>Bit type</v>
      </c>
      <c r="D7" s="205"/>
      <c r="E7" s="261"/>
      <c r="F7" s="261"/>
      <c r="G7" s="262"/>
      <c r="H7" s="229" t="s">
        <v>47</v>
      </c>
      <c r="I7" s="15"/>
      <c r="J7" s="59"/>
      <c r="K7" s="59"/>
      <c r="L7" s="227"/>
      <c r="M7" s="131" t="s">
        <v>1323</v>
      </c>
      <c r="N7" s="226"/>
      <c r="O7" s="59"/>
      <c r="P7" s="112"/>
      <c r="Q7" s="17"/>
      <c r="R7" s="252"/>
      <c r="S7" s="252"/>
      <c r="T7" s="252"/>
      <c r="U7" s="252"/>
      <c r="V7" s="252"/>
      <c r="W7" s="252"/>
      <c r="X7" s="253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</row>
    <row r="8" spans="1:36" ht="24" customHeight="1" thickTop="1" thickBot="1" x14ac:dyDescent="0.25">
      <c r="A8" s="16"/>
      <c r="B8" s="235"/>
      <c r="C8" s="224" t="s">
        <v>1321</v>
      </c>
      <c r="D8" s="205"/>
      <c r="E8" s="205"/>
      <c r="F8" s="205"/>
      <c r="G8" s="205"/>
      <c r="H8" s="215"/>
      <c r="I8" s="205"/>
      <c r="J8" s="205"/>
      <c r="K8" s="205"/>
      <c r="L8" s="205"/>
      <c r="M8" s="131" t="s">
        <v>89</v>
      </c>
      <c r="N8" s="15"/>
      <c r="P8" s="112"/>
      <c r="Q8" s="17"/>
      <c r="R8" s="252"/>
      <c r="S8" s="252"/>
      <c r="T8" s="252"/>
      <c r="U8" s="252"/>
      <c r="V8" s="252"/>
      <c r="W8" s="252"/>
      <c r="X8" s="253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</row>
    <row r="9" spans="1:36" ht="20.100000000000001" customHeight="1" thickTop="1" thickBot="1" x14ac:dyDescent="0.25">
      <c r="A9" s="16"/>
      <c r="B9" s="251"/>
      <c r="C9" s="222" t="s">
        <v>1264</v>
      </c>
      <c r="D9" s="205"/>
      <c r="E9" s="205"/>
      <c r="F9" s="205"/>
      <c r="G9" s="263"/>
      <c r="H9" s="201"/>
      <c r="I9" s="201"/>
      <c r="J9" s="252"/>
      <c r="K9" s="264"/>
      <c r="L9" s="264"/>
      <c r="M9" s="131" t="s">
        <v>278</v>
      </c>
      <c r="N9" s="15"/>
      <c r="O9" s="134" t="s">
        <v>32</v>
      </c>
      <c r="P9" s="47"/>
      <c r="Q9" s="17"/>
      <c r="R9" s="252"/>
      <c r="S9" s="252"/>
      <c r="T9" s="252"/>
      <c r="U9" s="252"/>
      <c r="V9" s="252"/>
      <c r="W9" s="252"/>
      <c r="X9" s="253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</row>
    <row r="10" spans="1:36" ht="3.75" customHeight="1" thickTop="1" thickBot="1" x14ac:dyDescent="0.25">
      <c r="A10" s="16"/>
      <c r="B10" s="235"/>
      <c r="C10" s="205"/>
      <c r="D10" s="205"/>
      <c r="E10" s="205"/>
      <c r="F10" s="205"/>
      <c r="G10" s="202"/>
      <c r="H10" s="201"/>
      <c r="I10" s="201"/>
      <c r="J10" s="252"/>
      <c r="K10" s="16"/>
      <c r="L10" s="16"/>
      <c r="N10" s="15"/>
      <c r="O10" s="53"/>
      <c r="P10" s="47"/>
      <c r="Q10" s="17"/>
      <c r="R10" s="252"/>
      <c r="S10" s="252"/>
      <c r="T10" s="252"/>
      <c r="U10" s="252"/>
      <c r="V10" s="252"/>
      <c r="W10" s="252"/>
      <c r="X10" s="253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</row>
    <row r="11" spans="1:36" ht="2.25" customHeight="1" thickTop="1" thickBot="1" x14ac:dyDescent="0.25">
      <c r="A11" s="16"/>
      <c r="B11" s="236"/>
      <c r="C11" s="51"/>
      <c r="D11" s="51"/>
      <c r="E11" s="51"/>
      <c r="F11" s="203"/>
      <c r="G11" s="18"/>
      <c r="H11" s="51"/>
      <c r="I11" s="51"/>
      <c r="J11" s="73"/>
      <c r="K11" s="73"/>
      <c r="L11" s="18"/>
      <c r="M11" s="51"/>
      <c r="N11" s="51"/>
      <c r="O11" s="74"/>
      <c r="P11" s="47"/>
      <c r="Q11" s="17"/>
      <c r="R11" s="252"/>
      <c r="S11" s="252"/>
      <c r="T11" s="252"/>
      <c r="U11" s="252"/>
      <c r="V11" s="252"/>
      <c r="W11" s="252"/>
      <c r="X11" s="253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</row>
    <row r="12" spans="1:36" ht="20.100000000000001" customHeight="1" thickTop="1" thickBot="1" x14ac:dyDescent="0.25">
      <c r="A12" s="16"/>
      <c r="B12" s="234"/>
      <c r="C12" s="290" t="s">
        <v>40</v>
      </c>
      <c r="D12" s="265">
        <v>300</v>
      </c>
      <c r="E12" s="133" t="s">
        <v>29</v>
      </c>
      <c r="F12" s="50"/>
      <c r="G12" s="16"/>
      <c r="H12" s="290" t="s">
        <v>150</v>
      </c>
      <c r="I12" s="266">
        <v>21</v>
      </c>
      <c r="J12" s="133" t="s">
        <v>41</v>
      </c>
      <c r="K12" s="50"/>
      <c r="L12" s="16"/>
      <c r="M12" s="131" t="s">
        <v>88</v>
      </c>
      <c r="N12" s="11">
        <v>24</v>
      </c>
      <c r="O12" s="53"/>
      <c r="P12" s="47"/>
      <c r="Q12" s="17"/>
      <c r="R12" s="252"/>
      <c r="S12" s="252"/>
      <c r="T12" s="252"/>
      <c r="U12" s="252"/>
      <c r="V12" s="252"/>
      <c r="W12" s="252"/>
      <c r="X12" s="253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</row>
    <row r="13" spans="1:36" ht="20.100000000000001" customHeight="1" thickTop="1" thickBot="1" x14ac:dyDescent="0.25">
      <c r="A13" s="16"/>
      <c r="B13" s="14"/>
      <c r="C13" s="291"/>
      <c r="D13" s="258">
        <f>IF(D12="","",D12/0.3048)</f>
        <v>984.25196850393695</v>
      </c>
      <c r="E13" s="134" t="s">
        <v>30</v>
      </c>
      <c r="F13" s="50"/>
      <c r="G13" s="16"/>
      <c r="H13" s="291"/>
      <c r="I13" s="259">
        <f>IF(I12="","",+(I12*(9/5)+32))</f>
        <v>69.800000000000011</v>
      </c>
      <c r="J13" s="134" t="s">
        <v>42</v>
      </c>
      <c r="K13" s="50"/>
      <c r="L13" s="16"/>
      <c r="M13" s="131" t="s">
        <v>87</v>
      </c>
      <c r="N13" s="7">
        <v>360</v>
      </c>
      <c r="O13" s="54"/>
      <c r="P13" s="48"/>
      <c r="Q13" s="17"/>
      <c r="R13" s="252"/>
      <c r="S13" s="252"/>
      <c r="T13" s="252"/>
      <c r="U13" s="252"/>
      <c r="V13" s="252"/>
      <c r="W13" s="252"/>
      <c r="X13" s="253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</row>
    <row r="14" spans="1:36" ht="5.0999999999999996" customHeight="1" thickTop="1" thickBot="1" x14ac:dyDescent="0.25">
      <c r="A14" s="16"/>
      <c r="B14" s="43"/>
      <c r="C14" s="51"/>
      <c r="D14" s="51"/>
      <c r="E14" s="51"/>
      <c r="F14" s="117"/>
      <c r="G14" s="18"/>
      <c r="H14" s="51"/>
      <c r="I14" s="51"/>
      <c r="J14" s="51"/>
      <c r="K14" s="52"/>
      <c r="L14" s="18"/>
      <c r="M14" s="51"/>
      <c r="N14" s="51"/>
      <c r="O14" s="49"/>
      <c r="P14" s="55"/>
      <c r="Q14" s="17"/>
      <c r="R14" s="252"/>
      <c r="S14" s="252"/>
      <c r="T14" s="252"/>
      <c r="U14" s="252"/>
      <c r="V14" s="252"/>
      <c r="W14" s="252"/>
      <c r="X14" s="253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</row>
    <row r="15" spans="1:36" ht="20.100000000000001" customHeight="1" thickTop="1" thickBot="1" x14ac:dyDescent="0.25">
      <c r="A15" s="16"/>
      <c r="B15" s="42"/>
      <c r="C15" s="276" t="s">
        <v>121</v>
      </c>
      <c r="E15" s="133" t="s">
        <v>24</v>
      </c>
      <c r="F15" s="50"/>
      <c r="G15" s="16"/>
      <c r="H15" s="294" t="s">
        <v>21</v>
      </c>
      <c r="I15" s="6">
        <f>+'Calc. Sdk'!BV2/35.31467</f>
        <v>56.633687926292389</v>
      </c>
      <c r="J15" s="133" t="s">
        <v>23</v>
      </c>
      <c r="K15" s="50"/>
      <c r="L15" s="16"/>
      <c r="M15" s="292" t="s">
        <v>1322</v>
      </c>
      <c r="N15" s="6">
        <f>IF(N16="","",0.06894757*N16)</f>
        <v>6.8947570000000002</v>
      </c>
      <c r="O15" s="133" t="s">
        <v>49</v>
      </c>
      <c r="P15" s="56"/>
      <c r="Q15" s="17"/>
      <c r="R15" s="252"/>
      <c r="S15" s="252"/>
      <c r="T15" s="252"/>
      <c r="U15" s="252"/>
      <c r="V15" s="252"/>
      <c r="W15" s="252"/>
      <c r="X15" s="253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</row>
    <row r="16" spans="1:36" ht="20.100000000000001" customHeight="1" thickTop="1" thickBot="1" x14ac:dyDescent="0.25">
      <c r="A16" s="16"/>
      <c r="B16" s="14"/>
      <c r="C16" s="277"/>
      <c r="D16" s="268">
        <f>+'Calc. Sdk'!DE2</f>
        <v>12.244094488188978</v>
      </c>
      <c r="E16" s="134" t="s">
        <v>22</v>
      </c>
      <c r="F16" s="50"/>
      <c r="G16" s="16"/>
      <c r="H16" s="295"/>
      <c r="I16" s="3">
        <v>862</v>
      </c>
      <c r="J16" s="134" t="s">
        <v>25</v>
      </c>
      <c r="K16" s="50"/>
      <c r="L16" s="16"/>
      <c r="M16" s="293"/>
      <c r="N16" s="127">
        <f>+'Calc. Sdk'!BN23</f>
        <v>100</v>
      </c>
      <c r="O16" s="134" t="s">
        <v>32</v>
      </c>
      <c r="P16" s="56"/>
      <c r="Q16" s="17"/>
      <c r="R16" s="252"/>
      <c r="S16" s="252"/>
      <c r="T16" s="252"/>
      <c r="U16" s="252"/>
      <c r="V16" s="252"/>
      <c r="W16" s="252"/>
      <c r="X16" s="253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</row>
    <row r="17" spans="1:36" ht="5.0999999999999996" customHeight="1" thickTop="1" thickBot="1" x14ac:dyDescent="0.25">
      <c r="A17" s="16"/>
      <c r="B17" s="43"/>
      <c r="C17" s="51"/>
      <c r="D17" s="51"/>
      <c r="E17" s="51"/>
      <c r="F17" s="117"/>
      <c r="G17" s="18"/>
      <c r="H17" s="51"/>
      <c r="I17" s="51"/>
      <c r="J17" s="51"/>
      <c r="K17" s="52"/>
      <c r="L17" s="18"/>
      <c r="M17" s="51"/>
      <c r="N17" s="51"/>
      <c r="O17" s="51"/>
      <c r="P17" s="55"/>
      <c r="Q17" s="17"/>
      <c r="R17" s="252"/>
      <c r="S17" s="252"/>
      <c r="T17" s="252"/>
      <c r="U17" s="252"/>
      <c r="V17" s="252"/>
      <c r="W17" s="252"/>
      <c r="X17" s="253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</row>
    <row r="18" spans="1:36" ht="20.100000000000001" customHeight="1" thickTop="1" thickBot="1" x14ac:dyDescent="0.25">
      <c r="A18" s="16"/>
      <c r="B18" s="42"/>
      <c r="C18" s="310" t="s">
        <v>19</v>
      </c>
      <c r="E18" s="135" t="s">
        <v>24</v>
      </c>
      <c r="F18" s="50"/>
      <c r="G18" s="16"/>
      <c r="H18" s="294" t="s">
        <v>45</v>
      </c>
      <c r="I18" s="13">
        <f>+I19/35.31467</f>
        <v>53.896441907012793</v>
      </c>
      <c r="J18" s="133" t="s">
        <v>23</v>
      </c>
      <c r="K18" s="50"/>
      <c r="L18" s="16"/>
      <c r="M18" s="294" t="s">
        <v>36</v>
      </c>
      <c r="N18" s="12">
        <f>+N19*0.3048/60</f>
        <v>31.159474941238351</v>
      </c>
      <c r="O18" s="133" t="s">
        <v>37</v>
      </c>
      <c r="P18" s="56"/>
      <c r="Q18" s="17"/>
      <c r="R18" s="252"/>
      <c r="S18" s="252"/>
      <c r="T18" s="252"/>
      <c r="U18" s="252"/>
      <c r="V18" s="252"/>
      <c r="W18" s="252"/>
      <c r="X18" s="253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</row>
    <row r="19" spans="1:36" ht="20.100000000000001" customHeight="1" thickTop="1" thickBot="1" x14ac:dyDescent="0.25">
      <c r="A19" s="16"/>
      <c r="B19" s="14"/>
      <c r="C19" s="311"/>
      <c r="D19" s="268">
        <f>+'Calc. Sdk'!BC2</f>
        <v>9.6456692913385833</v>
      </c>
      <c r="E19" s="136" t="s">
        <v>22</v>
      </c>
      <c r="F19" s="50"/>
      <c r="G19" s="16"/>
      <c r="H19" s="295"/>
      <c r="I19" s="10">
        <f>+'Calc. Sdk'!DG8</f>
        <v>1903.3350601203274</v>
      </c>
      <c r="J19" s="134" t="s">
        <v>25</v>
      </c>
      <c r="K19" s="50"/>
      <c r="L19" s="16"/>
      <c r="M19" s="295"/>
      <c r="N19" s="10">
        <f>+'Calc. Sdk'!DG2</f>
        <v>6133.7549096925886</v>
      </c>
      <c r="O19" s="134" t="s">
        <v>38</v>
      </c>
      <c r="P19" s="56"/>
      <c r="Q19" s="17"/>
      <c r="R19" s="252"/>
      <c r="S19" s="252"/>
      <c r="T19" s="252"/>
      <c r="U19" s="252"/>
      <c r="V19" s="252"/>
      <c r="W19" s="252"/>
      <c r="X19" s="253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</row>
    <row r="20" spans="1:36" ht="5.0999999999999996" customHeight="1" thickTop="1" thickBot="1" x14ac:dyDescent="0.25">
      <c r="A20" s="16"/>
      <c r="B20" s="43"/>
      <c r="C20" s="51"/>
      <c r="D20" s="51"/>
      <c r="E20" s="51"/>
      <c r="F20" s="117"/>
      <c r="G20" s="18"/>
      <c r="H20" s="51"/>
      <c r="I20" s="51"/>
      <c r="J20" s="51"/>
      <c r="K20" s="52"/>
      <c r="L20" s="18"/>
      <c r="M20" s="51"/>
      <c r="N20" s="51"/>
      <c r="O20" s="51"/>
      <c r="P20" s="57"/>
      <c r="Q20" s="17"/>
      <c r="R20" s="252"/>
      <c r="S20" s="252"/>
      <c r="T20" s="252"/>
      <c r="U20" s="252"/>
      <c r="V20" s="252"/>
      <c r="W20" s="252"/>
      <c r="X20" s="253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</row>
    <row r="21" spans="1:36" ht="20.100000000000001" customHeight="1" thickTop="1" thickBot="1" x14ac:dyDescent="0.25">
      <c r="A21" s="16"/>
      <c r="B21" s="42"/>
      <c r="C21" s="290" t="s">
        <v>137</v>
      </c>
      <c r="D21" s="260">
        <v>18</v>
      </c>
      <c r="E21" s="137" t="s">
        <v>29</v>
      </c>
      <c r="F21" s="50"/>
      <c r="G21" s="16"/>
      <c r="H21" s="290" t="s">
        <v>27</v>
      </c>
      <c r="I21" s="257">
        <v>7</v>
      </c>
      <c r="J21" s="137" t="s">
        <v>29</v>
      </c>
      <c r="K21" s="50"/>
      <c r="L21" s="16"/>
      <c r="M21" s="276" t="s">
        <v>31</v>
      </c>
      <c r="N21" s="255">
        <v>250</v>
      </c>
      <c r="O21" s="133" t="s">
        <v>33</v>
      </c>
      <c r="P21" s="56"/>
      <c r="Q21" s="17"/>
      <c r="R21" s="252"/>
      <c r="S21" s="252"/>
      <c r="T21" s="252"/>
      <c r="U21" s="252"/>
      <c r="V21" s="252"/>
      <c r="W21" s="252"/>
      <c r="X21" s="253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</row>
    <row r="22" spans="1:36" ht="20.100000000000001" customHeight="1" thickTop="1" thickBot="1" x14ac:dyDescent="0.25">
      <c r="A22" s="16"/>
      <c r="B22" s="14"/>
      <c r="C22" s="291"/>
      <c r="D22" s="259">
        <f>IF(D21="","",+D21/0.3048)</f>
        <v>59.055118110236215</v>
      </c>
      <c r="E22" s="138" t="s">
        <v>30</v>
      </c>
      <c r="F22" s="50"/>
      <c r="G22" s="16"/>
      <c r="H22" s="291"/>
      <c r="I22" s="256">
        <f>IF(I21="","",+I21/0.3048)</f>
        <v>22.965879265091861</v>
      </c>
      <c r="J22" s="138" t="s">
        <v>30</v>
      </c>
      <c r="K22" s="50"/>
      <c r="L22" s="16"/>
      <c r="M22" s="277"/>
      <c r="N22" s="258">
        <f>N21/0.006894757</f>
        <v>36259.435974320782</v>
      </c>
      <c r="O22" s="134" t="s">
        <v>32</v>
      </c>
      <c r="P22" s="56"/>
      <c r="Q22" s="17"/>
      <c r="R22" s="252"/>
      <c r="S22" s="252"/>
      <c r="T22" s="252"/>
      <c r="U22" s="252"/>
      <c r="V22" s="252"/>
      <c r="W22" s="252"/>
      <c r="X22" s="253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</row>
    <row r="23" spans="1:36" ht="5.0999999999999996" customHeight="1" thickTop="1" thickBot="1" x14ac:dyDescent="0.25">
      <c r="A23" s="16"/>
      <c r="B23" s="43"/>
      <c r="C23" s="51"/>
      <c r="D23" s="51"/>
      <c r="E23" s="51"/>
      <c r="F23" s="117"/>
      <c r="G23" s="18"/>
      <c r="H23" s="51"/>
      <c r="I23" s="51"/>
      <c r="J23" s="51"/>
      <c r="K23" s="52"/>
      <c r="L23" s="18"/>
      <c r="M23" s="51"/>
      <c r="N23" s="51"/>
      <c r="O23" s="51"/>
      <c r="P23" s="55"/>
      <c r="Q23" s="17"/>
      <c r="R23" s="252"/>
      <c r="S23" s="252"/>
      <c r="T23" s="252"/>
      <c r="U23" s="252"/>
      <c r="V23" s="252"/>
      <c r="W23" s="252"/>
      <c r="X23" s="253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</row>
    <row r="24" spans="1:36" ht="20.100000000000001" customHeight="1" thickTop="1" thickBot="1" x14ac:dyDescent="0.25">
      <c r="A24" s="16"/>
      <c r="B24" s="42"/>
      <c r="C24" s="290" t="s">
        <v>111</v>
      </c>
      <c r="D24" s="257">
        <v>0</v>
      </c>
      <c r="E24" s="137" t="s">
        <v>29</v>
      </c>
      <c r="F24" s="50"/>
      <c r="G24" s="16"/>
      <c r="H24" s="296" t="s">
        <v>28</v>
      </c>
      <c r="I24" s="257">
        <v>7</v>
      </c>
      <c r="J24" s="137" t="s">
        <v>29</v>
      </c>
      <c r="K24" s="50"/>
      <c r="L24" s="16"/>
      <c r="M24" s="278" t="s">
        <v>123</v>
      </c>
      <c r="N24" s="257">
        <v>2</v>
      </c>
      <c r="O24" s="133" t="s">
        <v>34</v>
      </c>
      <c r="P24" s="56"/>
      <c r="Q24" s="17"/>
      <c r="R24" s="252"/>
      <c r="S24" s="252"/>
      <c r="T24" s="252"/>
      <c r="U24" s="252"/>
      <c r="V24" s="252"/>
      <c r="W24" s="252"/>
      <c r="X24" s="253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</row>
    <row r="25" spans="1:36" ht="20.100000000000001" customHeight="1" thickTop="1" thickBot="1" x14ac:dyDescent="0.25">
      <c r="A25" s="16"/>
      <c r="B25" s="14"/>
      <c r="C25" s="291"/>
      <c r="D25" s="259">
        <f>IF(D24="","",+D24/0.3048)</f>
        <v>0</v>
      </c>
      <c r="E25" s="138" t="s">
        <v>30</v>
      </c>
      <c r="F25" s="50"/>
      <c r="G25" s="16"/>
      <c r="H25" s="297"/>
      <c r="I25" s="256">
        <f>IF(I24="","",+I24/0.3048)</f>
        <v>22.965879265091861</v>
      </c>
      <c r="J25" s="138" t="s">
        <v>30</v>
      </c>
      <c r="K25" s="50"/>
      <c r="L25" s="16"/>
      <c r="M25" s="279"/>
      <c r="N25" s="269">
        <f>N24*0.75248</f>
        <v>1.5049600000000001</v>
      </c>
      <c r="O25" s="134" t="s">
        <v>35</v>
      </c>
      <c r="P25" s="56"/>
      <c r="Q25" s="17"/>
      <c r="R25" s="252"/>
      <c r="S25" s="252"/>
      <c r="T25" s="252"/>
      <c r="U25" s="252"/>
      <c r="V25" s="252"/>
      <c r="W25" s="252"/>
      <c r="X25" s="253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</row>
    <row r="26" spans="1:36" ht="5.0999999999999996" customHeight="1" thickTop="1" thickBot="1" x14ac:dyDescent="0.25">
      <c r="A26" s="16"/>
      <c r="B26" s="43"/>
      <c r="C26" s="51"/>
      <c r="D26" s="51"/>
      <c r="E26" s="51"/>
      <c r="F26" s="117"/>
      <c r="G26" s="18"/>
      <c r="H26" s="51"/>
      <c r="I26" s="51"/>
      <c r="J26" s="51"/>
      <c r="K26" s="52"/>
      <c r="L26" s="18"/>
      <c r="M26" s="51"/>
      <c r="N26" s="51"/>
      <c r="O26" s="51"/>
      <c r="P26" s="55"/>
      <c r="Q26" s="17"/>
      <c r="R26" s="252"/>
      <c r="S26" s="252"/>
      <c r="T26" s="252"/>
      <c r="U26" s="252"/>
      <c r="V26" s="252"/>
      <c r="W26" s="252"/>
      <c r="X26" s="253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</row>
    <row r="27" spans="1:36" ht="19.5" customHeight="1" thickTop="1" thickBot="1" x14ac:dyDescent="0.25">
      <c r="A27" s="16"/>
      <c r="B27" s="65"/>
      <c r="C27" s="142" t="s">
        <v>138</v>
      </c>
      <c r="D27" s="5">
        <f>IF((D22+D25)&lt;'Calc. Sdk'!EG2,0,'Calc. Sdk'!EL2)</f>
        <v>1</v>
      </c>
      <c r="E27" s="128"/>
      <c r="F27" s="50"/>
      <c r="G27" s="16"/>
      <c r="H27" s="131" t="s">
        <v>149</v>
      </c>
      <c r="I27" s="19">
        <v>85</v>
      </c>
      <c r="J27" s="139" t="s">
        <v>71</v>
      </c>
      <c r="K27" s="50"/>
      <c r="L27" s="16"/>
      <c r="M27" s="244" t="str">
        <f>IF(N19&lt;5000,"Check pipe-bit-compressor combination",IF(N19&gt;10000,"Check pipe-bit-compressor combination",""))</f>
        <v/>
      </c>
      <c r="N27" s="245"/>
      <c r="O27" s="246"/>
      <c r="P27" s="242"/>
      <c r="Q27" s="17"/>
      <c r="R27" s="252"/>
      <c r="S27" s="252"/>
      <c r="T27" s="252"/>
      <c r="U27" s="252"/>
      <c r="V27" s="252"/>
      <c r="W27" s="252"/>
      <c r="X27" s="253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</row>
    <row r="28" spans="1:36" ht="23.25" hidden="1" customHeight="1" thickTop="1" thickBot="1" x14ac:dyDescent="0.25">
      <c r="A28" s="16"/>
      <c r="B28" s="43"/>
      <c r="C28" s="190" t="s">
        <v>138</v>
      </c>
      <c r="D28" s="223">
        <f>D21+D24</f>
        <v>18</v>
      </c>
      <c r="E28" s="51"/>
      <c r="F28" s="117"/>
      <c r="G28" s="18"/>
      <c r="H28" s="51"/>
      <c r="I28" s="51"/>
      <c r="J28" s="51"/>
      <c r="K28" s="52"/>
      <c r="L28" s="16"/>
      <c r="M28" s="284" t="str">
        <f>'Calc. Sdk'!GB25</f>
        <v/>
      </c>
      <c r="N28" s="285"/>
      <c r="O28" s="286"/>
      <c r="P28" s="243"/>
      <c r="Q28" s="17"/>
      <c r="R28" s="252"/>
      <c r="S28" s="252"/>
      <c r="T28" s="252"/>
      <c r="U28" s="252"/>
      <c r="V28" s="252"/>
      <c r="W28" s="252"/>
      <c r="X28" s="253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</row>
    <row r="29" spans="1:36" ht="20.100000000000001" customHeight="1" thickTop="1" thickBot="1" x14ac:dyDescent="0.25">
      <c r="A29" s="16"/>
      <c r="B29" s="234"/>
      <c r="C29" s="282" t="s">
        <v>304</v>
      </c>
      <c r="D29" s="5">
        <f>IF(D30="","",+D30*0.004448222)</f>
        <v>434.46705605204841</v>
      </c>
      <c r="E29" s="137" t="s">
        <v>75</v>
      </c>
      <c r="F29" s="50"/>
      <c r="G29" s="16"/>
      <c r="H29" s="294" t="s">
        <v>95</v>
      </c>
      <c r="I29" s="6">
        <f>IF(I30="","",+I30*0.7457)</f>
        <v>161.70614797814096</v>
      </c>
      <c r="J29" s="137" t="s">
        <v>97</v>
      </c>
      <c r="K29" s="50"/>
      <c r="L29" s="16"/>
      <c r="M29" s="247" t="str">
        <f>+'Calc. Sdk'!FD33</f>
        <v/>
      </c>
      <c r="N29" s="141"/>
      <c r="O29" s="248"/>
      <c r="P29" s="238"/>
      <c r="Q29" s="17"/>
      <c r="R29" s="252"/>
      <c r="S29" s="252"/>
      <c r="T29" s="252"/>
      <c r="U29" s="252"/>
      <c r="V29" s="252"/>
      <c r="W29" s="252"/>
      <c r="X29" s="253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</row>
    <row r="30" spans="1:36" ht="20.100000000000001" customHeight="1" thickTop="1" thickBot="1" x14ac:dyDescent="0.25">
      <c r="A30" s="16"/>
      <c r="B30" s="235"/>
      <c r="C30" s="283"/>
      <c r="D30" s="10">
        <f>+'Calc. Sdk'!DI7</f>
        <v>97672.07123476491</v>
      </c>
      <c r="E30" s="138" t="s">
        <v>74</v>
      </c>
      <c r="F30" s="50"/>
      <c r="G30" s="16"/>
      <c r="H30" s="295"/>
      <c r="I30" s="10">
        <f>+'Calc. Sdk'!DI8</f>
        <v>216.85147911779663</v>
      </c>
      <c r="J30" s="138" t="s">
        <v>96</v>
      </c>
      <c r="K30" s="50"/>
      <c r="L30" s="16"/>
      <c r="M30" s="247" t="str">
        <f>+'Calc. Sdk'!FD29</f>
        <v/>
      </c>
      <c r="N30" s="141"/>
      <c r="O30" s="270"/>
      <c r="P30" s="238"/>
      <c r="Q30" s="17"/>
      <c r="R30" s="252"/>
      <c r="S30" s="252"/>
      <c r="T30" s="252"/>
      <c r="U30" s="252"/>
      <c r="V30" s="252"/>
      <c r="W30" s="252"/>
      <c r="X30" s="253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</row>
    <row r="31" spans="1:36" ht="22.5" customHeight="1" thickTop="1" thickBot="1" x14ac:dyDescent="0.25">
      <c r="A31" s="16"/>
      <c r="B31" s="235"/>
      <c r="C31" s="194"/>
      <c r="D31" s="195"/>
      <c r="E31" s="196"/>
      <c r="F31" s="50"/>
      <c r="G31" s="16"/>
      <c r="H31" s="200"/>
      <c r="I31" s="195"/>
      <c r="J31" s="196"/>
      <c r="K31" s="50"/>
      <c r="L31" s="16"/>
      <c r="M31" s="287" t="str">
        <f>'Calc. Sdk'!GB25</f>
        <v/>
      </c>
      <c r="N31" s="288"/>
      <c r="O31" s="289"/>
      <c r="P31" s="239"/>
      <c r="Q31" s="17"/>
      <c r="R31" s="252"/>
      <c r="S31" s="252"/>
      <c r="T31" s="252"/>
      <c r="U31" s="252"/>
      <c r="V31" s="252"/>
      <c r="W31" s="252"/>
      <c r="X31" s="253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</row>
    <row r="32" spans="1:36" ht="30" customHeight="1" thickTop="1" thickBot="1" x14ac:dyDescent="0.25">
      <c r="A32" s="16"/>
      <c r="B32" s="235"/>
      <c r="C32" s="191" t="s">
        <v>1319</v>
      </c>
      <c r="D32" s="228">
        <v>80000</v>
      </c>
      <c r="E32" s="139" t="s">
        <v>74</v>
      </c>
      <c r="F32" s="50"/>
      <c r="G32" s="16"/>
      <c r="H32" s="191" t="s">
        <v>1324</v>
      </c>
      <c r="I32" s="230">
        <f>'Calc. Sdk'!AL35</f>
        <v>89554</v>
      </c>
      <c r="J32" s="193" t="s">
        <v>74</v>
      </c>
      <c r="K32" s="50"/>
      <c r="L32" s="16"/>
      <c r="M32" s="240"/>
      <c r="N32" s="241"/>
      <c r="O32" s="241"/>
      <c r="P32" s="239"/>
      <c r="Q32" s="17"/>
      <c r="R32" s="252"/>
      <c r="S32" s="252"/>
      <c r="T32" s="252"/>
      <c r="U32" s="252"/>
      <c r="V32" s="252"/>
      <c r="W32" s="252"/>
      <c r="X32" s="253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</row>
    <row r="33" spans="1:36" ht="12.75" thickTop="1" thickBot="1" x14ac:dyDescent="0.25">
      <c r="A33" s="16"/>
      <c r="B33" s="236"/>
      <c r="C33" s="199"/>
      <c r="D33" s="51"/>
      <c r="E33" s="51"/>
      <c r="F33" s="117"/>
      <c r="G33" s="18"/>
      <c r="H33" s="51"/>
      <c r="I33" s="51"/>
      <c r="J33" s="51"/>
      <c r="K33" s="52"/>
      <c r="L33" s="18"/>
      <c r="M33" s="51"/>
      <c r="N33" s="51"/>
      <c r="O33" s="51"/>
      <c r="P33" s="237"/>
      <c r="Q33" s="17"/>
      <c r="R33" s="252"/>
      <c r="S33" s="252"/>
      <c r="T33" s="252"/>
      <c r="U33" s="252"/>
      <c r="V33" s="252"/>
      <c r="W33" s="252"/>
      <c r="X33" s="253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</row>
    <row r="34" spans="1:36" ht="20.100000000000001" customHeight="1" thickTop="1" thickBot="1" x14ac:dyDescent="0.25">
      <c r="A34" s="16"/>
      <c r="B34" s="234"/>
      <c r="C34" s="282" t="s">
        <v>61</v>
      </c>
      <c r="D34" s="6">
        <f>'Calc. Sdk'!EX11</f>
        <v>5.495289014533622</v>
      </c>
      <c r="E34" s="133" t="s">
        <v>62</v>
      </c>
      <c r="F34" s="50"/>
      <c r="G34" s="16"/>
      <c r="H34" s="282" t="s">
        <v>86</v>
      </c>
      <c r="I34" s="6">
        <f>'Calc. Sdk'!EX24</f>
        <v>4.0259576739114546</v>
      </c>
      <c r="J34" s="133" t="s">
        <v>62</v>
      </c>
      <c r="K34" s="50"/>
      <c r="L34" s="16"/>
      <c r="M34" s="131" t="s">
        <v>125</v>
      </c>
      <c r="N34" s="217"/>
      <c r="O34" s="17"/>
      <c r="P34" s="66"/>
      <c r="Q34" s="17"/>
      <c r="R34" s="252"/>
      <c r="S34" s="252"/>
      <c r="T34" s="252"/>
      <c r="U34" s="252"/>
      <c r="V34" s="252"/>
      <c r="W34" s="252"/>
      <c r="X34" s="253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</row>
    <row r="35" spans="1:36" ht="20.100000000000001" customHeight="1" thickTop="1" thickBot="1" x14ac:dyDescent="0.25">
      <c r="A35" s="16"/>
      <c r="B35" s="235"/>
      <c r="C35" s="283"/>
      <c r="D35" s="6">
        <f>IF(D34="","",D34/0.3048)</f>
        <v>18.029163433509257</v>
      </c>
      <c r="E35" s="134" t="s">
        <v>63</v>
      </c>
      <c r="F35" s="210"/>
      <c r="G35" s="49"/>
      <c r="H35" s="283"/>
      <c r="I35" s="254">
        <f>IF(I34="","",I34/0.3048)</f>
        <v>13.208522552202934</v>
      </c>
      <c r="J35" s="134" t="s">
        <v>63</v>
      </c>
      <c r="K35" s="210"/>
      <c r="L35" s="49"/>
      <c r="M35" s="131" t="s">
        <v>126</v>
      </c>
      <c r="N35" s="218">
        <v>60</v>
      </c>
      <c r="O35" s="216"/>
      <c r="P35" s="211"/>
      <c r="Q35" s="17"/>
      <c r="R35" s="252"/>
      <c r="S35" s="252"/>
      <c r="T35" s="252"/>
      <c r="U35" s="252"/>
      <c r="V35" s="252"/>
      <c r="W35" s="252"/>
      <c r="X35" s="253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</row>
    <row r="36" spans="1:36" ht="3.75" customHeight="1" thickBot="1" x14ac:dyDescent="0.25">
      <c r="A36" s="16"/>
      <c r="B36" s="235"/>
      <c r="C36" s="194"/>
      <c r="D36" s="214"/>
      <c r="E36" s="196"/>
      <c r="F36" s="205"/>
      <c r="G36" s="205"/>
      <c r="H36" s="194"/>
      <c r="I36" s="214"/>
      <c r="J36" s="196"/>
      <c r="K36" s="205"/>
      <c r="L36" s="205"/>
      <c r="M36" s="215"/>
      <c r="N36" s="205"/>
      <c r="O36" s="205"/>
      <c r="P36" s="205"/>
      <c r="Q36" s="17"/>
      <c r="R36" s="252"/>
      <c r="S36" s="252"/>
      <c r="T36" s="252"/>
      <c r="U36" s="252"/>
      <c r="V36" s="252"/>
      <c r="W36" s="252"/>
      <c r="X36" s="253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</row>
    <row r="37" spans="1:36" ht="30.75" customHeight="1" thickBot="1" x14ac:dyDescent="0.25">
      <c r="A37" s="16"/>
      <c r="B37" s="235"/>
      <c r="C37" s="231"/>
      <c r="D37" s="232">
        <f>D35/60</f>
        <v>0.30048605722515431</v>
      </c>
      <c r="E37" s="233"/>
      <c r="F37" s="212"/>
      <c r="G37" s="213"/>
      <c r="H37" s="191" t="s">
        <v>1316</v>
      </c>
      <c r="I37" s="220">
        <f>'Calc. Sdk'!EX8</f>
        <v>268.25915408860135</v>
      </c>
      <c r="J37" s="193" t="s">
        <v>1317</v>
      </c>
      <c r="K37" s="212"/>
      <c r="L37" s="213"/>
      <c r="M37" s="215"/>
      <c r="N37" s="205"/>
      <c r="O37" s="205"/>
      <c r="P37" s="189"/>
      <c r="Q37" s="17"/>
      <c r="R37" s="252"/>
      <c r="S37" s="252"/>
      <c r="T37" s="252"/>
      <c r="U37" s="252"/>
      <c r="V37" s="252"/>
      <c r="W37" s="252"/>
      <c r="X37" s="253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</row>
    <row r="38" spans="1:36" ht="14.25" customHeight="1" thickTop="1" thickBot="1" x14ac:dyDescent="0.25">
      <c r="A38" s="16"/>
      <c r="B38" s="43"/>
      <c r="C38" s="51"/>
      <c r="D38" s="51"/>
      <c r="E38" s="51"/>
      <c r="F38" s="117"/>
      <c r="G38" s="18"/>
      <c r="H38" s="51"/>
      <c r="I38" s="51"/>
      <c r="J38" s="223"/>
      <c r="K38" s="52"/>
      <c r="L38" s="18"/>
      <c r="M38" s="51"/>
      <c r="N38" s="51"/>
      <c r="O38" s="51"/>
      <c r="P38" s="55"/>
      <c r="Q38" s="17"/>
      <c r="R38" s="252"/>
      <c r="S38" s="252"/>
      <c r="T38" s="252"/>
      <c r="U38" s="252"/>
      <c r="V38" s="252"/>
      <c r="W38" s="252"/>
      <c r="X38" s="253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</row>
    <row r="39" spans="1:36" ht="20.100000000000001" customHeight="1" thickTop="1" thickBot="1" x14ac:dyDescent="0.25">
      <c r="A39" s="16"/>
      <c r="B39" s="42"/>
      <c r="C39" s="292" t="s">
        <v>99</v>
      </c>
      <c r="D39" s="10">
        <f>IF(E39=" tonne",+D40*0.9071847,+D40*0.7645549)</f>
        <v>26498865.086999997</v>
      </c>
      <c r="E39" s="137" t="str">
        <f>+'Calc. Sdk'!DO2</f>
        <v xml:space="preserve"> tonne</v>
      </c>
      <c r="F39" s="50"/>
      <c r="G39" s="16"/>
      <c r="H39" s="294" t="s">
        <v>105</v>
      </c>
      <c r="I39" s="143">
        <f>IF(I40="","",+I40*0.3048)</f>
        <v>302844.13826325367</v>
      </c>
      <c r="J39" s="137" t="s">
        <v>29</v>
      </c>
      <c r="K39" s="50"/>
      <c r="L39" s="16"/>
      <c r="M39" s="144" t="s">
        <v>120</v>
      </c>
      <c r="N39" s="143">
        <f>+I40/I35</f>
        <v>75222.881806659134</v>
      </c>
      <c r="O39" s="137" t="s">
        <v>129</v>
      </c>
      <c r="P39" s="56"/>
      <c r="Q39" s="17"/>
      <c r="R39" s="252"/>
      <c r="S39" s="252"/>
      <c r="T39" s="252"/>
      <c r="U39" s="252"/>
      <c r="V39" s="252"/>
      <c r="W39" s="252"/>
      <c r="X39" s="253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</row>
    <row r="40" spans="1:36" ht="20.100000000000001" customHeight="1" thickTop="1" thickBot="1" x14ac:dyDescent="0.3">
      <c r="A40" s="16"/>
      <c r="B40" s="14"/>
      <c r="C40" s="293"/>
      <c r="D40" s="146">
        <v>29210000</v>
      </c>
      <c r="E40" s="138" t="s">
        <v>30</v>
      </c>
      <c r="F40" s="50"/>
      <c r="G40" s="16"/>
      <c r="H40" s="295"/>
      <c r="I40" s="143">
        <f>+'Calc. Sdk'!DM8</f>
        <v>993583.1307849529</v>
      </c>
      <c r="J40" s="138" t="s">
        <v>30</v>
      </c>
      <c r="K40" s="50"/>
      <c r="L40" s="16"/>
      <c r="M40" s="144" t="s">
        <v>128</v>
      </c>
      <c r="N40" s="145">
        <f>ROUNDUP((+N39/(N12*N13*'Calc. Sdk'!DH35*'Calc. Sdk'!DH54)),0)</f>
        <v>13</v>
      </c>
      <c r="O40" s="138" t="s">
        <v>130</v>
      </c>
      <c r="P40" s="56"/>
      <c r="Q40" s="17"/>
      <c r="R40" s="252"/>
      <c r="S40" s="252"/>
      <c r="T40" s="252"/>
      <c r="U40" s="252"/>
      <c r="V40" s="252"/>
      <c r="W40" s="252"/>
      <c r="X40" s="253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</row>
    <row r="41" spans="1:36" ht="5.0999999999999996" customHeight="1" thickTop="1" thickBot="1" x14ac:dyDescent="0.25">
      <c r="A41" s="16"/>
      <c r="B41" s="43"/>
      <c r="C41" s="51"/>
      <c r="D41" s="51"/>
      <c r="E41" s="51"/>
      <c r="F41" s="117"/>
      <c r="G41" s="18"/>
      <c r="H41" s="51"/>
      <c r="I41" s="51"/>
      <c r="J41" s="51"/>
      <c r="K41" s="52"/>
      <c r="L41" s="18"/>
      <c r="M41" s="51"/>
      <c r="N41" s="51"/>
      <c r="O41" s="51"/>
      <c r="P41" s="55"/>
      <c r="Q41" s="17"/>
      <c r="R41" s="252"/>
      <c r="S41" s="252"/>
      <c r="T41" s="252"/>
      <c r="U41" s="252"/>
      <c r="V41" s="252"/>
      <c r="W41" s="252"/>
      <c r="X41" s="253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</row>
    <row r="42" spans="1:36" ht="20.100000000000001" customHeight="1" thickTop="1" thickBot="1" x14ac:dyDescent="0.25">
      <c r="A42" s="16"/>
      <c r="B42" s="65"/>
      <c r="C42" s="280" t="s">
        <v>152</v>
      </c>
      <c r="D42" s="143">
        <f>+D39*N42/N39</f>
        <v>27222176.139762696</v>
      </c>
      <c r="E42" s="137" t="str">
        <f>+E39</f>
        <v xml:space="preserve"> tonne</v>
      </c>
      <c r="F42" s="50"/>
      <c r="G42" s="16"/>
      <c r="H42" s="280" t="s">
        <v>152</v>
      </c>
      <c r="I42" s="143">
        <f>+N42*I39/N39</f>
        <v>311110.54936240939</v>
      </c>
      <c r="J42" s="137" t="s">
        <v>29</v>
      </c>
      <c r="K42" s="50"/>
      <c r="L42" s="16"/>
      <c r="M42" s="144" t="s">
        <v>153</v>
      </c>
      <c r="N42" s="143">
        <f>+N40*N12*N13*'Calc. Sdk'!DH35*'Calc. Sdk'!DH54</f>
        <v>77276.160000000003</v>
      </c>
      <c r="O42" s="139" t="s">
        <v>129</v>
      </c>
      <c r="P42" s="66"/>
      <c r="Q42" s="17"/>
      <c r="R42" s="252"/>
      <c r="S42" s="252"/>
      <c r="T42" s="252"/>
      <c r="U42" s="252"/>
      <c r="V42" s="252"/>
      <c r="W42" s="252"/>
      <c r="X42" s="253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</row>
    <row r="43" spans="1:36" ht="20.100000000000001" customHeight="1" thickTop="1" thickBot="1" x14ac:dyDescent="0.25">
      <c r="A43" s="16"/>
      <c r="B43" s="67"/>
      <c r="C43" s="281"/>
      <c r="D43" s="143">
        <f>+D40*I42/I39</f>
        <v>30007313.989932481</v>
      </c>
      <c r="E43" s="138" t="str">
        <f>IF(E42=" bcm"," bcyd"," ton")</f>
        <v xml:space="preserve"> ton</v>
      </c>
      <c r="F43" s="53"/>
      <c r="G43" s="118"/>
      <c r="H43" s="281"/>
      <c r="I43" s="143">
        <f>+I40*N42/N39</f>
        <v>1020703.9021076421</v>
      </c>
      <c r="J43" s="138" t="s">
        <v>30</v>
      </c>
      <c r="K43" s="53"/>
      <c r="L43" s="59"/>
      <c r="M43" s="119"/>
      <c r="N43" s="119"/>
      <c r="O43" s="59"/>
      <c r="P43" s="60"/>
      <c r="Q43" s="17"/>
      <c r="R43" s="252"/>
      <c r="S43" s="252"/>
      <c r="T43" s="252"/>
      <c r="U43" s="252"/>
      <c r="V43" s="252"/>
      <c r="W43" s="252"/>
      <c r="X43" s="253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</row>
    <row r="44" spans="1:36" ht="20.100000000000001" customHeight="1" thickTop="1" thickBot="1" x14ac:dyDescent="0.25">
      <c r="A44" s="16"/>
      <c r="B44" s="61"/>
      <c r="C44" s="68"/>
      <c r="D44" s="68"/>
      <c r="E44" s="68"/>
      <c r="F44" s="62"/>
      <c r="G44" s="62"/>
      <c r="H44" s="68"/>
      <c r="I44" s="68"/>
      <c r="J44" s="68"/>
      <c r="K44" s="62"/>
      <c r="L44" s="62"/>
      <c r="M44" s="62"/>
      <c r="N44" s="62"/>
      <c r="O44" s="62"/>
      <c r="P44" s="63"/>
      <c r="Q44" s="17"/>
      <c r="R44" s="252"/>
      <c r="S44" s="252"/>
      <c r="T44" s="252"/>
      <c r="U44" s="252"/>
      <c r="V44" s="252"/>
      <c r="W44" s="252"/>
      <c r="X44" s="253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</row>
    <row r="45" spans="1:36" ht="20.100000000000001" customHeight="1" thickTop="1" thickBot="1" x14ac:dyDescent="0.25">
      <c r="A45" s="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17"/>
      <c r="R45" s="252"/>
      <c r="S45" s="252"/>
      <c r="T45" s="252"/>
      <c r="U45" s="252"/>
      <c r="V45" s="252"/>
      <c r="W45" s="252"/>
      <c r="X45" s="253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</row>
    <row r="46" spans="1:36" ht="20.100000000000001" customHeight="1" thickTop="1" thickBot="1" x14ac:dyDescent="0.25">
      <c r="A46" s="16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17"/>
      <c r="R46" s="252"/>
      <c r="S46" s="252"/>
      <c r="T46" s="252"/>
      <c r="U46" s="252"/>
      <c r="V46" s="252"/>
      <c r="W46" s="252"/>
      <c r="X46" s="253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</row>
    <row r="47" spans="1:36" ht="20.100000000000001" customHeight="1" thickTop="1" thickBot="1" x14ac:dyDescent="0.25">
      <c r="A47" s="16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17"/>
      <c r="R47" s="252"/>
      <c r="S47" s="252"/>
      <c r="T47" s="252"/>
      <c r="U47" s="252"/>
      <c r="V47" s="252"/>
      <c r="W47" s="252"/>
      <c r="X47" s="253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</row>
    <row r="48" spans="1:36" ht="20.100000000000001" customHeight="1" thickTop="1" thickBot="1" x14ac:dyDescent="0.25">
      <c r="A48" s="1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17"/>
      <c r="R48" s="252"/>
      <c r="S48" s="252"/>
      <c r="T48" s="252"/>
      <c r="U48" s="252"/>
      <c r="V48" s="252"/>
      <c r="W48" s="252"/>
      <c r="X48" s="253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</row>
    <row r="49" spans="1:36" ht="20.100000000000001" customHeight="1" thickTop="1" thickBot="1" x14ac:dyDescent="0.25">
      <c r="A49" s="16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17"/>
      <c r="R49" s="252"/>
      <c r="S49" s="252"/>
      <c r="T49" s="252"/>
      <c r="U49" s="252"/>
      <c r="V49" s="252"/>
      <c r="W49" s="252"/>
      <c r="X49" s="253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</row>
    <row r="50" spans="1:36" ht="20.100000000000001" customHeight="1" thickTop="1" thickBot="1" x14ac:dyDescent="0.25">
      <c r="A50" s="16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17"/>
      <c r="R50" s="252"/>
      <c r="S50" s="252"/>
      <c r="T50" s="252"/>
      <c r="U50" s="252"/>
      <c r="V50" s="252"/>
      <c r="W50" s="252"/>
      <c r="X50" s="253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</row>
    <row r="51" spans="1:36" ht="20.100000000000001" customHeight="1" thickTop="1" thickBot="1" x14ac:dyDescent="0.25">
      <c r="A51" s="16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17"/>
      <c r="R51" s="252"/>
      <c r="S51" s="252"/>
      <c r="T51" s="252"/>
      <c r="U51" s="252"/>
      <c r="V51" s="252"/>
      <c r="W51" s="252"/>
      <c r="X51" s="253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</row>
    <row r="52" spans="1:36" ht="20.100000000000001" customHeight="1" thickTop="1" thickBot="1" x14ac:dyDescent="0.25">
      <c r="A52" s="16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17"/>
      <c r="R52" s="252"/>
      <c r="S52" s="252"/>
      <c r="T52" s="252"/>
      <c r="U52" s="252"/>
      <c r="V52" s="252"/>
      <c r="W52" s="252"/>
      <c r="X52" s="253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</row>
    <row r="53" spans="1:36" ht="20.100000000000001" customHeight="1" thickTop="1" thickBot="1" x14ac:dyDescent="0.25">
      <c r="A53" s="16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17"/>
      <c r="R53" s="252"/>
      <c r="S53" s="252"/>
      <c r="T53" s="252"/>
      <c r="U53" s="252"/>
      <c r="V53" s="252"/>
      <c r="W53" s="252"/>
      <c r="X53" s="253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</row>
    <row r="54" spans="1:36" ht="20.100000000000001" customHeight="1" thickTop="1" thickBot="1" x14ac:dyDescent="0.25">
      <c r="A54" s="16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17"/>
      <c r="R54" s="252"/>
      <c r="S54" s="252"/>
      <c r="T54" s="252"/>
      <c r="U54" s="252"/>
      <c r="V54" s="252"/>
      <c r="W54" s="252"/>
      <c r="X54" s="253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</row>
    <row r="55" spans="1:36" ht="20.100000000000001" customHeight="1" thickTop="1" thickBot="1" x14ac:dyDescent="0.25">
      <c r="A55" s="16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17"/>
      <c r="R55" s="252"/>
      <c r="S55" s="252"/>
      <c r="T55" s="252"/>
      <c r="U55" s="252"/>
      <c r="V55" s="252"/>
      <c r="W55" s="252"/>
      <c r="X55" s="253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</row>
    <row r="56" spans="1:36" ht="20.100000000000001" customHeight="1" thickTop="1" thickBot="1" x14ac:dyDescent="0.25">
      <c r="A56" s="1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17"/>
      <c r="R56" s="252"/>
      <c r="S56" s="252"/>
      <c r="T56" s="252"/>
      <c r="U56" s="252"/>
      <c r="V56" s="252"/>
      <c r="W56" s="252"/>
      <c r="X56" s="253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</row>
    <row r="57" spans="1:36" ht="20.100000000000001" customHeight="1" thickTop="1" thickBot="1" x14ac:dyDescent="0.25">
      <c r="A57" s="16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17"/>
      <c r="R57" s="252"/>
      <c r="S57" s="252"/>
      <c r="T57" s="252"/>
      <c r="U57" s="252"/>
      <c r="V57" s="252"/>
      <c r="W57" s="252"/>
      <c r="X57" s="253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</row>
    <row r="58" spans="1:36" ht="20.100000000000001" customHeight="1" thickTop="1" thickBot="1" x14ac:dyDescent="0.25">
      <c r="A58" s="16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7"/>
      <c r="R58" s="252"/>
      <c r="S58" s="252"/>
      <c r="T58" s="252"/>
      <c r="U58" s="252"/>
      <c r="V58" s="252"/>
      <c r="W58" s="252"/>
      <c r="X58" s="253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</row>
    <row r="59" spans="1:36" ht="20.100000000000001" customHeight="1" thickTop="1" thickBot="1" x14ac:dyDescent="0.25">
      <c r="A59" s="16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17"/>
      <c r="R59" s="252"/>
      <c r="S59" s="252"/>
      <c r="T59" s="252"/>
      <c r="U59" s="252"/>
      <c r="V59" s="252"/>
      <c r="W59" s="252"/>
      <c r="X59" s="253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</row>
    <row r="60" spans="1:36" ht="20.100000000000001" customHeight="1" thickTop="1" thickBot="1" x14ac:dyDescent="0.25">
      <c r="A60" s="16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7"/>
      <c r="R60" s="252"/>
      <c r="S60" s="252"/>
      <c r="T60" s="252"/>
      <c r="U60" s="252"/>
      <c r="V60" s="252"/>
      <c r="W60" s="252"/>
      <c r="X60" s="253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</row>
    <row r="61" spans="1:36" ht="20.100000000000001" customHeight="1" thickTop="1" thickBot="1" x14ac:dyDescent="0.25">
      <c r="A61" s="16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17"/>
      <c r="R61" s="252"/>
      <c r="S61" s="252"/>
      <c r="T61" s="252"/>
      <c r="U61" s="252"/>
      <c r="V61" s="252"/>
      <c r="W61" s="252"/>
      <c r="X61" s="253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</row>
    <row r="62" spans="1:36" ht="20.100000000000001" customHeight="1" thickTop="1" thickBot="1" x14ac:dyDescent="0.25">
      <c r="A62" s="16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17"/>
      <c r="R62" s="252"/>
      <c r="S62" s="252"/>
      <c r="T62" s="252"/>
      <c r="U62" s="252"/>
      <c r="V62" s="252"/>
      <c r="W62" s="252"/>
      <c r="X62" s="253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</row>
    <row r="63" spans="1:36" ht="20.100000000000001" customHeight="1" thickTop="1" thickBot="1" x14ac:dyDescent="0.25">
      <c r="A63" s="16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17"/>
      <c r="R63" s="252"/>
      <c r="S63" s="252"/>
      <c r="T63" s="252"/>
      <c r="U63" s="252"/>
      <c r="V63" s="252"/>
      <c r="W63" s="252"/>
      <c r="X63" s="253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</row>
    <row r="64" spans="1:36" ht="20.100000000000001" customHeight="1" thickTop="1" thickBot="1" x14ac:dyDescent="0.25">
      <c r="A64" s="16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17"/>
      <c r="R64" s="252"/>
      <c r="S64" s="252"/>
      <c r="T64" s="252"/>
      <c r="U64" s="252"/>
      <c r="V64" s="252"/>
      <c r="W64" s="252"/>
      <c r="X64" s="253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</row>
    <row r="65" spans="1:36" ht="20.100000000000001" customHeight="1" thickTop="1" thickBot="1" x14ac:dyDescent="0.25">
      <c r="A65" s="16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17"/>
      <c r="R65" s="252"/>
      <c r="S65" s="252"/>
      <c r="T65" s="252"/>
      <c r="U65" s="252"/>
      <c r="V65" s="252"/>
      <c r="W65" s="252"/>
      <c r="X65" s="253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</row>
    <row r="66" spans="1:36" ht="20.100000000000001" customHeight="1" thickTop="1" thickBot="1" x14ac:dyDescent="0.25">
      <c r="A66" s="16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17"/>
      <c r="R66" s="252"/>
      <c r="S66" s="252"/>
      <c r="T66" s="252"/>
      <c r="U66" s="252"/>
      <c r="V66" s="252"/>
      <c r="W66" s="252"/>
      <c r="X66" s="253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</row>
    <row r="67" spans="1:36" ht="20.100000000000001" customHeight="1" thickTop="1" thickBot="1" x14ac:dyDescent="0.25">
      <c r="A67" s="16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17"/>
      <c r="R67" s="252"/>
      <c r="S67" s="252"/>
      <c r="T67" s="252"/>
      <c r="U67" s="252"/>
      <c r="V67" s="252"/>
      <c r="W67" s="252"/>
      <c r="X67" s="253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</row>
    <row r="68" spans="1:36" ht="20.100000000000001" customHeight="1" thickTop="1" thickBot="1" x14ac:dyDescent="0.25">
      <c r="A68" s="16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17"/>
      <c r="R68" s="252"/>
      <c r="S68" s="252"/>
      <c r="T68" s="252"/>
      <c r="U68" s="252"/>
      <c r="V68" s="252"/>
      <c r="W68" s="252"/>
      <c r="X68" s="253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</row>
    <row r="69" spans="1:36" ht="20.100000000000001" customHeight="1" thickTop="1" thickBot="1" x14ac:dyDescent="0.25">
      <c r="A69" s="16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17"/>
      <c r="R69" s="252"/>
      <c r="S69" s="252"/>
      <c r="T69" s="252"/>
      <c r="U69" s="252"/>
      <c r="V69" s="252"/>
      <c r="W69" s="252"/>
      <c r="X69" s="253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</row>
    <row r="70" spans="1:36" ht="20.100000000000001" customHeight="1" thickTop="1" thickBot="1" x14ac:dyDescent="0.25">
      <c r="A70" s="16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17"/>
      <c r="R70" s="252"/>
      <c r="S70" s="252"/>
      <c r="T70" s="252"/>
      <c r="U70" s="252"/>
      <c r="V70" s="252"/>
      <c r="W70" s="252"/>
      <c r="X70" s="253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</row>
    <row r="71" spans="1:36" ht="20.100000000000001" customHeight="1" thickTop="1" thickBot="1" x14ac:dyDescent="0.25">
      <c r="A71" s="16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17"/>
      <c r="R71" s="252"/>
      <c r="S71" s="252"/>
      <c r="T71" s="252"/>
      <c r="U71" s="252"/>
      <c r="V71" s="252"/>
      <c r="W71" s="252"/>
      <c r="X71" s="253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</row>
    <row r="72" spans="1:36" ht="20.100000000000001" customHeight="1" thickTop="1" thickBot="1" x14ac:dyDescent="0.25">
      <c r="A72" s="16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17"/>
      <c r="R72" s="252"/>
      <c r="S72" s="252"/>
      <c r="T72" s="252"/>
      <c r="U72" s="252"/>
      <c r="V72" s="252"/>
      <c r="W72" s="252"/>
      <c r="X72" s="253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</row>
    <row r="73" spans="1:36" ht="20.100000000000001" customHeight="1" thickTop="1" thickBot="1" x14ac:dyDescent="0.25">
      <c r="A73" s="16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17"/>
      <c r="R73" s="252"/>
      <c r="S73" s="252"/>
      <c r="T73" s="252"/>
      <c r="U73" s="252"/>
      <c r="V73" s="252"/>
      <c r="W73" s="252"/>
      <c r="X73" s="253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</row>
    <row r="74" spans="1:36" ht="20.100000000000001" customHeight="1" thickTop="1" thickBot="1" x14ac:dyDescent="0.25">
      <c r="A74" s="16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17"/>
      <c r="R74" s="252"/>
      <c r="S74" s="252"/>
      <c r="T74" s="252"/>
      <c r="U74" s="252"/>
      <c r="V74" s="252"/>
      <c r="W74" s="252"/>
      <c r="X74" s="253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</row>
    <row r="75" spans="1:36" ht="20.100000000000001" customHeight="1" thickTop="1" thickBot="1" x14ac:dyDescent="0.25">
      <c r="A75" s="1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17"/>
      <c r="R75" s="252"/>
      <c r="S75" s="252"/>
      <c r="T75" s="252"/>
      <c r="U75" s="252"/>
      <c r="V75" s="252"/>
      <c r="W75" s="252"/>
      <c r="X75" s="253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</row>
    <row r="76" spans="1:36" ht="20.100000000000001" customHeight="1" thickTop="1" thickBot="1" x14ac:dyDescent="0.25">
      <c r="A76" s="16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17"/>
      <c r="R76" s="252"/>
      <c r="S76" s="252"/>
      <c r="T76" s="252"/>
      <c r="U76" s="252"/>
      <c r="V76" s="252"/>
      <c r="W76" s="252"/>
      <c r="X76" s="253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</row>
    <row r="77" spans="1:36" ht="20.100000000000001" customHeight="1" thickTop="1" thickBot="1" x14ac:dyDescent="0.25">
      <c r="A77" s="16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17"/>
      <c r="R77" s="252"/>
      <c r="S77" s="252"/>
      <c r="T77" s="252"/>
      <c r="U77" s="252"/>
      <c r="V77" s="252"/>
      <c r="W77" s="252"/>
      <c r="X77" s="253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</row>
    <row r="78" spans="1:36" ht="20.100000000000001" customHeight="1" thickTop="1" thickBot="1" x14ac:dyDescent="0.25">
      <c r="A78" s="16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7"/>
      <c r="R78" s="252"/>
      <c r="S78" s="252"/>
      <c r="T78" s="252"/>
      <c r="U78" s="252"/>
      <c r="V78" s="252"/>
      <c r="W78" s="252"/>
      <c r="X78" s="253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</row>
    <row r="79" spans="1:36" ht="20.100000000000001" customHeight="1" thickTop="1" thickBot="1" x14ac:dyDescent="0.25">
      <c r="A79" s="16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17"/>
      <c r="R79" s="252"/>
      <c r="S79" s="252"/>
      <c r="T79" s="252"/>
      <c r="U79" s="252"/>
      <c r="V79" s="252"/>
      <c r="W79" s="252"/>
      <c r="X79" s="253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</row>
    <row r="80" spans="1:36" ht="20.100000000000001" customHeight="1" thickTop="1" thickBot="1" x14ac:dyDescent="0.25">
      <c r="A80" s="1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17"/>
      <c r="R80" s="252"/>
      <c r="S80" s="252"/>
      <c r="T80" s="252"/>
      <c r="U80" s="252"/>
      <c r="V80" s="252"/>
      <c r="W80" s="252"/>
      <c r="X80" s="253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</row>
    <row r="81" spans="1:36" ht="20.100000000000001" customHeight="1" thickTop="1" thickBot="1" x14ac:dyDescent="0.25">
      <c r="A81" s="16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17"/>
      <c r="R81" s="252"/>
      <c r="S81" s="252"/>
      <c r="T81" s="252"/>
      <c r="U81" s="252"/>
      <c r="V81" s="252"/>
      <c r="W81" s="252"/>
      <c r="X81" s="253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</row>
    <row r="82" spans="1:36" ht="20.100000000000001" customHeight="1" thickTop="1" thickBot="1" x14ac:dyDescent="0.25">
      <c r="A82" s="16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17"/>
      <c r="R82" s="252"/>
      <c r="S82" s="252"/>
      <c r="T82" s="252"/>
      <c r="U82" s="252"/>
      <c r="V82" s="252"/>
      <c r="W82" s="252"/>
      <c r="X82" s="253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</row>
    <row r="83" spans="1:36" ht="20.100000000000001" customHeight="1" thickTop="1" thickBot="1" x14ac:dyDescent="0.25">
      <c r="A83" s="16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17"/>
      <c r="R83" s="252"/>
      <c r="S83" s="252"/>
      <c r="T83" s="252"/>
      <c r="U83" s="252"/>
      <c r="V83" s="252"/>
      <c r="W83" s="252"/>
      <c r="X83" s="253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</row>
    <row r="84" spans="1:36" ht="20.100000000000001" customHeight="1" thickTop="1" thickBot="1" x14ac:dyDescent="0.25">
      <c r="A84" s="16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17"/>
      <c r="R84" s="252"/>
      <c r="S84" s="252"/>
      <c r="T84" s="252"/>
      <c r="U84" s="252"/>
      <c r="V84" s="252"/>
      <c r="W84" s="252"/>
      <c r="X84" s="253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</row>
    <row r="85" spans="1:36" ht="20.100000000000001" customHeight="1" thickTop="1" thickBot="1" x14ac:dyDescent="0.25">
      <c r="A85" s="16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17"/>
      <c r="R85" s="252"/>
      <c r="S85" s="252"/>
      <c r="T85" s="252"/>
      <c r="U85" s="252"/>
      <c r="V85" s="252"/>
      <c r="W85" s="252"/>
      <c r="X85" s="253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</row>
    <row r="86" spans="1:36" ht="20.100000000000001" customHeight="1" thickTop="1" thickBot="1" x14ac:dyDescent="0.25">
      <c r="A86" s="16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17"/>
      <c r="R86" s="252"/>
      <c r="S86" s="252"/>
      <c r="T86" s="252"/>
      <c r="U86" s="252"/>
      <c r="V86" s="252"/>
      <c r="W86" s="252"/>
      <c r="X86" s="253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</row>
    <row r="87" spans="1:36" ht="20.100000000000001" customHeight="1" thickTop="1" thickBot="1" x14ac:dyDescent="0.25">
      <c r="A87" s="16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17"/>
      <c r="R87" s="252"/>
      <c r="S87" s="252"/>
      <c r="T87" s="252"/>
      <c r="U87" s="252"/>
      <c r="V87" s="252"/>
      <c r="W87" s="252"/>
      <c r="X87" s="253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</row>
    <row r="88" spans="1:36" ht="20.100000000000001" customHeight="1" thickTop="1" thickBot="1" x14ac:dyDescent="0.25">
      <c r="A88" s="16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17"/>
      <c r="R88" s="252"/>
      <c r="S88" s="252"/>
      <c r="T88" s="252"/>
      <c r="U88" s="252"/>
      <c r="V88" s="252"/>
      <c r="W88" s="252"/>
      <c r="X88" s="253"/>
      <c r="Y88" s="201"/>
      <c r="Z88" s="201"/>
      <c r="AA88" s="201"/>
      <c r="AB88" s="201"/>
      <c r="AC88" s="201"/>
      <c r="AD88" s="201"/>
      <c r="AE88" s="201"/>
      <c r="AF88" s="201"/>
      <c r="AG88" s="201"/>
      <c r="AH88" s="201"/>
      <c r="AI88" s="201"/>
      <c r="AJ88" s="201"/>
    </row>
    <row r="89" spans="1:36" ht="20.100000000000001" customHeight="1" thickTop="1" thickBot="1" x14ac:dyDescent="0.25">
      <c r="A89" s="16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17"/>
      <c r="R89" s="252"/>
      <c r="S89" s="252"/>
      <c r="T89" s="252"/>
      <c r="U89" s="252"/>
      <c r="V89" s="252"/>
      <c r="W89" s="252"/>
      <c r="X89" s="253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</row>
    <row r="90" spans="1:36" ht="20.100000000000001" customHeight="1" thickTop="1" thickBot="1" x14ac:dyDescent="0.25">
      <c r="A90" s="16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17"/>
      <c r="R90" s="252"/>
      <c r="S90" s="252"/>
      <c r="T90" s="252"/>
      <c r="U90" s="252"/>
      <c r="V90" s="252"/>
      <c r="W90" s="252"/>
      <c r="X90" s="253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</row>
    <row r="91" spans="1:36" ht="20.100000000000001" customHeight="1" thickTop="1" thickBot="1" x14ac:dyDescent="0.25">
      <c r="A91" s="16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17"/>
      <c r="R91" s="17"/>
      <c r="S91" s="17"/>
      <c r="T91" s="17"/>
      <c r="U91" s="17"/>
      <c r="V91" s="17"/>
      <c r="W91" s="17"/>
      <c r="X91" s="18"/>
    </row>
    <row r="92" spans="1:36" ht="20.100000000000001" customHeight="1" thickTop="1" thickBot="1" x14ac:dyDescent="0.25">
      <c r="A92" s="16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17"/>
      <c r="R92" s="17"/>
      <c r="S92" s="17"/>
      <c r="T92" s="17"/>
      <c r="U92" s="17"/>
      <c r="V92" s="17"/>
      <c r="W92" s="17"/>
      <c r="X92" s="18"/>
    </row>
    <row r="93" spans="1:36" ht="20.100000000000001" customHeight="1" thickTop="1" thickBot="1" x14ac:dyDescent="0.25">
      <c r="A93" s="16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17"/>
      <c r="R93" s="17"/>
      <c r="S93" s="17"/>
      <c r="T93" s="17"/>
      <c r="U93" s="17"/>
      <c r="V93" s="17"/>
      <c r="W93" s="17"/>
      <c r="X93" s="18"/>
    </row>
    <row r="94" spans="1:36" ht="12.75" thickTop="1" thickBot="1" x14ac:dyDescent="0.25">
      <c r="A94" s="16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</row>
    <row r="95" spans="1:36" ht="12" thickTop="1" x14ac:dyDescent="0.2">
      <c r="A95" s="16"/>
    </row>
    <row r="96" spans="1:36" x14ac:dyDescent="0.2">
      <c r="A96" s="16"/>
    </row>
  </sheetData>
  <sheetProtection selectLockedCells="1"/>
  <mergeCells count="29">
    <mergeCell ref="C15:C16"/>
    <mergeCell ref="C42:C43"/>
    <mergeCell ref="H24:H25"/>
    <mergeCell ref="D1:N3"/>
    <mergeCell ref="N4:O4"/>
    <mergeCell ref="I4:K4"/>
    <mergeCell ref="C21:C22"/>
    <mergeCell ref="H21:H22"/>
    <mergeCell ref="C12:C13"/>
    <mergeCell ref="H12:H13"/>
    <mergeCell ref="M15:M16"/>
    <mergeCell ref="C18:C19"/>
    <mergeCell ref="H15:H16"/>
    <mergeCell ref="M18:M19"/>
    <mergeCell ref="D4:F4"/>
    <mergeCell ref="H18:H19"/>
    <mergeCell ref="C29:C30"/>
    <mergeCell ref="C24:C25"/>
    <mergeCell ref="C39:C40"/>
    <mergeCell ref="H39:H40"/>
    <mergeCell ref="H29:H30"/>
    <mergeCell ref="C34:C35"/>
    <mergeCell ref="R4:X4"/>
    <mergeCell ref="M21:M22"/>
    <mergeCell ref="M24:M25"/>
    <mergeCell ref="H42:H43"/>
    <mergeCell ref="H34:H35"/>
    <mergeCell ref="M28:O28"/>
    <mergeCell ref="M31:O31"/>
  </mergeCells>
  <phoneticPr fontId="3" type="noConversion"/>
  <printOptions horizontalCentered="1" verticalCentered="1"/>
  <pageMargins left="0.5" right="0.5" top="0.5" bottom="0.5" header="0.5" footer="0.5"/>
  <pageSetup scale="8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Drop Down 8">
              <controlPr locked="0" defaultSize="0" autoLine="0" autoPict="0">
                <anchor moveWithCells="1">
                  <from>
                    <xdr:col>8</xdr:col>
                    <xdr:colOff>19050</xdr:colOff>
                    <xdr:row>5</xdr:row>
                    <xdr:rowOff>9525</xdr:rowOff>
                  </from>
                  <to>
                    <xdr:col>10</xdr:col>
                    <xdr:colOff>19050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Drop Down 9">
              <controlPr locked="0" defaultSize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962025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Drop Down 10">
              <controlPr locked="0"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4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Drop Down 11">
              <controlPr locked="0" defaultSize="0" autoLine="0" autoPict="0">
                <anchor moveWithCells="1">
                  <from>
                    <xdr:col>8</xdr:col>
                    <xdr:colOff>28575</xdr:colOff>
                    <xdr:row>15</xdr:row>
                    <xdr:rowOff>19050</xdr:rowOff>
                  </from>
                  <to>
                    <xdr:col>9</xdr:col>
                    <xdr:colOff>19050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Drop Down 12">
              <controlPr locked="0" defaultSize="0" autoLine="0" autoPict="0">
                <anchor moveWithCells="1">
                  <from>
                    <xdr:col>3</xdr:col>
                    <xdr:colOff>9525</xdr:colOff>
                    <xdr:row>6</xdr:row>
                    <xdr:rowOff>28575</xdr:rowOff>
                  </from>
                  <to>
                    <xdr:col>3</xdr:col>
                    <xdr:colOff>1038225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Drop Down 13">
              <controlPr locked="0" defaultSize="0" autoLine="0" autoPict="0">
                <anchor moveWithCells="1">
                  <from>
                    <xdr:col>3</xdr:col>
                    <xdr:colOff>1343025</xdr:colOff>
                    <xdr:row>39</xdr:row>
                    <xdr:rowOff>19050</xdr:rowOff>
                  </from>
                  <to>
                    <xdr:col>6</xdr:col>
                    <xdr:colOff>28575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locked="0" defaultSize="0" autoLine="0" autoPict="0">
                <anchor moveWithCells="1">
                  <from>
                    <xdr:col>3</xdr:col>
                    <xdr:colOff>9525</xdr:colOff>
                    <xdr:row>13</xdr:row>
                    <xdr:rowOff>47625</xdr:rowOff>
                  </from>
                  <to>
                    <xdr:col>4</xdr:col>
                    <xdr:colOff>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locked="0" defaultSize="0" autoLine="0" autoPict="0">
                <anchor moveWithCells="1">
                  <from>
                    <xdr:col>13</xdr:col>
                    <xdr:colOff>0</xdr:colOff>
                    <xdr:row>34</xdr:row>
                    <xdr:rowOff>0</xdr:rowOff>
                  </from>
                  <to>
                    <xdr:col>13</xdr:col>
                    <xdr:colOff>704850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locked="0" defaultSize="0" autoLine="0" autoPict="0">
                <anchor moveWithCells="1">
                  <from>
                    <xdr:col>13</xdr:col>
                    <xdr:colOff>0</xdr:colOff>
                    <xdr:row>33</xdr:row>
                    <xdr:rowOff>0</xdr:rowOff>
                  </from>
                  <to>
                    <xdr:col>13</xdr:col>
                    <xdr:colOff>704850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Drop Down 21">
              <controlPr locked="0" defaultSize="0" autoLine="0" autoPict="0">
                <anchor moveWithCells="1">
                  <from>
                    <xdr:col>8</xdr:col>
                    <xdr:colOff>19050</xdr:colOff>
                    <xdr:row>6</xdr:row>
                    <xdr:rowOff>47625</xdr:rowOff>
                  </from>
                  <to>
                    <xdr:col>9</xdr:col>
                    <xdr:colOff>9525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Drop Down 23">
              <controlPr locked="0" defaultSize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13</xdr:col>
                    <xdr:colOff>704850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Drop Down 24">
              <controlPr locked="0" defaultSize="0" autoLine="0" autoPict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14</xdr:col>
                    <xdr:colOff>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6" name="Drop Down 37">
              <controlPr locked="0" defaultSize="0" autoLine="0" autoPict="0">
                <anchor moveWithCells="1">
                  <from>
                    <xdr:col>3</xdr:col>
                    <xdr:colOff>19050</xdr:colOff>
                    <xdr:row>8</xdr:row>
                    <xdr:rowOff>0</xdr:rowOff>
                  </from>
                  <to>
                    <xdr:col>3</xdr:col>
                    <xdr:colOff>1047750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Drop Down 38">
              <controlPr locked="0" defaultSize="0" autoLine="0" autoPict="0">
                <anchor moveWithCells="1">
                  <from>
                    <xdr:col>3</xdr:col>
                    <xdr:colOff>9525</xdr:colOff>
                    <xdr:row>7</xdr:row>
                    <xdr:rowOff>47625</xdr:rowOff>
                  </from>
                  <to>
                    <xdr:col>3</xdr:col>
                    <xdr:colOff>1038225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Drop Down 39">
              <controlPr locked="0" defaultSize="0" autoLine="0" autoPict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9" name="Drop Down 40">
              <controlPr locked="0" defaultSize="0" autoLine="0" autoPict="0">
                <anchor moveWithCells="1">
                  <from>
                    <xdr:col>12</xdr:col>
                    <xdr:colOff>1581150</xdr:colOff>
                    <xdr:row>6</xdr:row>
                    <xdr:rowOff>9525</xdr:rowOff>
                  </from>
                  <to>
                    <xdr:col>13</xdr:col>
                    <xdr:colOff>704850</xdr:colOff>
                    <xdr:row>6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Z1:GK658"/>
  <sheetViews>
    <sheetView topLeftCell="AA22" zoomScaleNormal="100" workbookViewId="0">
      <selection activeCell="BA21" sqref="BA21"/>
    </sheetView>
  </sheetViews>
  <sheetFormatPr defaultColWidth="9.140625" defaultRowHeight="13.5" x14ac:dyDescent="0.25"/>
  <cols>
    <col min="1" max="25" width="9.140625" style="1"/>
    <col min="26" max="26" width="9.140625" style="22"/>
    <col min="27" max="30" width="9.140625" style="22" customWidth="1"/>
    <col min="31" max="31" width="10.5703125" style="22" bestFit="1" customWidth="1"/>
    <col min="32" max="32" width="11.5703125" style="22" customWidth="1"/>
    <col min="33" max="33" width="5.7109375" style="22" customWidth="1"/>
    <col min="34" max="34" width="17.7109375" style="22" customWidth="1"/>
    <col min="35" max="35" width="16.28515625" style="22" bestFit="1" customWidth="1"/>
    <col min="36" max="36" width="9.140625" style="22" bestFit="1" customWidth="1"/>
    <col min="37" max="37" width="9.140625" style="22" customWidth="1"/>
    <col min="38" max="38" width="15.7109375" style="22" bestFit="1" customWidth="1"/>
    <col min="39" max="39" width="9.140625" style="22" customWidth="1"/>
    <col min="40" max="40" width="19" style="22" customWidth="1"/>
    <col min="41" max="43" width="6.7109375" style="22" customWidth="1"/>
    <col min="44" max="44" width="8.28515625" style="22" customWidth="1"/>
    <col min="45" max="45" width="11.5703125" style="22" customWidth="1"/>
    <col min="46" max="46" width="9.140625" style="22" customWidth="1"/>
    <col min="47" max="47" width="10.140625" style="22" customWidth="1"/>
    <col min="48" max="51" width="6.7109375" style="22" customWidth="1"/>
    <col min="52" max="52" width="10" style="22" customWidth="1"/>
    <col min="53" max="63" width="9.140625" style="22" customWidth="1"/>
    <col min="64" max="64" width="15.7109375" style="22" bestFit="1" customWidth="1"/>
    <col min="65" max="74" width="9.140625" style="22" customWidth="1"/>
    <col min="75" max="75" width="9.28515625" style="22" customWidth="1"/>
    <col min="76" max="85" width="9.140625" style="22" customWidth="1"/>
    <col min="86" max="86" width="11" style="22" bestFit="1" customWidth="1"/>
    <col min="87" max="87" width="9.140625" style="22" customWidth="1"/>
    <col min="88" max="88" width="14.28515625" style="22" bestFit="1" customWidth="1"/>
    <col min="89" max="89" width="9.140625" style="22" customWidth="1"/>
    <col min="90" max="90" width="14" style="22" bestFit="1" customWidth="1"/>
    <col min="91" max="91" width="12.85546875" style="22" bestFit="1" customWidth="1"/>
    <col min="92" max="93" width="9.140625" style="22" customWidth="1"/>
    <col min="94" max="94" width="12.140625" style="22" customWidth="1"/>
    <col min="95" max="95" width="19.140625" style="22" customWidth="1"/>
    <col min="96" max="105" width="9.140625" style="22" customWidth="1"/>
    <col min="106" max="106" width="12.140625" style="22" bestFit="1" customWidth="1"/>
    <col min="107" max="109" width="9.140625" style="22" customWidth="1"/>
    <col min="110" max="110" width="17.85546875" style="22" customWidth="1"/>
    <col min="111" max="111" width="9.140625" style="22" customWidth="1"/>
    <col min="112" max="112" width="33.28515625" style="22" customWidth="1"/>
    <col min="113" max="113" width="9.140625" style="22" customWidth="1"/>
    <col min="114" max="114" width="11.42578125" style="22" customWidth="1"/>
    <col min="115" max="116" width="9.140625" style="22" customWidth="1"/>
    <col min="117" max="117" width="12.42578125" style="22" customWidth="1"/>
    <col min="118" max="121" width="9.140625" style="22" customWidth="1"/>
    <col min="122" max="123" width="10" style="22" customWidth="1"/>
    <col min="124" max="124" width="20.5703125" style="22" bestFit="1" customWidth="1"/>
    <col min="125" max="125" width="14.28515625" style="22" bestFit="1" customWidth="1"/>
    <col min="126" max="127" width="10" style="22" bestFit="1" customWidth="1"/>
    <col min="128" max="145" width="9.140625" style="22" customWidth="1"/>
    <col min="146" max="146" width="9.5703125" style="22" bestFit="1" customWidth="1"/>
    <col min="147" max="170" width="9.140625" style="22" customWidth="1"/>
    <col min="171" max="171" width="17.7109375" style="22" bestFit="1" customWidth="1"/>
    <col min="172" max="172" width="11" style="22" bestFit="1" customWidth="1"/>
    <col min="173" max="173" width="13.85546875" style="22" customWidth="1"/>
    <col min="174" max="174" width="9.140625" style="22" customWidth="1"/>
    <col min="175" max="176" width="13.140625" style="22" bestFit="1" customWidth="1"/>
    <col min="177" max="183" width="9.140625" style="22" customWidth="1"/>
    <col min="184" max="184" width="49.140625" style="22" bestFit="1" customWidth="1"/>
    <col min="185" max="186" width="9.140625" style="1"/>
    <col min="187" max="188" width="2.42578125" style="1" bestFit="1" customWidth="1"/>
    <col min="189" max="16384" width="9.140625" style="1"/>
  </cols>
  <sheetData>
    <row r="1" spans="27:184" ht="15" x14ac:dyDescent="0.3">
      <c r="AB1" s="34" t="s">
        <v>10</v>
      </c>
      <c r="AC1" s="34"/>
      <c r="AD1" s="34"/>
      <c r="AE1" s="34"/>
      <c r="AF1" s="34"/>
      <c r="AG1" s="34"/>
      <c r="AH1" s="34"/>
      <c r="AI1" s="34"/>
      <c r="AJ1" s="34"/>
      <c r="AL1" s="22" t="s">
        <v>13</v>
      </c>
      <c r="AN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B1" s="22" t="s">
        <v>14</v>
      </c>
      <c r="BK1" s="22" t="s">
        <v>20</v>
      </c>
      <c r="BV1" s="22" t="s">
        <v>48</v>
      </c>
      <c r="DL1" s="22" t="s">
        <v>100</v>
      </c>
      <c r="DQ1" s="20"/>
      <c r="DR1" s="20"/>
      <c r="DS1" s="20"/>
      <c r="DT1" s="20"/>
      <c r="DU1" s="20"/>
      <c r="DV1" s="21" t="s">
        <v>51</v>
      </c>
      <c r="DW1" s="21"/>
      <c r="DX1" s="21" t="s">
        <v>52</v>
      </c>
      <c r="DY1" s="21"/>
      <c r="DZ1" s="21" t="s">
        <v>52</v>
      </c>
      <c r="EA1" s="81"/>
      <c r="EB1" s="81"/>
      <c r="EC1" s="81" t="s">
        <v>132</v>
      </c>
      <c r="ED1" s="81"/>
      <c r="EE1" s="24"/>
      <c r="EF1" s="24"/>
      <c r="EG1" s="24" t="s">
        <v>133</v>
      </c>
      <c r="EH1" s="24"/>
      <c r="EI1" s="24" t="s">
        <v>134</v>
      </c>
      <c r="EJ1" s="24"/>
      <c r="EK1" s="24" t="s">
        <v>135</v>
      </c>
      <c r="EL1" s="24" t="s">
        <v>136</v>
      </c>
      <c r="EM1" s="24"/>
      <c r="EN1" s="21"/>
      <c r="EO1" s="81"/>
      <c r="EP1" s="81"/>
      <c r="EQ1" s="81"/>
      <c r="ER1" s="24" t="s">
        <v>139</v>
      </c>
      <c r="ES1" s="24"/>
      <c r="ET1" s="82" t="s">
        <v>140</v>
      </c>
      <c r="EU1" s="82"/>
      <c r="EV1" s="24" t="s">
        <v>141</v>
      </c>
      <c r="EW1" s="70" t="s">
        <v>142</v>
      </c>
      <c r="EX1" s="83">
        <f>+(EX18+EX19)*60/EX12</f>
        <v>258.59470317587113</v>
      </c>
      <c r="EY1" s="21"/>
      <c r="FB1" s="22" t="s">
        <v>77</v>
      </c>
      <c r="FD1" s="22" t="s">
        <v>297</v>
      </c>
      <c r="FF1" s="22" t="s">
        <v>296</v>
      </c>
      <c r="FH1" s="81"/>
      <c r="FI1" s="84" t="s">
        <v>79</v>
      </c>
      <c r="FJ1" s="85"/>
      <c r="FK1" s="81"/>
    </row>
    <row r="2" spans="27:184" ht="15" x14ac:dyDescent="0.3">
      <c r="AA2" s="22">
        <v>1</v>
      </c>
      <c r="AB2" s="23" t="str">
        <f>LOOKUP(AA2,AA3:AB4)</f>
        <v>Imperial</v>
      </c>
      <c r="AC2" s="23"/>
      <c r="AD2" s="22">
        <f>+AK2</f>
        <v>16</v>
      </c>
      <c r="AE2" s="24" t="str">
        <f>LOOKUP(AD2,AD3:AE24)</f>
        <v>DR412i SP</v>
      </c>
      <c r="AF2" s="25">
        <f>LOOKUP(AD2,AD3:AF22)</f>
        <v>0</v>
      </c>
      <c r="AG2" s="24"/>
      <c r="AH2" s="22">
        <v>1</v>
      </c>
      <c r="AI2" s="22">
        <f>LOOKUP(AH2,AH3:AI22)</f>
        <v>0</v>
      </c>
      <c r="AJ2" s="23"/>
      <c r="AK2" s="22">
        <v>16</v>
      </c>
      <c r="AL2" s="23" t="str">
        <f>LOOKUP(AK2,AK3:AL26)</f>
        <v>DR412i SP</v>
      </c>
      <c r="AM2" s="22">
        <f>+$AK$2</f>
        <v>16</v>
      </c>
      <c r="AN2" s="26">
        <f>LOOKUP(AM2,AM3:AN26)</f>
        <v>178</v>
      </c>
      <c r="AO2" s="23">
        <f>+$AK$2</f>
        <v>16</v>
      </c>
      <c r="AP2" s="26">
        <f>LOOKUP(AO2,AO3:AP26)</f>
        <v>194</v>
      </c>
      <c r="AQ2" s="23">
        <f>+$AK$2</f>
        <v>16</v>
      </c>
      <c r="AR2" s="26">
        <f>LOOKUP(AQ2,AQ3:AR26)</f>
        <v>203</v>
      </c>
      <c r="AS2" s="23">
        <f>+$AK$2</f>
        <v>16</v>
      </c>
      <c r="AT2" s="26">
        <f>LOOKUP(AS2,AS3:AT26)</f>
        <v>219</v>
      </c>
      <c r="AU2" s="23">
        <f>+$AK$2</f>
        <v>16</v>
      </c>
      <c r="AV2" s="26">
        <f>LOOKUP(AU2,AU3:AV26)</f>
        <v>245</v>
      </c>
      <c r="AW2" s="22">
        <f>+$AK$2</f>
        <v>16</v>
      </c>
      <c r="AX2" s="26">
        <f>LOOKUP(AW2,AW3:AX26)</f>
        <v>0</v>
      </c>
      <c r="AY2" s="22">
        <f>+$AK$2</f>
        <v>16</v>
      </c>
      <c r="AZ2" s="26">
        <f>LOOKUP(AY2,AY3:AZ26)</f>
        <v>0</v>
      </c>
      <c r="BA2" s="22">
        <v>5</v>
      </c>
      <c r="BB2" s="26">
        <f>LOOKUP(BA2,BA3:BB9)</f>
        <v>245</v>
      </c>
      <c r="BC2" s="30">
        <f>BB2/25.4</f>
        <v>9.6456692913385833</v>
      </c>
      <c r="BD2" s="27"/>
      <c r="BE2" s="27"/>
      <c r="BF2" s="27"/>
      <c r="BG2" s="27">
        <v>2</v>
      </c>
      <c r="BH2" s="23">
        <f>LOOKUP(BG2,BG3:BH4)</f>
        <v>50</v>
      </c>
      <c r="BI2" s="126">
        <f>+BG2</f>
        <v>2</v>
      </c>
      <c r="BJ2" s="23">
        <f>LOOKUP(BI2,BI3:BJ4)</f>
        <v>2870</v>
      </c>
      <c r="BK2" s="27">
        <f>+AK2</f>
        <v>16</v>
      </c>
      <c r="BL2" s="26" t="str">
        <f>LOOKUP(BK2,BK3:BL20)</f>
        <v>DR412i SP</v>
      </c>
      <c r="BM2" s="26">
        <f>+AK2</f>
        <v>16</v>
      </c>
      <c r="BN2" s="28">
        <f>LOOKUP(BM2,BM3:BN20)</f>
        <v>1600</v>
      </c>
      <c r="BO2" s="29">
        <f>+AK2</f>
        <v>16</v>
      </c>
      <c r="BP2" s="28">
        <f>LOOKUP(BO2,BO3:BP20)</f>
        <v>2000</v>
      </c>
      <c r="BQ2" s="29">
        <f>+AK2</f>
        <v>16</v>
      </c>
      <c r="BR2" s="28">
        <f>LOOKUP(BQ2,BQ3:BR20)</f>
        <v>0</v>
      </c>
      <c r="BS2" s="29">
        <f>+AM2</f>
        <v>16</v>
      </c>
      <c r="BT2" s="28">
        <f>LOOKUP(BS2,BS3:BT20)</f>
        <v>0</v>
      </c>
      <c r="BU2" s="29">
        <v>2</v>
      </c>
      <c r="BV2" s="29">
        <f>LOOKUP(BU2,BU3:BV6)</f>
        <v>2000</v>
      </c>
      <c r="BW2" s="30">
        <f>+BV2/35.31467</f>
        <v>56.633687926292389</v>
      </c>
      <c r="BX2" s="27"/>
      <c r="BY2" s="27"/>
      <c r="BZ2" s="27">
        <f>+AK2</f>
        <v>16</v>
      </c>
      <c r="CA2" s="28">
        <f>LOOKUP(BZ2,BZ3:CA22)</f>
        <v>1450</v>
      </c>
      <c r="CB2" s="27">
        <f>+AK2</f>
        <v>16</v>
      </c>
      <c r="CC2" s="28">
        <f>LOOKUP(CB2,CB3:CC22)</f>
        <v>0</v>
      </c>
      <c r="CD2" s="27">
        <f>+AK2</f>
        <v>16</v>
      </c>
      <c r="CE2" s="28">
        <f>LOOKUP(CD2,CD3:CE22)</f>
        <v>0</v>
      </c>
      <c r="CF2" s="27"/>
      <c r="CG2" s="22">
        <v>2</v>
      </c>
      <c r="CH2" s="26" t="str">
        <f>LOOKUP(CG2,CG3:CH7)</f>
        <v>Charger</v>
      </c>
      <c r="CI2" s="22">
        <f>+CG2</f>
        <v>2</v>
      </c>
      <c r="CJ2" s="29" t="str">
        <f>LOOKUP(CI2,CI3:CJ7)</f>
        <v/>
      </c>
      <c r="CK2" s="22">
        <f>+CG2</f>
        <v>2</v>
      </c>
      <c r="CL2" s="26">
        <f>LOOKUP($CG$2,CK3:CL8)</f>
        <v>130</v>
      </c>
      <c r="CM2" s="22">
        <f>+CG2</f>
        <v>2</v>
      </c>
      <c r="CN2" s="26">
        <f>LOOKUP($CG$2,CM3:CN8)</f>
        <v>133</v>
      </c>
      <c r="CO2" s="22">
        <f>+CG2</f>
        <v>2</v>
      </c>
      <c r="CP2" s="26">
        <f>LOOKUP($CG$2,CO3:CP8)</f>
        <v>140</v>
      </c>
      <c r="CQ2" s="22">
        <f>+CG2</f>
        <v>2</v>
      </c>
      <c r="CR2" s="26">
        <f>LOOKUP($CG$2,CQ3:CR8)</f>
        <v>143</v>
      </c>
      <c r="CS2" s="22">
        <f>+CG2</f>
        <v>2</v>
      </c>
      <c r="CT2" s="26">
        <f>LOOKUP($CG$2,CS3:CT8)</f>
        <v>146</v>
      </c>
      <c r="CU2" s="22">
        <f>+CG2</f>
        <v>2</v>
      </c>
      <c r="CV2" s="26">
        <f>LOOKUP($CG$2,CU3:CV8)</f>
        <v>152</v>
      </c>
      <c r="CW2" s="22">
        <f>+CG2</f>
        <v>2</v>
      </c>
      <c r="CX2" s="26">
        <f>LOOKUP($CG$2,CW3:CX8)</f>
        <v>0</v>
      </c>
      <c r="CY2" s="22">
        <f>+CG2</f>
        <v>2</v>
      </c>
      <c r="CZ2" s="26">
        <f>LOOKUP($CG$2,CY3:CZ8)</f>
        <v>0</v>
      </c>
      <c r="DA2" s="26" t="s">
        <v>26</v>
      </c>
      <c r="DB2" s="86" t="s">
        <v>15</v>
      </c>
      <c r="DC2" s="22">
        <v>5</v>
      </c>
      <c r="DD2" s="27">
        <f>LOOKUP(DC2,DC3:DD10)</f>
        <v>311</v>
      </c>
      <c r="DE2" s="26">
        <f>+DD2/25.4</f>
        <v>12.244094488188978</v>
      </c>
      <c r="DF2" s="22" t="s">
        <v>39</v>
      </c>
      <c r="DG2" s="87">
        <f>+DG8*183.3/(DE2^2-BC2^2)</f>
        <v>6133.7549096925886</v>
      </c>
      <c r="DH2" s="22" t="s">
        <v>64</v>
      </c>
      <c r="DI2" s="88">
        <f>IF(AB6="Rotary",+((2.18*DI10*DH20)/(0.2*DH17*(DH18)^0.9*(DH17/10000))),"")/3.28084</f>
        <v>18.029109057552343</v>
      </c>
      <c r="DL2" s="22">
        <v>2</v>
      </c>
      <c r="DM2" s="20" t="str">
        <f>LOOKUP(DL2,DL3:DM7)</f>
        <v>ton</v>
      </c>
      <c r="DN2" s="22">
        <f>+DL2</f>
        <v>2</v>
      </c>
      <c r="DO2" s="20" t="str">
        <f>LOOKUP(DN2,DN3:DO7)</f>
        <v xml:space="preserve"> tonne</v>
      </c>
      <c r="DP2" s="20"/>
      <c r="DQ2" s="20">
        <f>+CG2</f>
        <v>2</v>
      </c>
      <c r="DR2" s="20" t="str">
        <f>LOOKUP(DQ2,DQ3:DR7)</f>
        <v>Mission 55</v>
      </c>
      <c r="DS2" s="20">
        <f>+DQ2</f>
        <v>2</v>
      </c>
      <c r="DT2" s="20">
        <f>LOOKUP(DS2,DS3:DT7)</f>
        <v>855</v>
      </c>
      <c r="DU2" s="20">
        <f>+DQ2</f>
        <v>2</v>
      </c>
      <c r="DV2" s="20">
        <f>LOOKUP(DU2,DU3:DV7)</f>
        <v>0.94</v>
      </c>
      <c r="DW2" s="20">
        <f>+DQ2</f>
        <v>2</v>
      </c>
      <c r="DX2" s="20">
        <f>LOOKUP(DW2,DW3:DX7)</f>
        <v>161</v>
      </c>
      <c r="DY2" s="20">
        <f>+DQ2</f>
        <v>2</v>
      </c>
      <c r="DZ2" s="20">
        <f>LOOKUP(DY2,DY3:DZ7)</f>
        <v>8.0200315</v>
      </c>
      <c r="EA2" s="81">
        <f>AK2</f>
        <v>16</v>
      </c>
      <c r="EB2" s="81">
        <f>+AK2</f>
        <v>16</v>
      </c>
      <c r="EC2" s="81">
        <f>LOOKUP(EB2,EB3:EC22)</f>
        <v>0.35</v>
      </c>
      <c r="ED2" s="22">
        <f>+AK2</f>
        <v>16</v>
      </c>
      <c r="EE2" s="71" t="str">
        <f>LOOKUP(ED2,ED3:EE23)</f>
        <v>DR412i SP</v>
      </c>
      <c r="EF2" s="22">
        <f>+AK2</f>
        <v>16</v>
      </c>
      <c r="EG2" s="72">
        <f>LOOKUP(EF2,EF3:EG23)</f>
        <v>59</v>
      </c>
      <c r="EH2" s="22">
        <f>+AK2</f>
        <v>16</v>
      </c>
      <c r="EI2" s="72">
        <f>LOOKUP(EH2,EH3:EI23)</f>
        <v>25</v>
      </c>
      <c r="EJ2" s="22">
        <f>+AK2</f>
        <v>16</v>
      </c>
      <c r="EK2" s="72">
        <f>LOOKUP(EJ2,EJ3:EK23)</f>
        <v>2</v>
      </c>
      <c r="EL2" s="72">
        <f>(LOOKUP(EJ2,EJ3:EL23))</f>
        <v>1</v>
      </c>
      <c r="EM2" s="72">
        <f>LOOKUP(EL2,EM4:EM23)</f>
        <v>1</v>
      </c>
      <c r="EN2" s="20"/>
      <c r="EO2" s="81">
        <f>+AK2</f>
        <v>16</v>
      </c>
      <c r="EP2" s="71" t="str">
        <f>LOOKUP(EO2,EO3:EP22)</f>
        <v>DR412i SP</v>
      </c>
      <c r="EQ2" s="71">
        <f>+AK2</f>
        <v>16</v>
      </c>
      <c r="ER2" s="76">
        <f>LOOKUP(EQ2,EQ3:ER23)</f>
        <v>144</v>
      </c>
      <c r="ES2" s="76">
        <f>+AK2</f>
        <v>16</v>
      </c>
      <c r="ET2" s="76">
        <f>LOOKUP(ES2,ES3:ET23)</f>
        <v>144</v>
      </c>
      <c r="EU2" s="76">
        <f>+AK2</f>
        <v>16</v>
      </c>
      <c r="EV2" s="76">
        <f>LOOKUP(EU2,EU3:EV23)</f>
        <v>2</v>
      </c>
      <c r="EW2" s="70" t="s">
        <v>143</v>
      </c>
      <c r="EX2" s="83">
        <f>+(1-FK2)*SUM(EX3:EX6)</f>
        <v>0.15236111111111122</v>
      </c>
      <c r="EY2" s="20"/>
      <c r="FA2" s="31">
        <f>+BK2</f>
        <v>16</v>
      </c>
      <c r="FB2" s="20" t="str">
        <f>LOOKUP(FA2,FA3:FB23)</f>
        <v>DR412i SP</v>
      </c>
      <c r="FC2" s="31">
        <f>+BK2</f>
        <v>16</v>
      </c>
      <c r="FD2" s="20">
        <f>LOOKUP(FC2,FC3:FD23)</f>
        <v>80000</v>
      </c>
      <c r="FE2" s="31">
        <f>+BK2</f>
        <v>16</v>
      </c>
      <c r="FF2" s="20">
        <f>LOOKUP(FE2,FE3:FF23)</f>
        <v>4002.2798153540271</v>
      </c>
      <c r="FH2" s="24">
        <v>3</v>
      </c>
      <c r="FI2" s="89" t="str">
        <f>LOOKUP(FH2,FH3:FI6)</f>
        <v>Moderate</v>
      </c>
      <c r="FJ2" s="89"/>
      <c r="FK2" s="32">
        <f>LOOKUP(FH2,FH3:FK6)</f>
        <v>0.95</v>
      </c>
    </row>
    <row r="3" spans="27:184" ht="15" x14ac:dyDescent="0.3">
      <c r="AA3" s="22">
        <v>1</v>
      </c>
      <c r="AB3" s="22" t="s">
        <v>11</v>
      </c>
      <c r="AD3" s="22">
        <v>1</v>
      </c>
      <c r="AE3" s="24" t="s">
        <v>0</v>
      </c>
      <c r="AF3" s="24">
        <v>30</v>
      </c>
      <c r="AG3" s="124">
        <v>0</v>
      </c>
      <c r="AH3" s="22">
        <v>1</v>
      </c>
      <c r="AI3" s="22">
        <v>0</v>
      </c>
      <c r="AK3" s="22">
        <v>1</v>
      </c>
      <c r="AL3" s="24" t="str">
        <f>IF($AB$6="Rotary","D245S 34","")</f>
        <v>D245S 34</v>
      </c>
      <c r="AM3" s="22">
        <v>1</v>
      </c>
      <c r="AN3" s="80">
        <v>89</v>
      </c>
      <c r="AO3" s="225">
        <v>1</v>
      </c>
      <c r="AP3" s="80">
        <v>102</v>
      </c>
      <c r="AQ3" s="225">
        <v>1</v>
      </c>
      <c r="AR3" s="80">
        <v>114</v>
      </c>
      <c r="AS3" s="225">
        <v>1</v>
      </c>
      <c r="AT3" s="80">
        <v>127</v>
      </c>
      <c r="AU3" s="225">
        <v>1</v>
      </c>
      <c r="AV3" s="80">
        <v>140</v>
      </c>
      <c r="AW3" s="225">
        <v>1</v>
      </c>
      <c r="AX3" s="80"/>
      <c r="AY3" s="225">
        <v>1</v>
      </c>
      <c r="AZ3" s="80"/>
      <c r="BA3" s="22">
        <v>1</v>
      </c>
      <c r="BB3" s="80">
        <f>IF(AN2=0,"",+AN2)</f>
        <v>178</v>
      </c>
      <c r="BC3" s="272">
        <f>BB3/25.4</f>
        <v>7.0078740157480315</v>
      </c>
      <c r="BD3" s="90"/>
      <c r="BE3" s="22">
        <v>1</v>
      </c>
      <c r="BF3" s="24" t="str">
        <f>IF($AB$6="Rotary","D245S 34","")</f>
        <v>D245S 34</v>
      </c>
      <c r="BG3" s="90">
        <v>1</v>
      </c>
      <c r="BH3" s="125">
        <f>IF(BM2&gt;11,60,"")</f>
        <v>60</v>
      </c>
      <c r="BI3" s="130">
        <v>1</v>
      </c>
      <c r="BJ3" s="90">
        <v>3335</v>
      </c>
      <c r="BK3" s="22">
        <v>1</v>
      </c>
      <c r="BL3" s="24" t="s">
        <v>0</v>
      </c>
      <c r="BM3" s="22">
        <v>1</v>
      </c>
      <c r="BN3" s="22">
        <v>900</v>
      </c>
      <c r="BO3" s="22">
        <v>1</v>
      </c>
      <c r="BP3" s="22">
        <v>1050</v>
      </c>
      <c r="BQ3" s="22">
        <v>1</v>
      </c>
      <c r="BR3" s="22">
        <v>1225</v>
      </c>
      <c r="BS3" s="22">
        <v>1</v>
      </c>
      <c r="BU3" s="22">
        <v>1</v>
      </c>
      <c r="BV3" s="115">
        <f>IF($AB$6="Rotary",BN2,CA2)</f>
        <v>1600</v>
      </c>
      <c r="BW3" s="90"/>
      <c r="BX3" s="22">
        <v>1</v>
      </c>
      <c r="BY3" s="24" t="s">
        <v>0</v>
      </c>
      <c r="BZ3" s="22">
        <v>1</v>
      </c>
      <c r="CA3" s="22">
        <v>900</v>
      </c>
      <c r="CB3" s="22">
        <v>1</v>
      </c>
      <c r="CC3" s="22">
        <v>1000</v>
      </c>
      <c r="CD3" s="22">
        <v>1</v>
      </c>
      <c r="CE3" s="22">
        <v>1160</v>
      </c>
      <c r="CF3" s="90"/>
      <c r="CG3" s="22">
        <v>1</v>
      </c>
      <c r="CH3" s="91" t="str">
        <f>IF(AB6="Rotary","Standard","M30")</f>
        <v>Standard</v>
      </c>
      <c r="CI3" s="22">
        <v>1</v>
      </c>
      <c r="CJ3" s="91" t="str">
        <f>IF(AB6="DTH H",855,"")</f>
        <v/>
      </c>
      <c r="CK3" s="22">
        <v>1</v>
      </c>
      <c r="CL3" s="22">
        <v>102</v>
      </c>
      <c r="CM3" s="22">
        <v>1</v>
      </c>
      <c r="CN3" s="22">
        <v>114</v>
      </c>
      <c r="CO3" s="22">
        <v>1</v>
      </c>
      <c r="CP3" s="22">
        <v>121</v>
      </c>
      <c r="CQ3" s="22">
        <v>1</v>
      </c>
      <c r="CR3" s="22">
        <v>127</v>
      </c>
      <c r="CS3" s="22">
        <v>1</v>
      </c>
      <c r="CT3" s="22">
        <v>130</v>
      </c>
      <c r="CU3" s="22">
        <v>1</v>
      </c>
      <c r="CV3" s="22">
        <v>133</v>
      </c>
      <c r="CW3" s="22">
        <v>1</v>
      </c>
      <c r="CX3" s="22">
        <v>140</v>
      </c>
      <c r="CY3" s="22">
        <v>1</v>
      </c>
      <c r="DA3" s="92">
        <f>+IF(CL2=0,"",CL2)</f>
        <v>130</v>
      </c>
      <c r="DB3" s="92">
        <f>IF(CL10=0,"",+CL10)</f>
        <v>229</v>
      </c>
      <c r="DC3" s="22">
        <v>1</v>
      </c>
      <c r="DD3" s="109">
        <f>IF($AB$6="Rotary",+DB3,IF($AB$6="DTH",BV60,""))</f>
        <v>229</v>
      </c>
      <c r="DF3" s="22" t="s">
        <v>43</v>
      </c>
      <c r="DG3" s="33">
        <f>IF(DG4&gt;60,1-(DG4-60)/500,1)</f>
        <v>0.98039999999999994</v>
      </c>
      <c r="DH3" s="22" t="s">
        <v>58</v>
      </c>
      <c r="DI3" s="93">
        <f>CQ54*3.28084</f>
        <v>0</v>
      </c>
      <c r="DJ3" s="22" t="s">
        <v>106</v>
      </c>
      <c r="DK3" s="22">
        <f>+Calculator!N12</f>
        <v>24</v>
      </c>
      <c r="DL3" s="22">
        <v>1</v>
      </c>
      <c r="DM3" s="22" t="s">
        <v>101</v>
      </c>
      <c r="DN3" s="22">
        <v>1</v>
      </c>
      <c r="DO3" s="22" t="s">
        <v>103</v>
      </c>
      <c r="DQ3" s="20">
        <v>1</v>
      </c>
      <c r="DR3" s="20" t="s">
        <v>53</v>
      </c>
      <c r="DS3" s="20">
        <v>1</v>
      </c>
      <c r="DT3" s="20">
        <v>855</v>
      </c>
      <c r="DU3" s="20">
        <v>1</v>
      </c>
      <c r="DV3" s="20">
        <v>0.94</v>
      </c>
      <c r="DW3" s="20">
        <v>1</v>
      </c>
      <c r="DX3" s="20">
        <v>161</v>
      </c>
      <c r="DY3" s="20">
        <v>1</v>
      </c>
      <c r="DZ3" s="20">
        <v>8.0200309999999995</v>
      </c>
      <c r="EA3" s="24" t="s">
        <v>1</v>
      </c>
      <c r="EB3" s="24">
        <v>1</v>
      </c>
      <c r="EC3" s="81">
        <v>0.4</v>
      </c>
      <c r="ED3" s="24">
        <v>1</v>
      </c>
      <c r="EE3" s="24" t="s">
        <v>0</v>
      </c>
      <c r="EF3" s="24">
        <v>1</v>
      </c>
      <c r="EG3" s="24">
        <v>28.6</v>
      </c>
      <c r="EH3" s="24">
        <v>1</v>
      </c>
      <c r="EI3" s="24">
        <v>30</v>
      </c>
      <c r="EJ3" s="24">
        <v>1</v>
      </c>
      <c r="EK3" s="24">
        <v>4</v>
      </c>
      <c r="EL3" s="94">
        <f>IF((+Calculator!$D$22+Calculator!$D$25)-'Calc. Sdk'!EG3-('Calc. Sdk'!EI3*'Calc. Sdk'!EK3)&gt;0,"Too deep",+'Calc. Sdk'!EM3)</f>
        <v>2</v>
      </c>
      <c r="EM3" s="76">
        <f>ROUNDUP((Calculator!$D$22+Calculator!$D$25-'Calc. Sdk'!EG3)/'Calc. Sdk'!EI3,0)</f>
        <v>2</v>
      </c>
      <c r="EN3" s="20"/>
      <c r="EO3" s="24">
        <v>1</v>
      </c>
      <c r="EP3" s="24" t="s">
        <v>0</v>
      </c>
      <c r="EQ3" s="24">
        <v>1</v>
      </c>
      <c r="ER3" s="24">
        <v>97</v>
      </c>
      <c r="ES3" s="24">
        <v>1</v>
      </c>
      <c r="ET3" s="24">
        <v>207</v>
      </c>
      <c r="EU3" s="24">
        <v>1</v>
      </c>
      <c r="EV3" s="24">
        <v>1</v>
      </c>
      <c r="EW3" s="70" t="s">
        <v>132</v>
      </c>
      <c r="EX3" s="83">
        <f>IF(EL2&gt;0,(EL2*EC2),0)</f>
        <v>0.35</v>
      </c>
      <c r="EY3" s="20"/>
      <c r="FA3" s="22">
        <v>1</v>
      </c>
      <c r="FB3" s="24" t="s">
        <v>0</v>
      </c>
      <c r="FC3" s="22">
        <v>1</v>
      </c>
      <c r="FD3" s="22">
        <v>45000</v>
      </c>
      <c r="FE3" s="22">
        <v>1</v>
      </c>
      <c r="FF3" s="109">
        <f t="shared" ref="FF3:FF17" si="0">4.95*$DD$2*$DH$20*(FD3/1000)^1.6/$DG$9</f>
        <v>1594.0556959429998</v>
      </c>
      <c r="FH3" s="24">
        <v>1</v>
      </c>
      <c r="FI3" s="72" t="s">
        <v>80</v>
      </c>
      <c r="FJ3" s="72"/>
      <c r="FK3" s="95">
        <v>1</v>
      </c>
    </row>
    <row r="4" spans="27:184" ht="15" x14ac:dyDescent="0.3">
      <c r="AA4" s="22">
        <v>2</v>
      </c>
      <c r="AB4" s="22" t="s">
        <v>12</v>
      </c>
      <c r="AD4" s="22">
        <v>2</v>
      </c>
      <c r="AE4" s="24" t="s">
        <v>1</v>
      </c>
      <c r="AF4" s="24">
        <v>30</v>
      </c>
      <c r="AG4" s="123">
        <v>5</v>
      </c>
      <c r="AH4" s="22">
        <v>2</v>
      </c>
      <c r="AI4" s="22">
        <v>5</v>
      </c>
      <c r="AK4" s="22">
        <v>2</v>
      </c>
      <c r="AL4" s="24" t="str">
        <f>IF($AB$6="Rotary","D25KS 34",IF($AB$6="DTH","D25KS 34",""))</f>
        <v>D25KS 34</v>
      </c>
      <c r="AM4" s="22">
        <v>2</v>
      </c>
      <c r="AN4" s="80">
        <v>89</v>
      </c>
      <c r="AO4" s="225">
        <v>2</v>
      </c>
      <c r="AP4" s="80">
        <v>102</v>
      </c>
      <c r="AQ4" s="225">
        <v>2</v>
      </c>
      <c r="AR4" s="80">
        <v>114</v>
      </c>
      <c r="AS4" s="225">
        <v>2</v>
      </c>
      <c r="AT4" s="80">
        <v>127</v>
      </c>
      <c r="AU4" s="225">
        <v>2</v>
      </c>
      <c r="AV4" s="80">
        <v>140</v>
      </c>
      <c r="AW4" s="225">
        <v>2</v>
      </c>
      <c r="AX4" s="80"/>
      <c r="AY4" s="225">
        <v>2</v>
      </c>
      <c r="AZ4" s="80"/>
      <c r="BA4" s="22">
        <v>2</v>
      </c>
      <c r="BB4" s="80">
        <f>IF(AP2=0,"",+AP2)</f>
        <v>194</v>
      </c>
      <c r="BC4" s="272">
        <f t="shared" ref="BC4:BC9" si="1">BB4/25.4</f>
        <v>7.6377952755905518</v>
      </c>
      <c r="BD4" s="90"/>
      <c r="BE4" s="22">
        <v>2</v>
      </c>
      <c r="BF4" s="24" t="str">
        <f>IF($AB$6="Rotary","D25KS 34",IF($AB$6="DTH","D25KS 34",""))</f>
        <v>D25KS 34</v>
      </c>
      <c r="BG4" s="90">
        <v>2</v>
      </c>
      <c r="BH4" s="125">
        <f>IF(BM2&gt;11,50,"")</f>
        <v>50</v>
      </c>
      <c r="BI4" s="130">
        <v>2</v>
      </c>
      <c r="BJ4" s="90">
        <v>2870</v>
      </c>
      <c r="BK4" s="22">
        <v>2</v>
      </c>
      <c r="BL4" s="24" t="s">
        <v>1</v>
      </c>
      <c r="BM4" s="22">
        <v>2</v>
      </c>
      <c r="BN4" s="22">
        <v>900</v>
      </c>
      <c r="BO4" s="22">
        <v>2</v>
      </c>
      <c r="BP4" s="22">
        <v>1050</v>
      </c>
      <c r="BQ4" s="22">
        <v>2</v>
      </c>
      <c r="BR4" s="22">
        <v>1225</v>
      </c>
      <c r="BS4" s="22">
        <v>2</v>
      </c>
      <c r="BU4" s="22">
        <v>2</v>
      </c>
      <c r="BV4" s="115">
        <f>IF($AB$6="Rotary",BP2,CC2)</f>
        <v>2000</v>
      </c>
      <c r="BW4" s="90"/>
      <c r="BX4" s="22">
        <v>2</v>
      </c>
      <c r="BY4" s="24" t="s">
        <v>1</v>
      </c>
      <c r="BZ4" s="22">
        <v>2</v>
      </c>
      <c r="CA4" s="22">
        <v>900</v>
      </c>
      <c r="CB4" s="22">
        <v>2</v>
      </c>
      <c r="CC4" s="22">
        <v>1000</v>
      </c>
      <c r="CD4" s="22">
        <v>2</v>
      </c>
      <c r="CE4" s="22">
        <v>1160</v>
      </c>
      <c r="CF4" s="90"/>
      <c r="CG4" s="22">
        <v>2</v>
      </c>
      <c r="CH4" s="91" t="str">
        <f>IF(AB6="Rotary","Charger","M40")</f>
        <v>Charger</v>
      </c>
      <c r="CI4" s="22">
        <v>2</v>
      </c>
      <c r="CJ4" s="91" t="str">
        <f>IF(AB6="DTH H",855,"")</f>
        <v/>
      </c>
      <c r="CK4" s="22">
        <v>2</v>
      </c>
      <c r="CL4" s="22">
        <v>130</v>
      </c>
      <c r="CM4" s="22">
        <v>2</v>
      </c>
      <c r="CN4" s="22">
        <v>133</v>
      </c>
      <c r="CO4" s="22">
        <v>2</v>
      </c>
      <c r="CP4" s="22">
        <v>140</v>
      </c>
      <c r="CQ4" s="22">
        <v>2</v>
      </c>
      <c r="CR4" s="22">
        <v>143</v>
      </c>
      <c r="CS4" s="22">
        <v>2</v>
      </c>
      <c r="CT4" s="22">
        <v>146</v>
      </c>
      <c r="CU4" s="22">
        <v>2</v>
      </c>
      <c r="CV4" s="22">
        <v>152</v>
      </c>
      <c r="CW4" s="22">
        <v>2</v>
      </c>
      <c r="CY4" s="22">
        <v>2</v>
      </c>
      <c r="DA4" s="92">
        <f>IF(CN2=0,"",+CN2)</f>
        <v>133</v>
      </c>
      <c r="DB4" s="92">
        <f>IF(CN10=0,"",+CN10)</f>
        <v>251</v>
      </c>
      <c r="DC4" s="22">
        <v>2</v>
      </c>
      <c r="DD4" s="109">
        <f t="shared" ref="DD4:DD9" si="2">IF($AB$6="Rotary",+DB4,IF($AB$6="DTH",BV61,""))</f>
        <v>251</v>
      </c>
      <c r="DF4" s="22" t="s">
        <v>91</v>
      </c>
      <c r="DG4" s="22">
        <f>+Calculator!I13</f>
        <v>69.800000000000011</v>
      </c>
      <c r="DH4" s="22" t="s">
        <v>94</v>
      </c>
      <c r="DI4" s="27">
        <f>IF(AB6="Rotary",+DI2,+DI3)</f>
        <v>18.029109057552343</v>
      </c>
      <c r="DJ4" s="22" t="s">
        <v>107</v>
      </c>
      <c r="DK4" s="22">
        <f>+Calculator!N13</f>
        <v>360</v>
      </c>
      <c r="DL4" s="22">
        <v>2</v>
      </c>
      <c r="DM4" s="22" t="s">
        <v>102</v>
      </c>
      <c r="DN4" s="22">
        <v>2</v>
      </c>
      <c r="DO4" s="22" t="s">
        <v>104</v>
      </c>
      <c r="DQ4" s="20">
        <v>2</v>
      </c>
      <c r="DR4" s="20" t="s">
        <v>54</v>
      </c>
      <c r="DS4" s="20">
        <v>2</v>
      </c>
      <c r="DT4" s="20">
        <v>855</v>
      </c>
      <c r="DU4" s="20">
        <v>2</v>
      </c>
      <c r="DV4" s="20">
        <v>0.94</v>
      </c>
      <c r="DW4" s="20">
        <v>2</v>
      </c>
      <c r="DX4" s="20">
        <v>161</v>
      </c>
      <c r="DY4" s="20">
        <v>2</v>
      </c>
      <c r="DZ4" s="20">
        <v>8.0200315</v>
      </c>
      <c r="EA4" s="24" t="s">
        <v>0</v>
      </c>
      <c r="EB4" s="24">
        <v>2</v>
      </c>
      <c r="EC4" s="81">
        <v>0.4</v>
      </c>
      <c r="ED4" s="24">
        <v>2</v>
      </c>
      <c r="EE4" s="24" t="s">
        <v>1</v>
      </c>
      <c r="EF4" s="24">
        <v>2</v>
      </c>
      <c r="EG4" s="24">
        <v>28.6</v>
      </c>
      <c r="EH4" s="24">
        <v>2</v>
      </c>
      <c r="EI4" s="24">
        <v>30</v>
      </c>
      <c r="EJ4" s="24">
        <v>2</v>
      </c>
      <c r="EK4" s="24">
        <v>2</v>
      </c>
      <c r="EL4" s="94">
        <f>IF((+Calculator!$D$22+Calculator!$D$25)-'Calc. Sdk'!EG4-('Calc. Sdk'!EI4*'Calc. Sdk'!EK4)&gt;0,"Too deep",+'Calc. Sdk'!EM4)</f>
        <v>2</v>
      </c>
      <c r="EM4" s="76">
        <f>ROUNDUP((Calculator!$D$22+Calculator!$D$25-'Calc. Sdk'!EG4)/'Calc. Sdk'!EI4,0)</f>
        <v>2</v>
      </c>
      <c r="EN4" s="20"/>
      <c r="EO4" s="24">
        <v>2</v>
      </c>
      <c r="EP4" s="24" t="s">
        <v>1</v>
      </c>
      <c r="EQ4" s="24">
        <v>2</v>
      </c>
      <c r="ER4" s="24">
        <v>120</v>
      </c>
      <c r="ES4" s="24">
        <v>2</v>
      </c>
      <c r="ET4" s="24">
        <v>217</v>
      </c>
      <c r="EU4" s="24">
        <v>2</v>
      </c>
      <c r="EV4" s="24">
        <v>1</v>
      </c>
      <c r="EW4" s="70" t="s">
        <v>140</v>
      </c>
      <c r="EX4" s="83">
        <f>IF(EL2&gt;0,(+(EL2*EI2/ER2)+(EL2*EI2/ET2)),((EI2/ET2)))</f>
        <v>0.34722222222222221</v>
      </c>
      <c r="EY4" s="20"/>
      <c r="FA4" s="22">
        <v>2</v>
      </c>
      <c r="FB4" s="24" t="s">
        <v>1</v>
      </c>
      <c r="FC4" s="22">
        <v>2</v>
      </c>
      <c r="FD4" s="22">
        <v>30000</v>
      </c>
      <c r="FE4" s="22">
        <v>2</v>
      </c>
      <c r="FF4" s="109">
        <f t="shared" si="0"/>
        <v>833.21576210423621</v>
      </c>
      <c r="FH4" s="24">
        <v>2</v>
      </c>
      <c r="FI4" s="72" t="s">
        <v>81</v>
      </c>
      <c r="FJ4" s="72"/>
      <c r="FK4" s="95">
        <v>0.98</v>
      </c>
    </row>
    <row r="5" spans="27:184" ht="15" x14ac:dyDescent="0.3">
      <c r="AB5" s="34" t="s">
        <v>16</v>
      </c>
      <c r="AC5" s="34"/>
      <c r="AD5" s="22">
        <v>3</v>
      </c>
      <c r="AE5" s="24" t="s">
        <v>166</v>
      </c>
      <c r="AF5" s="24">
        <v>30</v>
      </c>
      <c r="AG5" s="123">
        <v>10</v>
      </c>
      <c r="AH5" s="22">
        <v>3</v>
      </c>
      <c r="AI5" s="22">
        <v>10</v>
      </c>
      <c r="AJ5" s="34"/>
      <c r="AK5" s="22">
        <v>3</v>
      </c>
      <c r="AL5" s="24" t="str">
        <f>IF($AB$6="Rotary","D45KS 34",IF($AB$6="DTH","D45KS 34",""))</f>
        <v>D45KS 34</v>
      </c>
      <c r="AM5" s="22">
        <v>3</v>
      </c>
      <c r="AN5" s="80">
        <v>114</v>
      </c>
      <c r="AO5" s="225">
        <v>3</v>
      </c>
      <c r="AP5" s="80">
        <v>127</v>
      </c>
      <c r="AQ5" s="225">
        <v>3</v>
      </c>
      <c r="AR5" s="80">
        <v>140</v>
      </c>
      <c r="AS5" s="225">
        <v>3</v>
      </c>
      <c r="AT5" s="80">
        <v>152</v>
      </c>
      <c r="AU5" s="225">
        <v>3</v>
      </c>
      <c r="AV5" s="80">
        <v>165</v>
      </c>
      <c r="AW5" s="225">
        <v>3</v>
      </c>
      <c r="AX5" s="80">
        <v>179</v>
      </c>
      <c r="AY5" s="225">
        <v>3</v>
      </c>
      <c r="AZ5" s="80"/>
      <c r="BA5" s="22">
        <v>3</v>
      </c>
      <c r="BB5" s="80">
        <f>IF(AR2=0,"",+AR2)</f>
        <v>203</v>
      </c>
      <c r="BC5" s="272">
        <f t="shared" si="1"/>
        <v>7.9921259842519685</v>
      </c>
      <c r="BD5" s="90"/>
      <c r="BE5" s="22">
        <v>3</v>
      </c>
      <c r="BF5" s="24" t="str">
        <f>IF($AB$6="Rotary","D45KS 34",IF($AB$6="DTH","D45KS 34",""))</f>
        <v>D45KS 34</v>
      </c>
      <c r="BG5" s="90"/>
      <c r="BH5" s="90"/>
      <c r="BI5" s="90"/>
      <c r="BJ5" s="90"/>
      <c r="BK5" s="22">
        <v>3</v>
      </c>
      <c r="BL5" s="24" t="s">
        <v>172</v>
      </c>
      <c r="BM5" s="22">
        <v>3</v>
      </c>
      <c r="BN5" s="22">
        <v>900</v>
      </c>
      <c r="BO5" s="22">
        <v>3</v>
      </c>
      <c r="BP5" s="22">
        <v>1050</v>
      </c>
      <c r="BQ5" s="22">
        <v>3</v>
      </c>
      <c r="BR5" s="22">
        <v>1300</v>
      </c>
      <c r="BS5" s="22">
        <v>3</v>
      </c>
      <c r="BT5" s="22">
        <v>1160</v>
      </c>
      <c r="BU5" s="22">
        <v>3</v>
      </c>
      <c r="BV5" s="115">
        <f>IF($AB$6="Rotary",BR2,CE2)</f>
        <v>0</v>
      </c>
      <c r="BW5" s="90"/>
      <c r="BX5" s="22">
        <v>3</v>
      </c>
      <c r="BY5" s="24" t="s">
        <v>2</v>
      </c>
      <c r="BZ5" s="22">
        <v>3</v>
      </c>
      <c r="CA5" s="22">
        <v>900</v>
      </c>
      <c r="CB5" s="22">
        <v>3</v>
      </c>
      <c r="CC5" s="22">
        <v>1000</v>
      </c>
      <c r="CD5" s="22">
        <v>3</v>
      </c>
      <c r="CE5" s="22">
        <v>1250</v>
      </c>
      <c r="CF5" s="90"/>
      <c r="CG5" s="22">
        <v>3</v>
      </c>
      <c r="CH5" s="162" t="str">
        <f>IF(AB5="Rotary","","M50")</f>
        <v>M50</v>
      </c>
      <c r="CI5" s="22">
        <v>3</v>
      </c>
      <c r="CJ5" s="91" t="str">
        <f>IF(AB6="DTH H",972,"")</f>
        <v/>
      </c>
      <c r="CK5" s="22">
        <v>3</v>
      </c>
      <c r="CL5" s="22">
        <v>140</v>
      </c>
      <c r="CM5" s="22">
        <v>3</v>
      </c>
      <c r="CN5" s="22">
        <v>143</v>
      </c>
      <c r="CO5" s="22">
        <v>3</v>
      </c>
      <c r="CP5" s="22">
        <v>146</v>
      </c>
      <c r="CQ5" s="22">
        <v>3</v>
      </c>
      <c r="CR5" s="22">
        <v>152</v>
      </c>
      <c r="CS5" s="22">
        <v>3</v>
      </c>
      <c r="CU5" s="22">
        <v>3</v>
      </c>
      <c r="CW5" s="22">
        <v>3</v>
      </c>
      <c r="CY5" s="22">
        <v>3</v>
      </c>
      <c r="DA5" s="92">
        <f>IF(CP2=0,"",+CP2)</f>
        <v>140</v>
      </c>
      <c r="DB5" s="92">
        <f>IF(CP10=0,"",+CP10)</f>
        <v>270</v>
      </c>
      <c r="DC5" s="22">
        <v>3</v>
      </c>
      <c r="DD5" s="109">
        <f t="shared" si="2"/>
        <v>270</v>
      </c>
      <c r="DF5" s="22" t="s">
        <v>44</v>
      </c>
      <c r="DG5" s="33">
        <f>+(1-(DG6/1000)*TAN(0.029767))</f>
        <v>0.97069311511644607</v>
      </c>
      <c r="DH5" s="22" t="s">
        <v>86</v>
      </c>
      <c r="DI5" s="27">
        <f>EX16</f>
        <v>4.0259576739114546</v>
      </c>
      <c r="DL5" s="22">
        <v>3</v>
      </c>
      <c r="DQ5" s="20">
        <v>3</v>
      </c>
      <c r="DR5" s="20" t="s">
        <v>55</v>
      </c>
      <c r="DS5" s="20">
        <v>3</v>
      </c>
      <c r="DT5" s="20">
        <v>972</v>
      </c>
      <c r="DU5" s="20">
        <v>3</v>
      </c>
      <c r="DV5" s="20">
        <v>0.94</v>
      </c>
      <c r="DW5" s="20">
        <v>3</v>
      </c>
      <c r="DX5" s="20">
        <v>115</v>
      </c>
      <c r="DY5" s="20">
        <v>3</v>
      </c>
      <c r="DZ5" s="20">
        <v>9.6240375</v>
      </c>
      <c r="EA5" s="24" t="s">
        <v>2</v>
      </c>
      <c r="EB5" s="24">
        <v>3</v>
      </c>
      <c r="EC5" s="81">
        <v>0.5</v>
      </c>
      <c r="ED5" s="24">
        <v>3</v>
      </c>
      <c r="EE5" s="24" t="s">
        <v>2</v>
      </c>
      <c r="EF5" s="24">
        <v>3</v>
      </c>
      <c r="EG5" s="24">
        <v>28.6</v>
      </c>
      <c r="EH5" s="24">
        <v>3</v>
      </c>
      <c r="EI5" s="24">
        <v>30</v>
      </c>
      <c r="EJ5" s="24">
        <v>3</v>
      </c>
      <c r="EK5" s="24">
        <v>4</v>
      </c>
      <c r="EL5" s="94">
        <f>IF((+Calculator!$D$22+Calculator!$D$25)-'Calc. Sdk'!EG5-('Calc. Sdk'!EI5*'Calc. Sdk'!EK5)&gt;0,"Too deep",+'Calc. Sdk'!EM5)</f>
        <v>2</v>
      </c>
      <c r="EM5" s="76">
        <f>ROUNDUP((Calculator!$D$22+Calculator!$D$25-'Calc. Sdk'!EG5)/'Calc. Sdk'!EI5,0)</f>
        <v>2</v>
      </c>
      <c r="EN5" s="20"/>
      <c r="EO5" s="24">
        <v>3</v>
      </c>
      <c r="EP5" s="24" t="s">
        <v>2</v>
      </c>
      <c r="EQ5" s="24">
        <v>3</v>
      </c>
      <c r="ER5" s="24">
        <v>125</v>
      </c>
      <c r="ES5" s="24">
        <v>3</v>
      </c>
      <c r="ET5" s="24">
        <v>164</v>
      </c>
      <c r="EU5" s="24">
        <v>3</v>
      </c>
      <c r="EV5" s="24">
        <v>1.5</v>
      </c>
      <c r="EW5" s="70" t="s">
        <v>144</v>
      </c>
      <c r="EX5" s="83">
        <f>IF(EL2&gt;0,(EC2*EL2),0)</f>
        <v>0.35</v>
      </c>
      <c r="EY5" s="20"/>
      <c r="FA5" s="22">
        <v>3</v>
      </c>
      <c r="FB5" s="24" t="s">
        <v>2</v>
      </c>
      <c r="FC5" s="22">
        <v>3</v>
      </c>
      <c r="FD5" s="22">
        <v>45000</v>
      </c>
      <c r="FE5" s="22">
        <v>3</v>
      </c>
      <c r="FF5" s="109">
        <f t="shared" si="0"/>
        <v>1594.0556959429998</v>
      </c>
      <c r="FH5" s="24">
        <v>3</v>
      </c>
      <c r="FI5" s="72" t="s">
        <v>82</v>
      </c>
      <c r="FJ5" s="72"/>
      <c r="FK5" s="95">
        <v>0.95</v>
      </c>
    </row>
    <row r="6" spans="27:184" ht="15" x14ac:dyDescent="0.3">
      <c r="AA6" s="22">
        <v>1</v>
      </c>
      <c r="AB6" s="23" t="str">
        <f>LOOKUP(AA6,AA7:AB9)</f>
        <v>Rotary</v>
      </c>
      <c r="AC6" s="23"/>
      <c r="AD6" s="22">
        <v>4</v>
      </c>
      <c r="AE6" s="24" t="s">
        <v>167</v>
      </c>
      <c r="AF6" s="24">
        <v>30</v>
      </c>
      <c r="AG6" s="123">
        <v>15</v>
      </c>
      <c r="AH6" s="22">
        <v>4</v>
      </c>
      <c r="AI6" s="22">
        <v>15</v>
      </c>
      <c r="AJ6" s="23"/>
      <c r="AK6" s="22">
        <v>4</v>
      </c>
      <c r="AL6" s="24" t="str">
        <f>IF($AB$6="Rotary","D45KS 40",IF($AB$6="DTH","D45KS 40",""))</f>
        <v>D45KS 40</v>
      </c>
      <c r="AM6" s="22">
        <v>4</v>
      </c>
      <c r="AN6" s="80">
        <v>114</v>
      </c>
      <c r="AO6" s="225">
        <v>4</v>
      </c>
      <c r="AP6" s="80">
        <v>127</v>
      </c>
      <c r="AQ6" s="225">
        <v>4</v>
      </c>
      <c r="AR6" s="80">
        <v>140</v>
      </c>
      <c r="AS6" s="225">
        <v>4</v>
      </c>
      <c r="AT6" s="80">
        <v>152</v>
      </c>
      <c r="AU6" s="225">
        <v>4</v>
      </c>
      <c r="AV6" s="80">
        <v>165</v>
      </c>
      <c r="AW6" s="225">
        <v>4</v>
      </c>
      <c r="AX6" s="80">
        <v>179</v>
      </c>
      <c r="AY6" s="225">
        <v>4</v>
      </c>
      <c r="AZ6" s="80"/>
      <c r="BA6" s="22">
        <v>4</v>
      </c>
      <c r="BB6" s="80">
        <f>IF(AT2=0,"",+AT2)</f>
        <v>219</v>
      </c>
      <c r="BC6" s="272">
        <f t="shared" si="1"/>
        <v>8.6220472440944889</v>
      </c>
      <c r="BD6" s="90"/>
      <c r="BE6" s="22">
        <v>4</v>
      </c>
      <c r="BF6" s="24" t="str">
        <f>IF($AB$6="Rotary","D45KS 40",IF($AB$6="DTH","D45KS 40",""))</f>
        <v>D45KS 40</v>
      </c>
      <c r="BG6" s="90"/>
      <c r="BH6" s="90"/>
      <c r="BI6" s="90"/>
      <c r="BJ6" s="90"/>
      <c r="BK6" s="22">
        <v>4</v>
      </c>
      <c r="BL6" s="24" t="s">
        <v>173</v>
      </c>
      <c r="BM6" s="22">
        <v>4</v>
      </c>
      <c r="BN6" s="22">
        <v>900</v>
      </c>
      <c r="BO6" s="22">
        <v>4</v>
      </c>
      <c r="BP6" s="22">
        <v>1050</v>
      </c>
      <c r="BQ6" s="22">
        <v>4</v>
      </c>
      <c r="BR6" s="22">
        <v>1300</v>
      </c>
      <c r="BS6" s="22">
        <v>4</v>
      </c>
      <c r="BT6" s="22">
        <v>1160</v>
      </c>
      <c r="BU6" s="22">
        <v>4</v>
      </c>
      <c r="BV6" s="115">
        <f>IF($AB$6="Rotary",BT2,"")</f>
        <v>0</v>
      </c>
      <c r="BW6" s="90"/>
      <c r="BX6" s="22">
        <v>4</v>
      </c>
      <c r="BY6" s="24" t="s">
        <v>3</v>
      </c>
      <c r="BZ6" s="22">
        <v>4</v>
      </c>
      <c r="CA6" s="22">
        <v>900</v>
      </c>
      <c r="CB6" s="22">
        <v>4</v>
      </c>
      <c r="CC6" s="22">
        <v>1000</v>
      </c>
      <c r="CD6" s="22">
        <v>4</v>
      </c>
      <c r="CE6" s="22">
        <v>1160</v>
      </c>
      <c r="CF6" s="90"/>
      <c r="CG6" s="22">
        <v>4</v>
      </c>
      <c r="CH6" s="91" t="str">
        <f>IF(AB6="Rotary","","M60")</f>
        <v/>
      </c>
      <c r="CI6" s="22">
        <v>4</v>
      </c>
      <c r="CJ6" s="91" t="str">
        <f>IF(AB6="DTH H",972,"")</f>
        <v/>
      </c>
      <c r="CK6" s="22">
        <v>4</v>
      </c>
      <c r="CL6" s="22">
        <v>152</v>
      </c>
      <c r="CM6" s="22">
        <v>4</v>
      </c>
      <c r="CN6" s="22">
        <v>156</v>
      </c>
      <c r="CO6" s="22">
        <v>4</v>
      </c>
      <c r="CP6" s="22">
        <v>159</v>
      </c>
      <c r="CQ6" s="22">
        <v>4</v>
      </c>
      <c r="CR6" s="22">
        <v>165</v>
      </c>
      <c r="CS6" s="22">
        <v>4</v>
      </c>
      <c r="CT6" s="22">
        <v>171</v>
      </c>
      <c r="CU6" s="22">
        <v>4</v>
      </c>
      <c r="CV6" s="22">
        <v>178</v>
      </c>
      <c r="CW6" s="22">
        <v>4</v>
      </c>
      <c r="CX6" s="22">
        <v>191</v>
      </c>
      <c r="CY6" s="22">
        <v>4</v>
      </c>
      <c r="CZ6" s="22">
        <v>203</v>
      </c>
      <c r="DA6" s="92">
        <f>IF(CR2=0,"",+CR2)</f>
        <v>143</v>
      </c>
      <c r="DB6" s="92">
        <f>IF(CR10=0,"",+CR10)</f>
        <v>279</v>
      </c>
      <c r="DC6" s="22">
        <v>4</v>
      </c>
      <c r="DD6" s="109">
        <f t="shared" si="2"/>
        <v>279</v>
      </c>
      <c r="DF6" s="22" t="s">
        <v>92</v>
      </c>
      <c r="DG6" s="35">
        <f>+Calculator!D13</f>
        <v>984.25196850393695</v>
      </c>
      <c r="DL6" s="22">
        <v>4</v>
      </c>
      <c r="DQ6" s="20">
        <v>4</v>
      </c>
      <c r="DR6" s="20" t="s">
        <v>56</v>
      </c>
      <c r="DS6" s="20">
        <v>4</v>
      </c>
      <c r="DT6" s="20">
        <v>972</v>
      </c>
      <c r="DU6" s="20">
        <v>4</v>
      </c>
      <c r="DV6" s="20">
        <v>0.94</v>
      </c>
      <c r="DW6" s="20">
        <v>4</v>
      </c>
      <c r="DX6" s="20">
        <v>115</v>
      </c>
      <c r="DY6" s="20">
        <v>4</v>
      </c>
      <c r="DZ6" s="20">
        <v>9.6240375999999994</v>
      </c>
      <c r="EA6" s="24" t="s">
        <v>3</v>
      </c>
      <c r="EB6" s="24">
        <v>4</v>
      </c>
      <c r="EC6" s="81">
        <v>0.5</v>
      </c>
      <c r="ED6" s="24">
        <v>4</v>
      </c>
      <c r="EE6" s="24" t="s">
        <v>3</v>
      </c>
      <c r="EF6" s="24">
        <v>4</v>
      </c>
      <c r="EG6" s="24">
        <v>34.5</v>
      </c>
      <c r="EH6" s="24">
        <v>4</v>
      </c>
      <c r="EI6" s="24">
        <v>35</v>
      </c>
      <c r="EJ6" s="24">
        <v>4</v>
      </c>
      <c r="EK6" s="24">
        <v>4</v>
      </c>
      <c r="EL6" s="94">
        <f>IF((+Calculator!$D$22+Calculator!$D$25)-'Calc. Sdk'!EG6-('Calc. Sdk'!EI6*'Calc. Sdk'!EK6)&gt;0,"Too deep",+'Calc. Sdk'!EM6)</f>
        <v>1</v>
      </c>
      <c r="EM6" s="76">
        <f>ROUNDUP((Calculator!$D$22+Calculator!$D$25-'Calc. Sdk'!EG6)/'Calc. Sdk'!EI6,0)</f>
        <v>1</v>
      </c>
      <c r="EN6" s="20"/>
      <c r="EO6" s="24">
        <v>4</v>
      </c>
      <c r="EP6" s="24" t="s">
        <v>3</v>
      </c>
      <c r="EQ6" s="24">
        <v>4</v>
      </c>
      <c r="ER6" s="24">
        <v>125</v>
      </c>
      <c r="ES6" s="24">
        <v>4</v>
      </c>
      <c r="ET6" s="24">
        <v>164</v>
      </c>
      <c r="EU6" s="24">
        <v>4</v>
      </c>
      <c r="EV6" s="24">
        <v>2</v>
      </c>
      <c r="EW6" s="70" t="s">
        <v>141</v>
      </c>
      <c r="EX6" s="83">
        <f>+EV2</f>
        <v>2</v>
      </c>
      <c r="EY6" s="20"/>
      <c r="FA6" s="22">
        <v>4</v>
      </c>
      <c r="FB6" s="24" t="s">
        <v>3</v>
      </c>
      <c r="FC6" s="22">
        <v>4</v>
      </c>
      <c r="FD6" s="22">
        <v>45000</v>
      </c>
      <c r="FE6" s="22">
        <v>4</v>
      </c>
      <c r="FF6" s="109">
        <f t="shared" si="0"/>
        <v>1594.0556959429998</v>
      </c>
      <c r="FH6" s="24">
        <v>4</v>
      </c>
      <c r="FI6" s="72" t="s">
        <v>83</v>
      </c>
      <c r="FJ6" s="72"/>
      <c r="FK6" s="95">
        <v>0.91</v>
      </c>
    </row>
    <row r="7" spans="27:184" ht="15" x14ac:dyDescent="0.3">
      <c r="AA7" s="22">
        <v>1</v>
      </c>
      <c r="AB7" s="22" t="s">
        <v>15</v>
      </c>
      <c r="AD7" s="22">
        <v>5</v>
      </c>
      <c r="AE7" s="24" t="s">
        <v>168</v>
      </c>
      <c r="AF7" s="24">
        <v>30</v>
      </c>
      <c r="AG7" s="123">
        <v>20</v>
      </c>
      <c r="AH7" s="22">
        <v>5</v>
      </c>
      <c r="AI7" s="22">
        <v>20</v>
      </c>
      <c r="AK7" s="22">
        <v>5</v>
      </c>
      <c r="AL7" s="24" t="str">
        <f>IF($AB$6="Rotary","D50KS 34","")</f>
        <v>D50KS 34</v>
      </c>
      <c r="AM7" s="22">
        <v>5</v>
      </c>
      <c r="AN7" s="80">
        <v>114</v>
      </c>
      <c r="AO7" s="225">
        <v>5</v>
      </c>
      <c r="AP7" s="80">
        <v>152</v>
      </c>
      <c r="AQ7" s="225">
        <v>5</v>
      </c>
      <c r="AR7" s="80">
        <v>165</v>
      </c>
      <c r="AS7" s="225">
        <v>5</v>
      </c>
      <c r="AT7" s="80">
        <v>178</v>
      </c>
      <c r="AU7" s="225">
        <v>5</v>
      </c>
      <c r="AV7" s="80"/>
      <c r="AW7" s="225">
        <v>5</v>
      </c>
      <c r="AX7" s="80"/>
      <c r="AY7" s="225">
        <v>5</v>
      </c>
      <c r="AZ7" s="80"/>
      <c r="BA7" s="22">
        <v>5</v>
      </c>
      <c r="BB7" s="80">
        <f>IF(AV2=0,"",+AV2)</f>
        <v>245</v>
      </c>
      <c r="BC7" s="272">
        <f t="shared" si="1"/>
        <v>9.6456692913385833</v>
      </c>
      <c r="BD7" s="90"/>
      <c r="BE7" s="22">
        <v>5</v>
      </c>
      <c r="BF7" s="24" t="str">
        <f>IF($AB$6="Rotary","D50KS 34","")</f>
        <v>D50KS 34</v>
      </c>
      <c r="BG7" s="90"/>
      <c r="BH7" s="90"/>
      <c r="BI7" s="90"/>
      <c r="BJ7" s="90"/>
      <c r="BK7" s="22">
        <v>5</v>
      </c>
      <c r="BL7" s="24" t="s">
        <v>174</v>
      </c>
      <c r="BM7" s="22">
        <v>5</v>
      </c>
      <c r="BN7" s="22">
        <v>900</v>
      </c>
      <c r="BO7" s="22">
        <v>5</v>
      </c>
      <c r="BP7" s="22">
        <v>1050</v>
      </c>
      <c r="BQ7" s="22">
        <v>5</v>
      </c>
      <c r="BR7" s="22">
        <v>1300</v>
      </c>
      <c r="BS7" s="22">
        <v>5</v>
      </c>
      <c r="BT7" s="22">
        <v>1600</v>
      </c>
      <c r="BV7" s="90"/>
      <c r="BW7" s="90"/>
      <c r="BX7" s="22">
        <v>5</v>
      </c>
      <c r="BY7" s="24" t="s">
        <v>4</v>
      </c>
      <c r="BZ7" s="22">
        <v>5</v>
      </c>
      <c r="CB7" s="22">
        <v>5</v>
      </c>
      <c r="CD7" s="22">
        <v>5</v>
      </c>
      <c r="CF7" s="90"/>
      <c r="CG7" s="22">
        <v>5</v>
      </c>
      <c r="CH7" s="91" t="str">
        <f>IF(AB6="Rotary","","M80")</f>
        <v/>
      </c>
      <c r="CI7" s="22">
        <v>5</v>
      </c>
      <c r="CJ7" s="91" t="str">
        <f>IF(AB6="DTH H",1180,"")</f>
        <v/>
      </c>
      <c r="CK7" s="22">
        <v>5</v>
      </c>
      <c r="CL7" s="22">
        <v>165</v>
      </c>
      <c r="CM7" s="22">
        <v>5</v>
      </c>
      <c r="CN7" s="22">
        <v>171</v>
      </c>
      <c r="CO7" s="22">
        <v>5</v>
      </c>
      <c r="CP7" s="22">
        <v>178</v>
      </c>
      <c r="CQ7" s="22">
        <v>5</v>
      </c>
      <c r="CR7" s="22">
        <v>191</v>
      </c>
      <c r="CS7" s="22">
        <v>5</v>
      </c>
      <c r="CT7" s="22">
        <v>203</v>
      </c>
      <c r="CU7" s="22">
        <v>5</v>
      </c>
      <c r="CW7" s="22">
        <v>5</v>
      </c>
      <c r="CY7" s="22">
        <v>5</v>
      </c>
      <c r="DA7" s="92">
        <f>IF(CT2=0,"",+CT2)</f>
        <v>146</v>
      </c>
      <c r="DB7" s="92">
        <f>IF(CT10=0,"",+CT10)</f>
        <v>311</v>
      </c>
      <c r="DC7" s="22">
        <v>5</v>
      </c>
      <c r="DD7" s="109">
        <f t="shared" si="2"/>
        <v>311</v>
      </c>
      <c r="DF7" s="22" t="s">
        <v>93</v>
      </c>
      <c r="DG7" s="96">
        <f>+BV2</f>
        <v>2000</v>
      </c>
      <c r="DH7" s="22" t="s">
        <v>76</v>
      </c>
      <c r="DI7" s="35">
        <f>IF(Calculator!E27="",IF(AB6="Rotary",+DH16,""),Calculator!E27)</f>
        <v>97672.07123476491</v>
      </c>
      <c r="DQ7" s="20">
        <v>5</v>
      </c>
      <c r="DR7" s="20" t="s">
        <v>57</v>
      </c>
      <c r="DS7" s="20">
        <v>5</v>
      </c>
      <c r="DT7" s="20">
        <v>1180</v>
      </c>
      <c r="DU7" s="20">
        <v>5</v>
      </c>
      <c r="DV7" s="20">
        <v>0.94</v>
      </c>
      <c r="DW7" s="20">
        <v>5</v>
      </c>
      <c r="DX7" s="20">
        <v>149</v>
      </c>
      <c r="DY7" s="20">
        <v>5</v>
      </c>
      <c r="DZ7" s="20">
        <v>12.832050000000001</v>
      </c>
      <c r="EA7" s="24" t="s">
        <v>4</v>
      </c>
      <c r="EB7" s="24">
        <v>5</v>
      </c>
      <c r="EC7" s="81">
        <v>0.5</v>
      </c>
      <c r="ED7" s="24">
        <v>5</v>
      </c>
      <c r="EE7" s="24" t="s">
        <v>4</v>
      </c>
      <c r="EF7" s="24">
        <v>5</v>
      </c>
      <c r="EG7" s="24">
        <v>28.6</v>
      </c>
      <c r="EH7" s="24">
        <v>5</v>
      </c>
      <c r="EI7" s="24">
        <v>30</v>
      </c>
      <c r="EJ7" s="24">
        <v>5</v>
      </c>
      <c r="EK7" s="24">
        <v>4</v>
      </c>
      <c r="EL7" s="94">
        <f>IF((+Calculator!$D$22+Calculator!$D$25)-'Calc. Sdk'!EG7-('Calc. Sdk'!EI7*'Calc. Sdk'!EK7)&gt;0,"Too deep",+'Calc. Sdk'!EM7)</f>
        <v>2</v>
      </c>
      <c r="EM7" s="76">
        <f>ROUNDUP((Calculator!$D$22+Calculator!$D$25-'Calc. Sdk'!EG7)/'Calc. Sdk'!EI7,0)</f>
        <v>2</v>
      </c>
      <c r="EN7" s="20"/>
      <c r="EO7" s="24">
        <v>5</v>
      </c>
      <c r="EP7" s="24" t="s">
        <v>4</v>
      </c>
      <c r="EQ7" s="24">
        <v>5</v>
      </c>
      <c r="ER7" s="24">
        <v>125</v>
      </c>
      <c r="ES7" s="24">
        <v>5</v>
      </c>
      <c r="ET7" s="24">
        <v>164</v>
      </c>
      <c r="EU7" s="24">
        <v>5</v>
      </c>
      <c r="EV7" s="24">
        <v>1.5</v>
      </c>
      <c r="EW7" s="70" t="s">
        <v>145</v>
      </c>
      <c r="EX7" s="83">
        <f>0.5*(1-FK2)*EX1</f>
        <v>6.4648675793967838</v>
      </c>
      <c r="EY7" s="20"/>
      <c r="FA7" s="22">
        <v>5</v>
      </c>
      <c r="FB7" s="24" t="s">
        <v>4</v>
      </c>
      <c r="FC7" s="22">
        <v>5</v>
      </c>
      <c r="FD7" s="22">
        <v>50000</v>
      </c>
      <c r="FE7" s="22">
        <v>5</v>
      </c>
      <c r="FF7" s="109">
        <f>4.95*$DD$2*$DH$20*(FD7/1000)^1.6/$DG$9</f>
        <v>1886.754855784503</v>
      </c>
      <c r="FH7" s="81"/>
      <c r="FI7" s="97" t="s">
        <v>84</v>
      </c>
      <c r="FJ7" s="97">
        <f>+AH2</f>
        <v>1</v>
      </c>
      <c r="FK7" s="32">
        <f>LOOKUP(FJ7,FJ8:FK14)</f>
        <v>1</v>
      </c>
    </row>
    <row r="8" spans="27:184" ht="15" x14ac:dyDescent="0.3">
      <c r="AA8" s="22">
        <v>2</v>
      </c>
      <c r="AB8" s="22" t="s">
        <v>26</v>
      </c>
      <c r="AD8" s="22">
        <v>6</v>
      </c>
      <c r="AE8" s="24" t="s">
        <v>169</v>
      </c>
      <c r="AF8" s="24">
        <v>30</v>
      </c>
      <c r="AG8" s="123" t="str">
        <f>IF(AF2&gt;AG7,+AG7+5,"")</f>
        <v/>
      </c>
      <c r="AH8" s="22">
        <v>6</v>
      </c>
      <c r="AI8" s="22">
        <v>25</v>
      </c>
      <c r="AK8" s="22">
        <v>6</v>
      </c>
      <c r="AL8" s="24" t="str">
        <f>IF($AB$6="Rotary","D50KS 40","")</f>
        <v>D50KS 40</v>
      </c>
      <c r="AM8" s="22">
        <v>6</v>
      </c>
      <c r="AN8" s="80">
        <v>114</v>
      </c>
      <c r="AO8" s="225">
        <v>6</v>
      </c>
      <c r="AP8" s="80">
        <v>152</v>
      </c>
      <c r="AQ8" s="225">
        <v>6</v>
      </c>
      <c r="AR8" s="80">
        <v>165</v>
      </c>
      <c r="AS8" s="225">
        <v>6</v>
      </c>
      <c r="AT8" s="80">
        <v>178</v>
      </c>
      <c r="AU8" s="225">
        <v>6</v>
      </c>
      <c r="AV8" s="80"/>
      <c r="AW8" s="225">
        <v>6</v>
      </c>
      <c r="AX8" s="80"/>
      <c r="AY8" s="225">
        <v>6</v>
      </c>
      <c r="AZ8" s="80"/>
      <c r="BA8" s="22">
        <v>6</v>
      </c>
      <c r="BB8" s="80" t="str">
        <f>IF(AX2=0,"",+AX2)</f>
        <v/>
      </c>
      <c r="BC8" s="272" t="e">
        <f t="shared" si="1"/>
        <v>#VALUE!</v>
      </c>
      <c r="BD8" s="90"/>
      <c r="BE8" s="22">
        <v>6</v>
      </c>
      <c r="BF8" s="24" t="str">
        <f>IF($AB$6="Rotary","D50KS 40","")</f>
        <v>D50KS 40</v>
      </c>
      <c r="BG8" s="90"/>
      <c r="BH8" s="90"/>
      <c r="BI8" s="90"/>
      <c r="BJ8" s="90"/>
      <c r="BK8" s="22">
        <v>6</v>
      </c>
      <c r="BL8" s="24" t="s">
        <v>175</v>
      </c>
      <c r="BM8" s="22">
        <v>6</v>
      </c>
      <c r="BN8" s="22">
        <v>900</v>
      </c>
      <c r="BO8" s="22">
        <v>6</v>
      </c>
      <c r="BP8" s="22">
        <v>1050</v>
      </c>
      <c r="BQ8" s="22">
        <v>6</v>
      </c>
      <c r="BR8" s="22">
        <v>1300</v>
      </c>
      <c r="BS8" s="22">
        <v>6</v>
      </c>
      <c r="BT8" s="22">
        <v>1600</v>
      </c>
      <c r="BV8" s="90"/>
      <c r="BW8" s="90"/>
      <c r="BX8" s="22">
        <v>6</v>
      </c>
      <c r="BY8" s="24" t="s">
        <v>5</v>
      </c>
      <c r="BZ8" s="22">
        <v>6</v>
      </c>
      <c r="CB8" s="22">
        <v>6</v>
      </c>
      <c r="CD8" s="22">
        <v>6</v>
      </c>
      <c r="CF8" s="90"/>
      <c r="CG8" s="22">
        <v>6</v>
      </c>
      <c r="CH8" s="91" t="str">
        <f>IF(AB6="Rotary","","M85")</f>
        <v/>
      </c>
      <c r="CI8" s="22">
        <v>6</v>
      </c>
      <c r="CK8" s="22">
        <v>6</v>
      </c>
      <c r="CL8" s="22">
        <v>203</v>
      </c>
      <c r="CM8" s="22">
        <v>6</v>
      </c>
      <c r="CN8" s="22">
        <v>219</v>
      </c>
      <c r="CO8" s="22">
        <v>6</v>
      </c>
      <c r="CP8" s="22">
        <v>225</v>
      </c>
      <c r="CQ8" s="22">
        <v>6</v>
      </c>
      <c r="CR8" s="22">
        <v>241</v>
      </c>
      <c r="CS8" s="22">
        <v>6</v>
      </c>
      <c r="CT8" s="22">
        <v>254</v>
      </c>
      <c r="CU8" s="22">
        <v>6</v>
      </c>
      <c r="CV8" s="22">
        <v>270</v>
      </c>
      <c r="CW8" s="22">
        <v>6</v>
      </c>
      <c r="CY8" s="22">
        <v>6</v>
      </c>
      <c r="DA8" s="92">
        <f>IF(CV2=0,"",+CV2)</f>
        <v>152</v>
      </c>
      <c r="DB8" s="92" t="str">
        <f>IF(CV10=0,"",+CV10)</f>
        <v/>
      </c>
      <c r="DC8" s="22">
        <v>6</v>
      </c>
      <c r="DD8" s="109" t="str">
        <f t="shared" si="2"/>
        <v/>
      </c>
      <c r="DF8" s="22" t="s">
        <v>46</v>
      </c>
      <c r="DG8" s="87">
        <f>+DG7*DG3*DG5</f>
        <v>1903.3350601203274</v>
      </c>
      <c r="DH8" s="22" t="s">
        <v>98</v>
      </c>
      <c r="DI8" s="35">
        <f>IF(AB6="Rotary",+DH19,"")</f>
        <v>216.85147911779663</v>
      </c>
      <c r="DL8" s="34" t="s">
        <v>108</v>
      </c>
      <c r="DM8" s="98">
        <f>IF(DM2="bcyd",+DM12,DM13)</f>
        <v>993583.1307849529</v>
      </c>
      <c r="DN8" s="22" t="s">
        <v>118</v>
      </c>
      <c r="EA8" s="24" t="s">
        <v>5</v>
      </c>
      <c r="EB8" s="24">
        <v>6</v>
      </c>
      <c r="EC8" s="81">
        <v>0.5</v>
      </c>
      <c r="ED8" s="24">
        <v>6</v>
      </c>
      <c r="EE8" s="24" t="s">
        <v>5</v>
      </c>
      <c r="EF8" s="24">
        <v>6</v>
      </c>
      <c r="EG8" s="24">
        <v>34.5</v>
      </c>
      <c r="EH8" s="24">
        <v>6</v>
      </c>
      <c r="EI8" s="24">
        <v>35</v>
      </c>
      <c r="EJ8" s="24">
        <v>6</v>
      </c>
      <c r="EK8" s="24">
        <v>4</v>
      </c>
      <c r="EL8" s="94">
        <f>IF((+Calculator!$D$22+Calculator!$D$25)-'Calc. Sdk'!EG8-('Calc. Sdk'!EI8*'Calc. Sdk'!EK8)&gt;0,"Too deep",+'Calc. Sdk'!EM8)</f>
        <v>1</v>
      </c>
      <c r="EM8" s="76">
        <f>ROUNDUP((Calculator!$D$22+Calculator!$D$25-'Calc. Sdk'!EG8)/'Calc. Sdk'!EI8,0)</f>
        <v>1</v>
      </c>
      <c r="EO8" s="24">
        <v>6</v>
      </c>
      <c r="EP8" s="24" t="s">
        <v>5</v>
      </c>
      <c r="EQ8" s="24">
        <v>6</v>
      </c>
      <c r="ER8" s="24">
        <v>125</v>
      </c>
      <c r="ES8" s="24">
        <v>6</v>
      </c>
      <c r="ET8" s="24">
        <v>164</v>
      </c>
      <c r="EU8" s="24">
        <v>6</v>
      </c>
      <c r="EV8" s="81">
        <v>2</v>
      </c>
      <c r="EW8" s="70"/>
      <c r="EX8" s="83">
        <f>SUM(EX1:EX7)</f>
        <v>268.25915408860135</v>
      </c>
      <c r="EY8" s="108">
        <f>SUM(EX2:EX7)</f>
        <v>9.6644509127301177</v>
      </c>
      <c r="FA8" s="22">
        <v>6</v>
      </c>
      <c r="FB8" s="24" t="s">
        <v>5</v>
      </c>
      <c r="FC8" s="22">
        <v>6</v>
      </c>
      <c r="FD8" s="22">
        <v>50000</v>
      </c>
      <c r="FE8" s="22">
        <v>6</v>
      </c>
      <c r="FF8" s="109">
        <f t="shared" si="0"/>
        <v>1886.754855784503</v>
      </c>
      <c r="FH8" s="81">
        <v>1</v>
      </c>
      <c r="FI8" s="81">
        <v>0</v>
      </c>
      <c r="FJ8" s="81">
        <v>1</v>
      </c>
      <c r="FK8" s="99">
        <v>1</v>
      </c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</row>
    <row r="9" spans="27:184" ht="15" x14ac:dyDescent="0.3">
      <c r="AD9" s="22">
        <v>7</v>
      </c>
      <c r="AE9" s="24" t="s">
        <v>6</v>
      </c>
      <c r="AF9" s="24">
        <v>20</v>
      </c>
      <c r="AG9" s="123" t="str">
        <f>IF(AF2&gt;AG7+5,+AG8+5,"")</f>
        <v/>
      </c>
      <c r="AH9" s="22">
        <v>7</v>
      </c>
      <c r="AI9" s="22">
        <v>30</v>
      </c>
      <c r="AK9" s="22">
        <v>7</v>
      </c>
      <c r="AL9" s="24" t="str">
        <f>IF($AB$6="Rotary","D55SP 55",IF($AB$6="DTH","D55SP 55",""))</f>
        <v>D55SP 55</v>
      </c>
      <c r="AM9" s="22">
        <v>7</v>
      </c>
      <c r="AN9" s="80">
        <v>140</v>
      </c>
      <c r="AO9" s="225">
        <v>7</v>
      </c>
      <c r="AP9" s="80">
        <v>152</v>
      </c>
      <c r="AQ9" s="225">
        <v>7</v>
      </c>
      <c r="AR9" s="80">
        <v>165</v>
      </c>
      <c r="AS9" s="225">
        <v>7</v>
      </c>
      <c r="AT9" s="80">
        <v>178</v>
      </c>
      <c r="AU9" s="225">
        <v>7</v>
      </c>
      <c r="AV9" s="80">
        <v>194</v>
      </c>
      <c r="AW9" s="225">
        <v>7</v>
      </c>
      <c r="AX9" s="80"/>
      <c r="AY9" s="225">
        <v>7</v>
      </c>
      <c r="AZ9" s="80"/>
      <c r="BA9" s="22">
        <v>7</v>
      </c>
      <c r="BB9" s="80">
        <f>IF(AY2=0,"",+AZ2)</f>
        <v>0</v>
      </c>
      <c r="BC9" s="272">
        <f t="shared" si="1"/>
        <v>0</v>
      </c>
      <c r="BE9" s="22">
        <v>7</v>
      </c>
      <c r="BF9" s="24" t="str">
        <f>IF($AB$6="Rotary","D55SP 55",IF($AB$6="DTH","D55SP 55",""))</f>
        <v>D55SP 55</v>
      </c>
      <c r="BK9" s="22">
        <v>7</v>
      </c>
      <c r="BL9" s="24" t="s">
        <v>6</v>
      </c>
      <c r="BM9" s="22">
        <v>7</v>
      </c>
      <c r="BN9" s="22">
        <v>1600</v>
      </c>
      <c r="BO9" s="22">
        <v>7</v>
      </c>
      <c r="BP9" s="22">
        <v>2000</v>
      </c>
      <c r="BQ9" s="22">
        <v>7</v>
      </c>
      <c r="BS9" s="22">
        <v>7</v>
      </c>
      <c r="BX9" s="22">
        <v>7</v>
      </c>
      <c r="BY9" s="24" t="s">
        <v>6</v>
      </c>
      <c r="BZ9" s="22">
        <v>7</v>
      </c>
      <c r="CA9" s="22">
        <v>1350</v>
      </c>
      <c r="CB9" s="22">
        <v>7</v>
      </c>
      <c r="CD9" s="22">
        <v>7</v>
      </c>
      <c r="DA9" s="92" t="str">
        <f>IF(CX2=0,"",+CX2)</f>
        <v/>
      </c>
      <c r="DB9" s="92" t="str">
        <f>IF(CX10=0,"",+CX10)</f>
        <v/>
      </c>
      <c r="DC9" s="22">
        <v>7</v>
      </c>
      <c r="DD9" s="109" t="str">
        <f t="shared" si="2"/>
        <v/>
      </c>
      <c r="DF9" s="22" t="s">
        <v>59</v>
      </c>
      <c r="DG9" s="35">
        <f>+Calculator!N22</f>
        <v>36259.435974320782</v>
      </c>
      <c r="DM9" s="98">
        <f>+DM8*0.3048</f>
        <v>302844.13826325367</v>
      </c>
      <c r="DN9" s="22" t="s">
        <v>119</v>
      </c>
      <c r="EA9" s="24" t="s">
        <v>6</v>
      </c>
      <c r="EB9" s="24">
        <v>7</v>
      </c>
      <c r="EC9" s="81">
        <v>0</v>
      </c>
      <c r="ED9" s="24">
        <v>7</v>
      </c>
      <c r="EE9" s="24" t="s">
        <v>6</v>
      </c>
      <c r="EF9" s="24">
        <v>7</v>
      </c>
      <c r="EG9" s="24">
        <v>55</v>
      </c>
      <c r="EH9" s="24">
        <v>7</v>
      </c>
      <c r="EI9" s="24">
        <v>25</v>
      </c>
      <c r="EJ9" s="24">
        <v>7</v>
      </c>
      <c r="EK9" s="24">
        <v>2</v>
      </c>
      <c r="EL9" s="94">
        <f>IF((+Calculator!$D$22+Calculator!$D$25)-'Calc. Sdk'!EG9-('Calc. Sdk'!EI9*'Calc. Sdk'!EK9)&gt;0,"Too deep",+'Calc. Sdk'!EM9)</f>
        <v>1</v>
      </c>
      <c r="EM9" s="76">
        <f>ROUNDUP((Calculator!$D$22+Calculator!$D$25-'Calc. Sdk'!EG9)/'Calc. Sdk'!EI9,0)</f>
        <v>1</v>
      </c>
      <c r="EO9" s="24">
        <v>7</v>
      </c>
      <c r="EP9" s="24" t="s">
        <v>6</v>
      </c>
      <c r="EQ9" s="24">
        <v>7</v>
      </c>
      <c r="ER9" s="24">
        <v>139</v>
      </c>
      <c r="ES9" s="24">
        <v>7</v>
      </c>
      <c r="ET9" s="24">
        <v>171</v>
      </c>
      <c r="EU9" s="24">
        <v>7</v>
      </c>
      <c r="EV9" s="81">
        <v>2.5</v>
      </c>
      <c r="EW9" s="70"/>
      <c r="EX9" s="77">
        <f>+EX1/(+EX8)</f>
        <v>0.96397345341088259</v>
      </c>
      <c r="EY9" s="129">
        <f>EY8/EX8</f>
        <v>3.6026546589117019E-2</v>
      </c>
      <c r="FA9" s="22">
        <v>7</v>
      </c>
      <c r="FB9" s="24" t="s">
        <v>6</v>
      </c>
      <c r="FC9" s="22">
        <v>7</v>
      </c>
      <c r="FD9" s="22">
        <v>55000</v>
      </c>
      <c r="FE9" s="22">
        <v>7</v>
      </c>
      <c r="FF9" s="109">
        <f t="shared" si="0"/>
        <v>2197.5753379925968</v>
      </c>
      <c r="FH9" s="81">
        <v>2</v>
      </c>
      <c r="FI9" s="81">
        <v>5</v>
      </c>
      <c r="FJ9" s="81">
        <v>2</v>
      </c>
      <c r="FK9" s="99">
        <v>0.99</v>
      </c>
      <c r="FP9" s="23"/>
    </row>
    <row r="10" spans="27:184" x14ac:dyDescent="0.25">
      <c r="AB10" s="23" t="str">
        <f>IF(AB2="Imperial","in","mm")</f>
        <v>in</v>
      </c>
      <c r="AC10" s="23"/>
      <c r="AD10" s="22">
        <v>8</v>
      </c>
      <c r="AE10" s="24" t="s">
        <v>170</v>
      </c>
      <c r="AF10" s="24">
        <v>25</v>
      </c>
      <c r="AG10" s="24"/>
      <c r="AJ10" s="23"/>
      <c r="AK10" s="22">
        <v>8</v>
      </c>
      <c r="AL10" s="24" t="str">
        <f>IF($AB$6="Rotary","D75KS 40",IF($AB$6="DTH","D75KS 40",""))</f>
        <v>D75KS 40</v>
      </c>
      <c r="AM10" s="22">
        <v>8</v>
      </c>
      <c r="AN10" s="80">
        <v>178</v>
      </c>
      <c r="AO10" s="225">
        <v>8</v>
      </c>
      <c r="AP10" s="80">
        <v>194</v>
      </c>
      <c r="AQ10" s="225">
        <v>8</v>
      </c>
      <c r="AR10" s="80">
        <v>203</v>
      </c>
      <c r="AS10" s="225">
        <v>8</v>
      </c>
      <c r="AT10" s="80">
        <v>219</v>
      </c>
      <c r="AU10" s="225">
        <v>8</v>
      </c>
      <c r="AV10" s="80">
        <v>229</v>
      </c>
      <c r="AW10" s="225">
        <v>8</v>
      </c>
      <c r="AX10" s="80">
        <v>244</v>
      </c>
      <c r="AY10" s="225">
        <v>8</v>
      </c>
      <c r="AZ10" s="80"/>
      <c r="BE10" s="22">
        <v>8</v>
      </c>
      <c r="BF10" s="24" t="str">
        <f>IF($AB$6="Rotary","D75KS 40",IF($AB$6="DTH","D75KS 40",""))</f>
        <v>D75KS 40</v>
      </c>
      <c r="BK10" s="22">
        <v>8</v>
      </c>
      <c r="BL10" s="24" t="s">
        <v>176</v>
      </c>
      <c r="BM10" s="22">
        <v>8</v>
      </c>
      <c r="BN10" s="22">
        <v>1600</v>
      </c>
      <c r="BO10" s="22">
        <v>8</v>
      </c>
      <c r="BP10" s="22">
        <v>2000</v>
      </c>
      <c r="BQ10" s="22">
        <v>8</v>
      </c>
      <c r="BS10" s="22">
        <v>8</v>
      </c>
      <c r="BX10" s="22">
        <v>8</v>
      </c>
      <c r="BY10" s="24" t="s">
        <v>7</v>
      </c>
      <c r="BZ10" s="22">
        <v>8</v>
      </c>
      <c r="CA10" s="22">
        <v>1350</v>
      </c>
      <c r="CB10" s="22">
        <v>8</v>
      </c>
      <c r="CC10" s="22">
        <v>1450</v>
      </c>
      <c r="CD10" s="22">
        <v>8</v>
      </c>
      <c r="CK10" s="22">
        <f>+$AK$2</f>
        <v>16</v>
      </c>
      <c r="CL10" s="26">
        <f>LOOKUP(CK10,CK11:CL31)</f>
        <v>229</v>
      </c>
      <c r="CM10" s="22">
        <f>+$AK$2</f>
        <v>16</v>
      </c>
      <c r="CN10" s="26">
        <f>LOOKUP(CM10,CM11:CN31)</f>
        <v>251</v>
      </c>
      <c r="CO10" s="22">
        <f>+$AK$2</f>
        <v>16</v>
      </c>
      <c r="CP10" s="26">
        <f>LOOKUP(CO10,CO11:CP31)</f>
        <v>270</v>
      </c>
      <c r="CQ10" s="22">
        <f>+$AK$2</f>
        <v>16</v>
      </c>
      <c r="CR10" s="26">
        <f>LOOKUP(CQ10,CQ11:CR31)</f>
        <v>279</v>
      </c>
      <c r="CS10" s="22">
        <f>+$AK$2</f>
        <v>16</v>
      </c>
      <c r="CT10" s="26">
        <f>LOOKUP(CS10,CS11:CT31)</f>
        <v>311</v>
      </c>
      <c r="CU10" s="22">
        <f>+$AK$2</f>
        <v>16</v>
      </c>
      <c r="CV10" s="26">
        <f>LOOKUP(CU10,CU11:CV31)</f>
        <v>0</v>
      </c>
      <c r="CW10" s="22">
        <f>+$AK$2</f>
        <v>16</v>
      </c>
      <c r="CX10" s="26">
        <f>LOOKUP(CW10,CW11:CX31)</f>
        <v>0</v>
      </c>
      <c r="CY10" s="22">
        <f>+$AK$2</f>
        <v>16</v>
      </c>
      <c r="CZ10" s="26">
        <f>LOOKUP(CY10,CY11:CZ30)</f>
        <v>0</v>
      </c>
      <c r="DA10" s="92" t="str">
        <f>IF(CZ2=0,"",+CZ2)</f>
        <v/>
      </c>
      <c r="DB10" s="92" t="str">
        <f>IF(CZ10=0,"",+CZ10)</f>
        <v/>
      </c>
      <c r="DC10" s="22">
        <v>8</v>
      </c>
      <c r="DD10" s="92" t="str">
        <f>IF($AB$6="Rotary",+DB10,DA10)</f>
        <v/>
      </c>
      <c r="DH10" s="22" t="s">
        <v>1314</v>
      </c>
      <c r="DI10" s="35">
        <f>Calculator!D32</f>
        <v>80000</v>
      </c>
      <c r="DL10" s="34" t="s">
        <v>109</v>
      </c>
      <c r="DM10" s="98" t="str">
        <f>IF(DM2="bcyd",+Calculator!D40,"")</f>
        <v/>
      </c>
      <c r="DR10" s="22" t="s">
        <v>60</v>
      </c>
      <c r="EA10" s="24" t="s">
        <v>7</v>
      </c>
      <c r="EB10" s="24">
        <v>8</v>
      </c>
      <c r="EC10" s="81">
        <v>0.5</v>
      </c>
      <c r="ED10" s="24">
        <v>8</v>
      </c>
      <c r="EE10" s="24" t="s">
        <v>7</v>
      </c>
      <c r="EF10" s="24">
        <v>8</v>
      </c>
      <c r="EG10" s="24">
        <v>33.5</v>
      </c>
      <c r="EH10" s="24">
        <v>8</v>
      </c>
      <c r="EI10" s="24">
        <v>35</v>
      </c>
      <c r="EJ10" s="24">
        <v>8</v>
      </c>
      <c r="EK10" s="24">
        <v>6</v>
      </c>
      <c r="EL10" s="94">
        <f>IF((+Calculator!$D$22+Calculator!$D$25)-'Calc. Sdk'!EG10-('Calc. Sdk'!EI10*'Calc. Sdk'!EK10)&gt;0,"Too deep",+'Calc. Sdk'!EM10)</f>
        <v>1</v>
      </c>
      <c r="EM10" s="76">
        <f>ROUNDUP((Calculator!$D$22+Calculator!$D$25-'Calc. Sdk'!EG10)/'Calc. Sdk'!EI10,0)</f>
        <v>1</v>
      </c>
      <c r="EO10" s="24">
        <v>8</v>
      </c>
      <c r="EP10" s="24" t="s">
        <v>7</v>
      </c>
      <c r="EQ10" s="24">
        <v>8</v>
      </c>
      <c r="ER10" s="24">
        <v>89</v>
      </c>
      <c r="ES10" s="24">
        <v>8</v>
      </c>
      <c r="ET10" s="24">
        <v>114</v>
      </c>
      <c r="EU10" s="24">
        <v>8</v>
      </c>
      <c r="EV10" s="81">
        <v>2</v>
      </c>
      <c r="FA10" s="22">
        <v>8</v>
      </c>
      <c r="FB10" s="24" t="s">
        <v>7</v>
      </c>
      <c r="FC10" s="22">
        <v>8</v>
      </c>
      <c r="FD10" s="22">
        <v>75000</v>
      </c>
      <c r="FE10" s="22">
        <v>8</v>
      </c>
      <c r="FF10" s="109">
        <f t="shared" si="0"/>
        <v>3609.6200546133514</v>
      </c>
      <c r="FH10" s="81">
        <v>3</v>
      </c>
      <c r="FI10" s="81">
        <v>10</v>
      </c>
      <c r="FJ10" s="81">
        <v>3</v>
      </c>
      <c r="FK10" s="99">
        <v>0.98</v>
      </c>
      <c r="FW10" s="314" t="s">
        <v>197</v>
      </c>
      <c r="FX10" s="314"/>
      <c r="FY10" s="22" t="s">
        <v>193</v>
      </c>
    </row>
    <row r="11" spans="27:184" x14ac:dyDescent="0.25">
      <c r="AB11" s="23" t="str">
        <f>IF(AB2="Imperial","mm","in")</f>
        <v>mm</v>
      </c>
      <c r="AC11" s="23"/>
      <c r="AD11" s="22">
        <v>9</v>
      </c>
      <c r="AE11" s="24" t="s">
        <v>181</v>
      </c>
      <c r="AF11" s="24">
        <v>25</v>
      </c>
      <c r="AG11" s="24"/>
      <c r="AJ11" s="23"/>
      <c r="AK11" s="22">
        <v>9</v>
      </c>
      <c r="AL11" s="24" t="str">
        <f>IF($AB$6="Rotary","DR460 48",IF($AB$6="DTH","DR460 48",""))</f>
        <v>DR460 48</v>
      </c>
      <c r="AM11" s="22">
        <v>9</v>
      </c>
      <c r="AN11" s="80">
        <v>178</v>
      </c>
      <c r="AO11" s="225">
        <v>9</v>
      </c>
      <c r="AP11" s="80">
        <v>194</v>
      </c>
      <c r="AQ11" s="225">
        <v>9</v>
      </c>
      <c r="AR11" s="80">
        <v>203</v>
      </c>
      <c r="AS11" s="225">
        <v>9</v>
      </c>
      <c r="AT11" s="80">
        <v>219</v>
      </c>
      <c r="AU11" s="225">
        <v>9</v>
      </c>
      <c r="AV11" s="80">
        <v>229</v>
      </c>
      <c r="AW11" s="225">
        <v>9</v>
      </c>
      <c r="AX11" s="80">
        <v>244</v>
      </c>
      <c r="AY11" s="225">
        <v>9</v>
      </c>
      <c r="AZ11" s="80">
        <v>244</v>
      </c>
      <c r="BE11" s="22">
        <v>9</v>
      </c>
      <c r="BF11" s="24" t="str">
        <f>IF($AB$6="Rotary","DR460 48",IF($AB$6="DTH","DR460 48",""))</f>
        <v>DR460 48</v>
      </c>
      <c r="BK11" s="22">
        <v>9</v>
      </c>
      <c r="BL11" s="24" t="s">
        <v>182</v>
      </c>
      <c r="BM11" s="22">
        <v>9</v>
      </c>
      <c r="BN11" s="22">
        <v>1600</v>
      </c>
      <c r="BO11" s="22">
        <v>9</v>
      </c>
      <c r="BP11" s="22">
        <v>2000</v>
      </c>
      <c r="BQ11" s="22">
        <v>9</v>
      </c>
      <c r="BR11" s="22">
        <v>2600</v>
      </c>
      <c r="BS11" s="22">
        <v>9</v>
      </c>
      <c r="BX11" s="22">
        <v>9</v>
      </c>
      <c r="BY11" s="24" t="s">
        <v>183</v>
      </c>
      <c r="BZ11" s="22">
        <v>9</v>
      </c>
      <c r="CA11" s="22">
        <v>1450</v>
      </c>
      <c r="CB11" s="22">
        <v>9</v>
      </c>
      <c r="CD11" s="22">
        <v>9</v>
      </c>
      <c r="CG11" s="22">
        <v>1</v>
      </c>
      <c r="CH11" s="24" t="s">
        <v>0</v>
      </c>
      <c r="CK11" s="22">
        <v>1</v>
      </c>
      <c r="CL11" s="22">
        <v>127</v>
      </c>
      <c r="CM11" s="22">
        <v>1</v>
      </c>
      <c r="CN11" s="22">
        <v>133</v>
      </c>
      <c r="CO11" s="22">
        <v>1</v>
      </c>
      <c r="CP11" s="22">
        <v>140</v>
      </c>
      <c r="CQ11" s="22">
        <v>1</v>
      </c>
      <c r="CR11" s="22">
        <v>146</v>
      </c>
      <c r="CS11" s="22">
        <v>1</v>
      </c>
      <c r="CT11" s="22">
        <v>152</v>
      </c>
      <c r="CU11" s="22">
        <v>1</v>
      </c>
      <c r="CV11" s="22">
        <v>159</v>
      </c>
      <c r="CW11" s="22">
        <v>1</v>
      </c>
      <c r="CX11" s="22">
        <v>171</v>
      </c>
      <c r="CY11" s="22">
        <v>1</v>
      </c>
      <c r="CZ11" s="22">
        <v>200</v>
      </c>
      <c r="DL11" s="34" t="s">
        <v>110</v>
      </c>
      <c r="DM11" s="98">
        <f>IF(DM2="ton",+Calculator!D40,"")</f>
        <v>29210000</v>
      </c>
      <c r="DR11" s="23">
        <f>IF(DG8&gt;DT2,1,+DG8/DT2)</f>
        <v>1</v>
      </c>
      <c r="EA11" s="81" t="s">
        <v>183</v>
      </c>
      <c r="EB11" s="24">
        <v>9</v>
      </c>
      <c r="EC11" s="81">
        <v>0.5</v>
      </c>
      <c r="ED11" s="24">
        <v>9</v>
      </c>
      <c r="EE11" s="24" t="s">
        <v>183</v>
      </c>
      <c r="EF11" s="24">
        <v>9</v>
      </c>
      <c r="EG11" s="24">
        <v>40.6</v>
      </c>
      <c r="EH11" s="24">
        <v>9</v>
      </c>
      <c r="EI11" s="24">
        <v>42</v>
      </c>
      <c r="EJ11" s="24">
        <v>9</v>
      </c>
      <c r="EK11" s="24">
        <v>4</v>
      </c>
      <c r="EL11" s="94">
        <f>IF((+Calculator!$D$22+Calculator!$D$25)-'Calc. Sdk'!EG11-('Calc. Sdk'!EI11*'Calc. Sdk'!EK11)&gt;0,"Too deep",+'Calc. Sdk'!EM11)</f>
        <v>1</v>
      </c>
      <c r="EM11" s="76">
        <f>ROUNDUP((Calculator!$D$22+Calculator!$D$25-'Calc. Sdk'!EG11)/'Calc. Sdk'!EI11,0)</f>
        <v>1</v>
      </c>
      <c r="EO11" s="81">
        <v>9</v>
      </c>
      <c r="EP11" s="81" t="s">
        <v>183</v>
      </c>
      <c r="EQ11" s="81">
        <v>9</v>
      </c>
      <c r="ER11" s="24">
        <v>68</v>
      </c>
      <c r="ES11" s="81">
        <v>9</v>
      </c>
      <c r="ET11" s="24">
        <v>176</v>
      </c>
      <c r="EU11" s="81">
        <v>9</v>
      </c>
      <c r="EV11" s="81">
        <v>1.2</v>
      </c>
      <c r="EW11" s="22" t="s">
        <v>303</v>
      </c>
      <c r="EX11" s="108">
        <f>DI4/3.28083</f>
        <v>5.495289014533622</v>
      </c>
      <c r="EY11" s="22" t="s">
        <v>1326</v>
      </c>
      <c r="FA11" s="22">
        <v>9</v>
      </c>
      <c r="FB11" s="24" t="s">
        <v>183</v>
      </c>
      <c r="FC11" s="22">
        <v>9</v>
      </c>
      <c r="FD11" s="22">
        <v>80000</v>
      </c>
      <c r="FE11" s="22">
        <v>9</v>
      </c>
      <c r="FF11" s="109">
        <f t="shared" si="0"/>
        <v>4002.2798153540271</v>
      </c>
      <c r="FH11" s="81">
        <v>4</v>
      </c>
      <c r="FI11" s="81">
        <v>15</v>
      </c>
      <c r="FJ11" s="81">
        <v>4</v>
      </c>
      <c r="FK11" s="99">
        <v>0.96499999999999997</v>
      </c>
      <c r="FW11" s="72" t="s">
        <v>80</v>
      </c>
      <c r="FX11" s="95">
        <v>1</v>
      </c>
      <c r="FY11" s="22">
        <v>0</v>
      </c>
    </row>
    <row r="12" spans="27:184" x14ac:dyDescent="0.25">
      <c r="AD12" s="22">
        <v>10</v>
      </c>
      <c r="AE12" s="24" t="s">
        <v>8</v>
      </c>
      <c r="AF12" s="100">
        <v>30</v>
      </c>
      <c r="AG12" s="24"/>
      <c r="AK12" s="22">
        <v>10</v>
      </c>
      <c r="AL12" s="24" t="str">
        <f>IF($AB$6="Rotary","DR460 63",IF($AB$6="DTH","DR460 63",""))</f>
        <v>DR460 63</v>
      </c>
      <c r="AM12" s="22">
        <v>10</v>
      </c>
      <c r="AN12" s="80">
        <v>178</v>
      </c>
      <c r="AO12" s="225">
        <v>10</v>
      </c>
      <c r="AP12" s="80">
        <v>194</v>
      </c>
      <c r="AQ12" s="225">
        <v>10</v>
      </c>
      <c r="AR12" s="80">
        <v>203</v>
      </c>
      <c r="AS12" s="225">
        <v>10</v>
      </c>
      <c r="AT12" s="80">
        <v>219</v>
      </c>
      <c r="AU12" s="225">
        <v>10</v>
      </c>
      <c r="AV12" s="80">
        <v>229</v>
      </c>
      <c r="AW12" s="225">
        <v>10</v>
      </c>
      <c r="AX12" s="80">
        <v>244</v>
      </c>
      <c r="AY12" s="225">
        <v>10</v>
      </c>
      <c r="AZ12" s="80">
        <v>244</v>
      </c>
      <c r="BE12" s="22">
        <v>10</v>
      </c>
      <c r="BF12" s="24" t="str">
        <f>IF($AB$6="Rotary","DR460 63",IF($AB$6="DTH","DR460 63",""))</f>
        <v>DR460 63</v>
      </c>
      <c r="BK12" s="22">
        <v>10</v>
      </c>
      <c r="BL12" s="22" t="s">
        <v>184</v>
      </c>
      <c r="BM12" s="22">
        <v>10</v>
      </c>
      <c r="BN12" s="22">
        <v>1600</v>
      </c>
      <c r="BO12" s="22">
        <v>10</v>
      </c>
      <c r="BP12" s="22">
        <v>2000</v>
      </c>
      <c r="BQ12" s="22">
        <v>10</v>
      </c>
      <c r="BR12" s="22">
        <v>2600</v>
      </c>
      <c r="BS12" s="22">
        <v>10</v>
      </c>
      <c r="BX12" s="22">
        <v>10</v>
      </c>
      <c r="BY12" s="22" t="s">
        <v>184</v>
      </c>
      <c r="BZ12" s="22">
        <v>10</v>
      </c>
      <c r="CA12" s="22">
        <v>1450</v>
      </c>
      <c r="CB12" s="22">
        <v>10</v>
      </c>
      <c r="CD12" s="22">
        <v>10</v>
      </c>
      <c r="CG12" s="22">
        <v>2</v>
      </c>
      <c r="CH12" s="24" t="s">
        <v>1</v>
      </c>
      <c r="CK12" s="22">
        <v>2</v>
      </c>
      <c r="CL12" s="22">
        <v>127</v>
      </c>
      <c r="CM12" s="22">
        <v>2</v>
      </c>
      <c r="CN12" s="22">
        <v>133</v>
      </c>
      <c r="CO12" s="22">
        <v>2</v>
      </c>
      <c r="CP12" s="22">
        <v>140</v>
      </c>
      <c r="CQ12" s="22">
        <v>2</v>
      </c>
      <c r="CR12" s="22">
        <v>146</v>
      </c>
      <c r="CS12" s="22">
        <v>2</v>
      </c>
      <c r="CT12" s="22">
        <v>152</v>
      </c>
      <c r="CU12" s="22">
        <v>2</v>
      </c>
      <c r="CW12" s="22">
        <v>2</v>
      </c>
      <c r="CY12" s="22">
        <v>2</v>
      </c>
      <c r="DB12" s="23" t="s">
        <v>272</v>
      </c>
      <c r="DH12" s="221"/>
      <c r="DM12" s="22" t="e">
        <f>+DM10/DM14</f>
        <v>#VALUE!</v>
      </c>
      <c r="DN12" s="22" t="s">
        <v>118</v>
      </c>
      <c r="EA12" s="22" t="s">
        <v>185</v>
      </c>
      <c r="EB12" s="24">
        <v>10</v>
      </c>
      <c r="EC12" s="22">
        <v>0</v>
      </c>
      <c r="ED12" s="24">
        <v>10</v>
      </c>
      <c r="EE12" s="22" t="s">
        <v>185</v>
      </c>
      <c r="EF12" s="24">
        <v>10</v>
      </c>
      <c r="EG12" s="22">
        <v>54</v>
      </c>
      <c r="EH12" s="24">
        <v>10</v>
      </c>
      <c r="EI12" s="22">
        <v>25</v>
      </c>
      <c r="EJ12" s="24">
        <v>10</v>
      </c>
      <c r="EK12" s="22">
        <v>2</v>
      </c>
      <c r="EL12" s="94">
        <f>IF((+Calculator!$D$22+Calculator!$D$25)-'Calc. Sdk'!EG12-('Calc. Sdk'!EI12*'Calc. Sdk'!EK12)&gt;0,"Too deep",+'Calc. Sdk'!EM12)</f>
        <v>1</v>
      </c>
      <c r="EM12" s="76">
        <f>ROUNDUP((Calculator!$D$22+Calculator!$D$25-'Calc. Sdk'!EG12)/'Calc. Sdk'!EI12,0)</f>
        <v>1</v>
      </c>
      <c r="EO12" s="24">
        <v>10</v>
      </c>
      <c r="EP12" s="22" t="s">
        <v>185</v>
      </c>
      <c r="EQ12" s="24">
        <v>10</v>
      </c>
      <c r="ER12" s="22">
        <v>144</v>
      </c>
      <c r="ES12" s="24">
        <v>10</v>
      </c>
      <c r="ET12" s="22">
        <v>144</v>
      </c>
      <c r="EU12" s="24">
        <v>10</v>
      </c>
      <c r="EV12" s="22">
        <v>3</v>
      </c>
      <c r="EX12" s="108">
        <f>EX11*FK2*FK7*DH22</f>
        <v>4.1764196510455527</v>
      </c>
      <c r="EY12" s="22" t="s">
        <v>1326</v>
      </c>
      <c r="FA12" s="22">
        <v>10</v>
      </c>
      <c r="FB12" s="22" t="s">
        <v>185</v>
      </c>
      <c r="FC12" s="22">
        <v>10</v>
      </c>
      <c r="FD12" s="22">
        <v>80000</v>
      </c>
      <c r="FE12" s="22">
        <v>10</v>
      </c>
      <c r="FF12" s="109">
        <f t="shared" si="0"/>
        <v>4002.2798153540271</v>
      </c>
      <c r="FH12" s="81">
        <v>5</v>
      </c>
      <c r="FI12" s="81">
        <v>20</v>
      </c>
      <c r="FJ12" s="81">
        <v>5</v>
      </c>
      <c r="FK12" s="99">
        <v>0.95</v>
      </c>
      <c r="FO12" s="36" t="str">
        <f>CH2</f>
        <v>Charger</v>
      </c>
      <c r="FP12" s="148" t="s">
        <v>300</v>
      </c>
      <c r="FQ12" s="148"/>
      <c r="FW12" s="72" t="s">
        <v>81</v>
      </c>
      <c r="FX12" s="95">
        <v>0.98</v>
      </c>
      <c r="FY12" s="22">
        <v>10000</v>
      </c>
    </row>
    <row r="13" spans="27:184" x14ac:dyDescent="0.25">
      <c r="AB13" s="101" t="str">
        <f>IF(AB6="DTH","Hammer model ","Bit type")</f>
        <v>Bit type</v>
      </c>
      <c r="AD13" s="22">
        <v>11</v>
      </c>
      <c r="AE13" s="24" t="s">
        <v>171</v>
      </c>
      <c r="AF13" s="100">
        <v>20</v>
      </c>
      <c r="AG13" s="24"/>
      <c r="AK13" s="22">
        <v>11</v>
      </c>
      <c r="AL13" s="24" t="str">
        <f>IF($AB$6="Rotary","D90KS 46","")</f>
        <v>D90KS 46</v>
      </c>
      <c r="AM13" s="22">
        <v>11</v>
      </c>
      <c r="AN13" s="80">
        <v>194</v>
      </c>
      <c r="AO13" s="225">
        <v>11</v>
      </c>
      <c r="AP13" s="80">
        <v>219</v>
      </c>
      <c r="AQ13" s="225">
        <v>11</v>
      </c>
      <c r="AR13" s="80">
        <v>229</v>
      </c>
      <c r="AS13" s="225">
        <v>11</v>
      </c>
      <c r="AT13" s="80">
        <v>244</v>
      </c>
      <c r="AU13" s="225">
        <v>11</v>
      </c>
      <c r="AV13" s="80">
        <v>254</v>
      </c>
      <c r="AW13" s="225">
        <v>11</v>
      </c>
      <c r="AX13" s="80">
        <v>260</v>
      </c>
      <c r="AY13" s="225">
        <v>11</v>
      </c>
      <c r="AZ13" s="80"/>
      <c r="BE13" s="22">
        <v>11</v>
      </c>
      <c r="BF13" s="24" t="str">
        <f>IF($AB$6="Rotary","D90KS 46","")</f>
        <v>D90KS 46</v>
      </c>
      <c r="BK13" s="22">
        <v>11</v>
      </c>
      <c r="BL13" s="24" t="s">
        <v>8</v>
      </c>
      <c r="BM13" s="22">
        <v>11</v>
      </c>
      <c r="BN13" s="22">
        <v>2600</v>
      </c>
      <c r="BO13" s="22">
        <v>11</v>
      </c>
      <c r="BP13" s="22">
        <v>3000</v>
      </c>
      <c r="BQ13" s="22">
        <v>11</v>
      </c>
      <c r="BS13" s="22">
        <v>11</v>
      </c>
      <c r="BX13" s="22">
        <v>11</v>
      </c>
      <c r="BY13" s="24" t="s">
        <v>8</v>
      </c>
      <c r="BZ13" s="22">
        <v>11</v>
      </c>
      <c r="CB13" s="22">
        <v>11</v>
      </c>
      <c r="CD13" s="22">
        <v>11</v>
      </c>
      <c r="CG13" s="22">
        <v>3</v>
      </c>
      <c r="CH13" s="24" t="s">
        <v>2</v>
      </c>
      <c r="CK13" s="22">
        <v>3</v>
      </c>
      <c r="CL13" s="22">
        <v>152</v>
      </c>
      <c r="CM13" s="22">
        <v>3</v>
      </c>
      <c r="CN13" s="22">
        <v>159</v>
      </c>
      <c r="CO13" s="22">
        <v>3</v>
      </c>
      <c r="CP13" s="22">
        <v>171</v>
      </c>
      <c r="CQ13" s="22">
        <v>3</v>
      </c>
      <c r="CR13" s="22">
        <v>200</v>
      </c>
      <c r="CS13" s="22">
        <v>3</v>
      </c>
      <c r="CT13" s="22">
        <v>203</v>
      </c>
      <c r="CU13" s="22">
        <v>3</v>
      </c>
      <c r="CV13" s="22">
        <v>216</v>
      </c>
      <c r="CW13" s="22">
        <v>3</v>
      </c>
      <c r="CX13" s="22">
        <v>229</v>
      </c>
      <c r="CY13" s="22">
        <v>3</v>
      </c>
      <c r="DB13" s="92">
        <f>IF(CL10=0,"",+CL10)</f>
        <v>229</v>
      </c>
      <c r="DM13" s="22">
        <f>+DM11/DM15</f>
        <v>993583.1307849529</v>
      </c>
      <c r="EA13" s="81" t="s">
        <v>8</v>
      </c>
      <c r="EB13" s="24">
        <v>11</v>
      </c>
      <c r="EC13" s="81">
        <v>0.5</v>
      </c>
      <c r="ED13" s="24">
        <v>11</v>
      </c>
      <c r="EE13" s="24" t="s">
        <v>8</v>
      </c>
      <c r="EF13" s="24">
        <v>11</v>
      </c>
      <c r="EG13" s="24">
        <v>38.6</v>
      </c>
      <c r="EH13" s="24">
        <v>11</v>
      </c>
      <c r="EI13" s="24">
        <v>40</v>
      </c>
      <c r="EJ13" s="24">
        <v>11</v>
      </c>
      <c r="EK13" s="24">
        <v>6</v>
      </c>
      <c r="EL13" s="94">
        <f>IF((+Calculator!$D$22+Calculator!$D$25)-'Calc. Sdk'!EG13-('Calc. Sdk'!EI13*'Calc. Sdk'!EK13)&gt;0,"Too deep",+'Calc. Sdk'!EM13)</f>
        <v>1</v>
      </c>
      <c r="EM13" s="76">
        <f>ROUNDUP((Calculator!$D$22+Calculator!$D$25-'Calc. Sdk'!EG13)/'Calc. Sdk'!EI13,0)</f>
        <v>1</v>
      </c>
      <c r="EO13" s="24">
        <v>11</v>
      </c>
      <c r="EP13" s="81" t="s">
        <v>8</v>
      </c>
      <c r="EQ13" s="24">
        <v>11</v>
      </c>
      <c r="ER13" s="24">
        <v>71</v>
      </c>
      <c r="ES13" s="24">
        <v>11</v>
      </c>
      <c r="ET13" s="24">
        <v>120</v>
      </c>
      <c r="EU13" s="24">
        <v>11</v>
      </c>
      <c r="EV13" s="81">
        <v>2</v>
      </c>
      <c r="EX13" s="108">
        <f>(EX8/60)</f>
        <v>4.4709859014766895</v>
      </c>
      <c r="EY13" s="22" t="s">
        <v>1315</v>
      </c>
      <c r="FA13" s="22">
        <v>11</v>
      </c>
      <c r="FB13" s="24" t="s">
        <v>8</v>
      </c>
      <c r="FC13" s="22">
        <v>11</v>
      </c>
      <c r="FD13" s="22">
        <v>110000</v>
      </c>
      <c r="FE13" s="22">
        <v>11</v>
      </c>
      <c r="FF13" s="109">
        <f t="shared" si="0"/>
        <v>6661.8026919001331</v>
      </c>
      <c r="FH13" s="81">
        <v>6</v>
      </c>
      <c r="FI13" s="81">
        <v>25</v>
      </c>
      <c r="FJ13" s="81">
        <v>6</v>
      </c>
      <c r="FK13" s="99">
        <v>0.93500000000000005</v>
      </c>
      <c r="FP13" s="22" t="s">
        <v>73</v>
      </c>
      <c r="FW13" s="72" t="s">
        <v>82</v>
      </c>
      <c r="FX13" s="95">
        <v>0.95</v>
      </c>
      <c r="FY13" s="22">
        <v>20000</v>
      </c>
    </row>
    <row r="14" spans="27:184" x14ac:dyDescent="0.25">
      <c r="AD14" s="22">
        <v>12</v>
      </c>
      <c r="AE14" s="22" t="s">
        <v>178</v>
      </c>
      <c r="AF14" s="22">
        <v>30</v>
      </c>
      <c r="AK14" s="22">
        <v>12</v>
      </c>
      <c r="AL14" s="24" t="str">
        <f>IF($AB$6="Rotary","D90KS 72","")</f>
        <v>D90KS 72</v>
      </c>
      <c r="AM14" s="22">
        <v>12</v>
      </c>
      <c r="AN14" s="80">
        <v>194</v>
      </c>
      <c r="AO14" s="225">
        <v>12</v>
      </c>
      <c r="AP14" s="80">
        <v>219</v>
      </c>
      <c r="AQ14" s="225">
        <v>12</v>
      </c>
      <c r="AR14" s="80">
        <v>229</v>
      </c>
      <c r="AS14" s="225">
        <v>12</v>
      </c>
      <c r="AT14" s="80">
        <v>244</v>
      </c>
      <c r="AU14" s="225">
        <v>12</v>
      </c>
      <c r="AV14" s="80">
        <v>254</v>
      </c>
      <c r="AW14" s="225">
        <v>12</v>
      </c>
      <c r="AX14" s="80">
        <v>260</v>
      </c>
      <c r="AY14" s="225">
        <v>12</v>
      </c>
      <c r="AZ14" s="80"/>
      <c r="BE14" s="22">
        <v>12</v>
      </c>
      <c r="BF14" s="24" t="str">
        <f>IF($AB$6="Rotary","D90KS 72","")</f>
        <v>D90KS 72</v>
      </c>
      <c r="BK14" s="22">
        <v>12</v>
      </c>
      <c r="BL14" s="24" t="s">
        <v>177</v>
      </c>
      <c r="BM14" s="22">
        <v>12</v>
      </c>
      <c r="BN14" s="22">
        <v>2600</v>
      </c>
      <c r="BO14" s="22">
        <v>12</v>
      </c>
      <c r="BP14" s="22">
        <v>3000</v>
      </c>
      <c r="BQ14" s="22">
        <v>12</v>
      </c>
      <c r="BR14" s="22">
        <v>3800</v>
      </c>
      <c r="BS14" s="22">
        <v>12</v>
      </c>
      <c r="BW14" s="102"/>
      <c r="BX14" s="22">
        <v>12</v>
      </c>
      <c r="BY14" s="24" t="s">
        <v>9</v>
      </c>
      <c r="BZ14" s="22">
        <v>12</v>
      </c>
      <c r="CB14" s="22">
        <v>12</v>
      </c>
      <c r="CD14" s="22">
        <v>12</v>
      </c>
      <c r="CG14" s="22">
        <v>4</v>
      </c>
      <c r="CH14" s="24" t="s">
        <v>3</v>
      </c>
      <c r="CK14" s="22">
        <v>4</v>
      </c>
      <c r="CL14" s="22">
        <v>152</v>
      </c>
      <c r="CM14" s="22">
        <v>4</v>
      </c>
      <c r="CN14" s="22">
        <v>159</v>
      </c>
      <c r="CO14" s="22">
        <v>4</v>
      </c>
      <c r="CP14" s="22">
        <v>171</v>
      </c>
      <c r="CQ14" s="22">
        <v>4</v>
      </c>
      <c r="CR14" s="22">
        <v>200</v>
      </c>
      <c r="CS14" s="22">
        <v>4</v>
      </c>
      <c r="CT14" s="22">
        <v>203</v>
      </c>
      <c r="CU14" s="22">
        <v>4</v>
      </c>
      <c r="CV14" s="22">
        <v>216</v>
      </c>
      <c r="CW14" s="22">
        <v>4</v>
      </c>
      <c r="CX14" s="22">
        <v>229</v>
      </c>
      <c r="CY14" s="22">
        <v>4</v>
      </c>
      <c r="DB14" s="92">
        <f>IF(CN10=0,"",+CN10)</f>
        <v>251</v>
      </c>
      <c r="DL14" s="34" t="s">
        <v>112</v>
      </c>
      <c r="DM14" s="103">
        <f>+Calculator!I22*Calculator!I25/27*((Calculator!D22/(Calculator!D22+Calculator!D25)))</f>
        <v>19.534504089584306</v>
      </c>
      <c r="DN14" s="22" t="s">
        <v>115</v>
      </c>
      <c r="DO14" s="104">
        <f>+DM14*0.7645549/0.3048</f>
        <v>49.000002692787795</v>
      </c>
      <c r="DP14" s="22" t="s">
        <v>116</v>
      </c>
      <c r="EA14" s="81" t="s">
        <v>9</v>
      </c>
      <c r="EB14" s="24">
        <v>12</v>
      </c>
      <c r="EC14" s="81">
        <v>0</v>
      </c>
      <c r="ED14" s="24">
        <v>12</v>
      </c>
      <c r="EE14" s="24" t="s">
        <v>9</v>
      </c>
      <c r="EF14" s="24">
        <v>12</v>
      </c>
      <c r="EG14" s="24">
        <v>65</v>
      </c>
      <c r="EH14" s="24">
        <v>12</v>
      </c>
      <c r="EI14" s="24">
        <v>32.5</v>
      </c>
      <c r="EJ14" s="24">
        <v>12</v>
      </c>
      <c r="EK14" s="24">
        <v>0</v>
      </c>
      <c r="EL14" s="94">
        <f>IF((+Calculator!$D$22+Calculator!$D$25)-'Calc. Sdk'!EG14-('Calc. Sdk'!EI14*'Calc. Sdk'!EK14)&gt;0,"Too deep",+'Calc. Sdk'!EM14)</f>
        <v>-1</v>
      </c>
      <c r="EM14" s="76">
        <f>ROUNDUP((Calculator!$D$22+Calculator!$D$25-'Calc. Sdk'!EG14)/'Calc. Sdk'!EI14,0)</f>
        <v>-1</v>
      </c>
      <c r="EO14" s="24">
        <v>12</v>
      </c>
      <c r="EP14" s="81" t="s">
        <v>9</v>
      </c>
      <c r="EQ14" s="24">
        <v>12</v>
      </c>
      <c r="ER14" s="24">
        <v>75</v>
      </c>
      <c r="ES14" s="24">
        <v>12</v>
      </c>
      <c r="ET14" s="24">
        <v>98</v>
      </c>
      <c r="EU14" s="24">
        <v>12</v>
      </c>
      <c r="EV14" s="81">
        <v>3</v>
      </c>
      <c r="EX14" s="108">
        <f>EX21/EX13</f>
        <v>4.0259576739114546</v>
      </c>
      <c r="EY14" s="22" t="s">
        <v>1326</v>
      </c>
      <c r="FA14" s="22">
        <v>12</v>
      </c>
      <c r="FB14" s="24" t="s">
        <v>9</v>
      </c>
      <c r="FC14" s="22">
        <v>12</v>
      </c>
      <c r="FD14" s="22">
        <v>110000</v>
      </c>
      <c r="FE14" s="22">
        <v>12</v>
      </c>
      <c r="FF14" s="109">
        <f t="shared" si="0"/>
        <v>6661.8026919001331</v>
      </c>
      <c r="FH14" s="81">
        <v>7</v>
      </c>
      <c r="FI14" s="81">
        <v>30</v>
      </c>
      <c r="FJ14" s="81">
        <v>7</v>
      </c>
      <c r="FK14" s="99">
        <v>0.92</v>
      </c>
      <c r="FP14" s="22" t="s">
        <v>281</v>
      </c>
      <c r="FW14" s="72" t="s">
        <v>83</v>
      </c>
      <c r="FX14" s="95">
        <v>0.91</v>
      </c>
      <c r="FY14" s="22">
        <v>30000</v>
      </c>
    </row>
    <row r="15" spans="27:184" x14ac:dyDescent="0.25">
      <c r="AB15" s="23" t="str">
        <f>IF(AB2="Imperial","cfm","m³/min")</f>
        <v>cfm</v>
      </c>
      <c r="AC15" s="23"/>
      <c r="AD15" s="22">
        <v>13</v>
      </c>
      <c r="AE15" s="22" t="s">
        <v>179</v>
      </c>
      <c r="AF15" s="100">
        <v>20</v>
      </c>
      <c r="AG15" s="23"/>
      <c r="AH15" s="23"/>
      <c r="AI15" s="23"/>
      <c r="AJ15" s="23"/>
      <c r="AK15" s="22">
        <v>13</v>
      </c>
      <c r="AL15" s="24" t="str">
        <f>IF($AB$6="Rotary","1190E 46","")</f>
        <v>1190E 46</v>
      </c>
      <c r="AM15" s="22">
        <v>13</v>
      </c>
      <c r="AN15" s="80">
        <v>194</v>
      </c>
      <c r="AO15" s="225">
        <v>13</v>
      </c>
      <c r="AP15" s="80">
        <v>219</v>
      </c>
      <c r="AQ15" s="225">
        <v>13</v>
      </c>
      <c r="AR15" s="80">
        <v>229</v>
      </c>
      <c r="AS15" s="225">
        <v>13</v>
      </c>
      <c r="AT15" s="80">
        <v>244</v>
      </c>
      <c r="AU15" s="225">
        <v>13</v>
      </c>
      <c r="AV15" s="80">
        <v>254</v>
      </c>
      <c r="AW15" s="225">
        <v>13</v>
      </c>
      <c r="AX15" s="80">
        <v>260</v>
      </c>
      <c r="AY15" s="225">
        <v>13</v>
      </c>
      <c r="AZ15" s="80">
        <v>273</v>
      </c>
      <c r="BA15" s="36"/>
      <c r="BE15" s="22">
        <v>13</v>
      </c>
      <c r="BF15" s="24" t="str">
        <f>IF($AB$6="Rotary","1190E 46","")</f>
        <v>1190E 46</v>
      </c>
      <c r="BK15" s="22">
        <v>13</v>
      </c>
      <c r="BL15" s="22" t="s">
        <v>178</v>
      </c>
      <c r="BM15" s="22">
        <v>13</v>
      </c>
      <c r="BN15" s="22">
        <f>IF(BK2&gt;11,BJ2,"")</f>
        <v>2870</v>
      </c>
      <c r="BO15" s="22">
        <v>13</v>
      </c>
      <c r="BQ15" s="22">
        <v>13</v>
      </c>
      <c r="BS15" s="22">
        <v>13</v>
      </c>
      <c r="BX15" s="22">
        <v>13</v>
      </c>
      <c r="BY15" s="22" t="s">
        <v>178</v>
      </c>
      <c r="BZ15" s="22">
        <v>13</v>
      </c>
      <c r="CB15" s="22">
        <v>13</v>
      </c>
      <c r="CD15" s="22">
        <v>13</v>
      </c>
      <c r="CG15" s="22">
        <v>5</v>
      </c>
      <c r="CH15" s="24" t="s">
        <v>4</v>
      </c>
      <c r="CK15" s="22">
        <v>5</v>
      </c>
      <c r="CL15" s="22">
        <v>152</v>
      </c>
      <c r="CM15" s="22">
        <v>5</v>
      </c>
      <c r="CN15" s="22">
        <v>159</v>
      </c>
      <c r="CO15" s="22">
        <v>5</v>
      </c>
      <c r="CP15" s="22">
        <v>171</v>
      </c>
      <c r="CQ15" s="22">
        <v>5</v>
      </c>
      <c r="CR15" s="22">
        <v>200</v>
      </c>
      <c r="CS15" s="22">
        <v>5</v>
      </c>
      <c r="CT15" s="22">
        <v>216</v>
      </c>
      <c r="CU15" s="22">
        <v>5</v>
      </c>
      <c r="CV15" s="22">
        <v>229</v>
      </c>
      <c r="CW15" s="22">
        <v>5</v>
      </c>
      <c r="CX15" s="22">
        <v>251</v>
      </c>
      <c r="CY15" s="22">
        <v>5</v>
      </c>
      <c r="DB15" s="92">
        <f>IF(CP10=0,"",+CP10)</f>
        <v>270</v>
      </c>
      <c r="DH15" s="34" t="s">
        <v>65</v>
      </c>
      <c r="DL15" s="34" t="s">
        <v>113</v>
      </c>
      <c r="DM15" s="103">
        <f>+DM14*Calculator!N25</f>
        <v>29.398647274660799</v>
      </c>
      <c r="DN15" s="22" t="s">
        <v>114</v>
      </c>
      <c r="DO15" s="103">
        <f>+DO14*Calculator!N24</f>
        <v>98.000005385575591</v>
      </c>
      <c r="DP15" s="22" t="s">
        <v>117</v>
      </c>
      <c r="EA15" s="22" t="s">
        <v>178</v>
      </c>
      <c r="EB15" s="24">
        <v>13</v>
      </c>
      <c r="EC15" s="22">
        <v>0.5</v>
      </c>
      <c r="ED15" s="24">
        <v>13</v>
      </c>
      <c r="EE15" s="22" t="s">
        <v>178</v>
      </c>
      <c r="EF15" s="24">
        <v>13</v>
      </c>
      <c r="EG15" s="24">
        <v>38.6</v>
      </c>
      <c r="EH15" s="24">
        <v>13</v>
      </c>
      <c r="EI15" s="24">
        <v>40</v>
      </c>
      <c r="EJ15" s="24">
        <v>13</v>
      </c>
      <c r="EK15" s="24">
        <v>6</v>
      </c>
      <c r="EL15" s="94">
        <f>IF((+Calculator!$D$22+Calculator!$D$25)-'Calc. Sdk'!EG15-('Calc. Sdk'!EI15*'Calc. Sdk'!EK15)&gt;0,"Too deep",+'Calc. Sdk'!EM15)</f>
        <v>1</v>
      </c>
      <c r="EM15" s="76">
        <f>ROUNDUP((Calculator!$D$22+Calculator!$D$25-'Calc. Sdk'!EG15)/'Calc. Sdk'!EI15,0)</f>
        <v>1</v>
      </c>
      <c r="EO15" s="24">
        <v>13</v>
      </c>
      <c r="EP15" s="22" t="s">
        <v>178</v>
      </c>
      <c r="EQ15" s="24">
        <v>13</v>
      </c>
      <c r="ER15" s="24">
        <v>71</v>
      </c>
      <c r="ES15" s="24">
        <v>13</v>
      </c>
      <c r="ET15" s="24">
        <v>120</v>
      </c>
      <c r="EU15" s="24">
        <v>13</v>
      </c>
      <c r="EV15" s="81">
        <v>3</v>
      </c>
      <c r="FA15" s="22">
        <v>13</v>
      </c>
      <c r="FB15" s="22" t="s">
        <v>178</v>
      </c>
      <c r="FC15" s="22">
        <v>13</v>
      </c>
      <c r="FD15" s="22">
        <v>110000</v>
      </c>
      <c r="FE15" s="22">
        <v>13</v>
      </c>
      <c r="FF15" s="109">
        <f t="shared" si="0"/>
        <v>6661.8026919001331</v>
      </c>
      <c r="FY15" s="22">
        <v>40000</v>
      </c>
    </row>
    <row r="16" spans="27:184" x14ac:dyDescent="0.25">
      <c r="AB16" s="23" t="str">
        <f>IF(AB2="Imperial","m³/min","cfm")</f>
        <v>m³/min</v>
      </c>
      <c r="AC16" s="23"/>
      <c r="AD16" s="22">
        <v>15</v>
      </c>
      <c r="AE16" s="22" t="s">
        <v>1330</v>
      </c>
      <c r="AF16" s="23"/>
      <c r="AG16" s="23"/>
      <c r="AH16" s="23"/>
      <c r="AI16" s="23"/>
      <c r="AJ16" s="23"/>
      <c r="AK16" s="22">
        <v>14</v>
      </c>
      <c r="AL16" s="24" t="str">
        <f>IF($AB$6="Rotary","1190E 72","")</f>
        <v>1190E 72</v>
      </c>
      <c r="AM16" s="22">
        <v>14</v>
      </c>
      <c r="AN16" s="80">
        <v>194</v>
      </c>
      <c r="AO16" s="225">
        <v>14</v>
      </c>
      <c r="AP16" s="80">
        <v>219</v>
      </c>
      <c r="AQ16" s="225">
        <v>14</v>
      </c>
      <c r="AR16" s="80">
        <v>229</v>
      </c>
      <c r="AS16" s="225">
        <v>14</v>
      </c>
      <c r="AT16" s="80">
        <v>244</v>
      </c>
      <c r="AU16" s="225">
        <v>14</v>
      </c>
      <c r="AV16" s="80">
        <v>254</v>
      </c>
      <c r="AW16" s="225">
        <v>14</v>
      </c>
      <c r="AX16" s="80">
        <v>260</v>
      </c>
      <c r="AY16" s="225">
        <v>14</v>
      </c>
      <c r="AZ16" s="80">
        <v>273</v>
      </c>
      <c r="BA16" s="36"/>
      <c r="BE16" s="22">
        <v>14</v>
      </c>
      <c r="BF16" s="24" t="str">
        <f>IF($AB$6="Rotary","1190E 72","")</f>
        <v>1190E 72</v>
      </c>
      <c r="BK16" s="22">
        <v>14</v>
      </c>
      <c r="BL16" s="22" t="s">
        <v>180</v>
      </c>
      <c r="BM16" s="22">
        <v>14</v>
      </c>
      <c r="BN16" s="22">
        <f>IF(BK2&gt;11,BJ2,"")</f>
        <v>2870</v>
      </c>
      <c r="BO16" s="22">
        <v>14</v>
      </c>
      <c r="BP16" s="28"/>
      <c r="BQ16" s="22">
        <v>14</v>
      </c>
      <c r="BR16" s="28"/>
      <c r="BS16" s="22">
        <v>14</v>
      </c>
      <c r="BT16" s="28"/>
      <c r="BX16" s="22">
        <v>14</v>
      </c>
      <c r="BY16" s="22" t="s">
        <v>180</v>
      </c>
      <c r="BZ16" s="22">
        <v>14</v>
      </c>
      <c r="CB16" s="22">
        <v>14</v>
      </c>
      <c r="CD16" s="22">
        <v>14</v>
      </c>
      <c r="CG16" s="22">
        <v>6</v>
      </c>
      <c r="CH16" s="24" t="s">
        <v>5</v>
      </c>
      <c r="CK16" s="22">
        <v>6</v>
      </c>
      <c r="CL16" s="22">
        <v>152</v>
      </c>
      <c r="CM16" s="22">
        <v>6</v>
      </c>
      <c r="CN16" s="22">
        <v>159</v>
      </c>
      <c r="CO16" s="22">
        <v>6</v>
      </c>
      <c r="CP16" s="22">
        <v>171</v>
      </c>
      <c r="CQ16" s="22">
        <v>6</v>
      </c>
      <c r="CR16" s="22">
        <v>200</v>
      </c>
      <c r="CS16" s="22">
        <v>6</v>
      </c>
      <c r="CT16" s="22">
        <v>216</v>
      </c>
      <c r="CU16" s="22">
        <v>6</v>
      </c>
      <c r="CV16" s="22">
        <v>229</v>
      </c>
      <c r="CW16" s="22">
        <v>6</v>
      </c>
      <c r="CX16" s="22">
        <v>251</v>
      </c>
      <c r="CY16" s="22">
        <v>6</v>
      </c>
      <c r="DB16" s="92">
        <f>IF(CR10=0,"",+CR10)</f>
        <v>279</v>
      </c>
      <c r="DG16" s="34" t="s">
        <v>66</v>
      </c>
      <c r="DH16" s="35">
        <f>IF(Calculator!E27="",+DE2*DH17*DT16/5,Calculator!E27)</f>
        <v>97672.07123476491</v>
      </c>
      <c r="DQ16" s="22">
        <v>2</v>
      </c>
      <c r="DR16" s="36" t="str">
        <f>LOOKUP(DQ16,DQ17:DR18)</f>
        <v>Charger</v>
      </c>
      <c r="DS16" s="22">
        <f>+CG2</f>
        <v>2</v>
      </c>
      <c r="DT16" s="36">
        <f>LOOKUP(DS16,DS17:DT18)</f>
        <v>1.1000000000000001</v>
      </c>
      <c r="EA16" s="22" t="s">
        <v>180</v>
      </c>
      <c r="EB16" s="24">
        <v>14</v>
      </c>
      <c r="EC16" s="22">
        <v>0</v>
      </c>
      <c r="ED16" s="24">
        <v>14</v>
      </c>
      <c r="EE16" s="22" t="s">
        <v>180</v>
      </c>
      <c r="EF16" s="24">
        <v>14</v>
      </c>
      <c r="EG16" s="24">
        <v>65</v>
      </c>
      <c r="EH16" s="24">
        <v>14</v>
      </c>
      <c r="EI16" s="24">
        <v>32.5</v>
      </c>
      <c r="EJ16" s="24">
        <v>14</v>
      </c>
      <c r="EK16" s="24">
        <v>0</v>
      </c>
      <c r="EL16" s="94">
        <f>IF((+Calculator!$D$22+Calculator!$D$25)-'Calc. Sdk'!EG16-('Calc. Sdk'!EI16*'Calc. Sdk'!EK16)&gt;0,"Too deep",+'Calc. Sdk'!EM16)</f>
        <v>-1</v>
      </c>
      <c r="EM16" s="76">
        <f>ROUNDUP((Calculator!$D$22+Calculator!$D$25-'Calc. Sdk'!EG16)/'Calc. Sdk'!EI16,0)</f>
        <v>-1</v>
      </c>
      <c r="EO16" s="24">
        <v>14</v>
      </c>
      <c r="EP16" s="22" t="s">
        <v>180</v>
      </c>
      <c r="EQ16" s="24">
        <v>14</v>
      </c>
      <c r="ER16" s="24">
        <v>75</v>
      </c>
      <c r="ES16" s="24">
        <v>14</v>
      </c>
      <c r="ET16" s="24">
        <v>98</v>
      </c>
      <c r="EU16" s="24">
        <v>14</v>
      </c>
      <c r="EV16" s="81">
        <v>4</v>
      </c>
      <c r="EX16" s="108">
        <f>EX12*EX9</f>
        <v>4.0259576739114546</v>
      </c>
      <c r="FA16" s="22">
        <v>14</v>
      </c>
      <c r="FB16" s="22" t="s">
        <v>180</v>
      </c>
      <c r="FC16" s="22">
        <v>14</v>
      </c>
      <c r="FD16" s="22">
        <v>110000</v>
      </c>
      <c r="FE16" s="22">
        <v>14</v>
      </c>
      <c r="FF16" s="109">
        <f t="shared" si="0"/>
        <v>6661.8026919001331</v>
      </c>
      <c r="FO16" s="22" t="s">
        <v>192</v>
      </c>
      <c r="FP16" s="22" t="s">
        <v>191</v>
      </c>
      <c r="FQ16" s="22" t="s">
        <v>194</v>
      </c>
      <c r="FR16" s="22" t="s">
        <v>195</v>
      </c>
      <c r="FS16" s="22" t="s">
        <v>196</v>
      </c>
      <c r="FY16" s="22">
        <v>50000</v>
      </c>
    </row>
    <row r="17" spans="30:184" x14ac:dyDescent="0.25">
      <c r="AD17" s="22">
        <v>16</v>
      </c>
      <c r="AE17" s="22" t="s">
        <v>1331</v>
      </c>
      <c r="AK17" s="22">
        <v>15</v>
      </c>
      <c r="AL17" s="24" t="str">
        <f>IF($AB$6="Rotary","DR412i MP",IF($AB$6="DTH","DR412i MP",""))</f>
        <v>DR412i MP</v>
      </c>
      <c r="AM17" s="22">
        <v>15</v>
      </c>
      <c r="AN17" s="80">
        <v>178</v>
      </c>
      <c r="AO17" s="225">
        <v>15</v>
      </c>
      <c r="AP17" s="80">
        <v>194</v>
      </c>
      <c r="AQ17" s="225">
        <v>15</v>
      </c>
      <c r="AR17" s="80">
        <v>203</v>
      </c>
      <c r="AS17" s="225">
        <v>15</v>
      </c>
      <c r="AT17" s="80">
        <v>219</v>
      </c>
      <c r="AU17" s="225">
        <v>15</v>
      </c>
      <c r="AV17" s="80"/>
      <c r="AW17" s="225">
        <v>15</v>
      </c>
      <c r="AX17" s="80"/>
      <c r="AY17" s="225">
        <v>15</v>
      </c>
      <c r="AZ17" s="80"/>
      <c r="BA17" s="36"/>
      <c r="BE17" s="22">
        <v>15</v>
      </c>
      <c r="BF17" s="24" t="str">
        <f>IF($AB$6="Rotary","DR412i MP",IF($AB$6="DTH","DR412i MP",""))</f>
        <v>DR412i MP</v>
      </c>
      <c r="BK17" s="22">
        <v>15</v>
      </c>
      <c r="BL17" s="22" t="s">
        <v>1330</v>
      </c>
      <c r="BM17" s="22">
        <v>15</v>
      </c>
      <c r="BN17" s="22">
        <v>1600</v>
      </c>
      <c r="BO17" s="22">
        <v>15</v>
      </c>
      <c r="BP17" s="22">
        <v>2000</v>
      </c>
      <c r="BQ17" s="22">
        <v>15</v>
      </c>
      <c r="BS17" s="22">
        <v>15</v>
      </c>
      <c r="BX17" s="22">
        <v>15</v>
      </c>
      <c r="BY17" s="22" t="s">
        <v>1330</v>
      </c>
      <c r="BZ17" s="22">
        <v>15</v>
      </c>
      <c r="CA17" s="22">
        <v>1450</v>
      </c>
      <c r="CB17" s="22">
        <v>15</v>
      </c>
      <c r="CD17" s="22">
        <v>15</v>
      </c>
      <c r="CG17" s="22">
        <v>7</v>
      </c>
      <c r="CH17" s="24" t="s">
        <v>6</v>
      </c>
      <c r="CK17" s="22">
        <v>7</v>
      </c>
      <c r="CL17" s="22">
        <v>200</v>
      </c>
      <c r="CM17" s="22">
        <v>7</v>
      </c>
      <c r="CN17" s="22">
        <v>216</v>
      </c>
      <c r="CO17" s="22">
        <v>7</v>
      </c>
      <c r="CP17" s="22">
        <v>229</v>
      </c>
      <c r="CQ17" s="22">
        <v>7</v>
      </c>
      <c r="CR17" s="22">
        <v>251</v>
      </c>
      <c r="CS17" s="22">
        <v>7</v>
      </c>
      <c r="CU17" s="22">
        <v>7</v>
      </c>
      <c r="CW17" s="22">
        <v>7</v>
      </c>
      <c r="CY17" s="22">
        <v>7</v>
      </c>
      <c r="DB17" s="92">
        <f>IF(CT10=0,"",+CT10)</f>
        <v>311</v>
      </c>
      <c r="DG17" s="34" t="s">
        <v>67</v>
      </c>
      <c r="DH17" s="107">
        <f>+DG9</f>
        <v>36259.435974320782</v>
      </c>
      <c r="DL17" s="22" t="s">
        <v>131</v>
      </c>
      <c r="DM17" s="22">
        <f>+DM11/DM15</f>
        <v>993583.1307849529</v>
      </c>
      <c r="DQ17" s="22">
        <v>1</v>
      </c>
      <c r="DR17" s="22" t="s">
        <v>72</v>
      </c>
      <c r="DS17" s="22">
        <v>1</v>
      </c>
      <c r="DT17" s="22">
        <v>1</v>
      </c>
      <c r="EA17" s="22" t="s">
        <v>1330</v>
      </c>
      <c r="EB17" s="24">
        <v>15</v>
      </c>
      <c r="EC17" s="22">
        <v>0.35</v>
      </c>
      <c r="ED17" s="24">
        <v>15</v>
      </c>
      <c r="EE17" s="22" t="s">
        <v>1330</v>
      </c>
      <c r="EF17" s="24">
        <v>15</v>
      </c>
      <c r="EG17" s="22">
        <v>40.6</v>
      </c>
      <c r="EH17" s="24">
        <v>15</v>
      </c>
      <c r="EI17" s="22">
        <v>42</v>
      </c>
      <c r="EJ17" s="24">
        <v>15</v>
      </c>
      <c r="EK17" s="22">
        <v>5</v>
      </c>
      <c r="EL17" s="94">
        <f>IF((+Calculator!$D$22+Calculator!$D$25)-'Calc. Sdk'!EG17-('Calc. Sdk'!EI17*'Calc. Sdk'!EK17)&gt;0,"Too deep",+'Calc. Sdk'!EM17)</f>
        <v>1</v>
      </c>
      <c r="EM17" s="76">
        <f>ROUNDUP((Calculator!$D$22+Calculator!$D$25-'Calc. Sdk'!EG17)/'Calc. Sdk'!EI17,0)</f>
        <v>1</v>
      </c>
      <c r="EO17" s="24">
        <v>15</v>
      </c>
      <c r="EP17" s="22" t="s">
        <v>1330</v>
      </c>
      <c r="EQ17" s="24">
        <v>15</v>
      </c>
      <c r="ER17" s="22">
        <v>68</v>
      </c>
      <c r="ES17" s="24">
        <v>15</v>
      </c>
      <c r="ET17" s="22">
        <v>176</v>
      </c>
      <c r="EU17" s="24">
        <v>15</v>
      </c>
      <c r="EV17" s="22">
        <v>1.2</v>
      </c>
      <c r="FA17" s="24">
        <v>15</v>
      </c>
      <c r="FB17" s="22" t="s">
        <v>1330</v>
      </c>
      <c r="FC17" s="24">
        <v>15</v>
      </c>
      <c r="FD17" s="22">
        <v>80000</v>
      </c>
      <c r="FE17" s="24">
        <v>15</v>
      </c>
      <c r="FF17" s="109">
        <f t="shared" si="0"/>
        <v>4002.2798153540271</v>
      </c>
      <c r="FN17" s="22">
        <v>1</v>
      </c>
      <c r="FO17" s="24" t="s">
        <v>0</v>
      </c>
      <c r="FP17" s="22">
        <v>146</v>
      </c>
      <c r="FQ17" s="22">
        <v>5</v>
      </c>
      <c r="FR17" s="22">
        <v>7.875</v>
      </c>
      <c r="FS17" s="22">
        <v>45000</v>
      </c>
      <c r="FY17" s="22">
        <v>60000</v>
      </c>
    </row>
    <row r="18" spans="30:184" x14ac:dyDescent="0.25">
      <c r="AD18" s="22">
        <v>17</v>
      </c>
      <c r="AE18" s="22" t="s">
        <v>1320</v>
      </c>
      <c r="AK18" s="22">
        <v>16</v>
      </c>
      <c r="AL18" s="24" t="str">
        <f>IF($AB$6="Rotary","DR412i SP",IF($AB$6="DTH","DR412i SP",""))</f>
        <v>DR412i SP</v>
      </c>
      <c r="AM18" s="22">
        <v>16</v>
      </c>
      <c r="AN18" s="80">
        <v>178</v>
      </c>
      <c r="AO18" s="225">
        <v>16</v>
      </c>
      <c r="AP18" s="80">
        <v>194</v>
      </c>
      <c r="AQ18" s="225">
        <v>16</v>
      </c>
      <c r="AR18" s="80">
        <v>203</v>
      </c>
      <c r="AS18" s="225">
        <v>16</v>
      </c>
      <c r="AT18" s="80">
        <v>219</v>
      </c>
      <c r="AU18" s="225">
        <v>16</v>
      </c>
      <c r="AV18" s="80">
        <v>245</v>
      </c>
      <c r="AW18" s="225">
        <v>16</v>
      </c>
      <c r="AX18" s="80"/>
      <c r="AY18" s="225">
        <v>16</v>
      </c>
      <c r="AZ18" s="80"/>
      <c r="BA18" s="36"/>
      <c r="BE18" s="22">
        <v>16</v>
      </c>
      <c r="BF18" s="24" t="str">
        <f>IF($AB$6="Rotary","DR412i SP",IF($AB$6="DTH","DR412i SP",""))</f>
        <v>DR412i SP</v>
      </c>
      <c r="BK18" s="22">
        <v>16</v>
      </c>
      <c r="BL18" s="22" t="s">
        <v>1331</v>
      </c>
      <c r="BM18" s="22">
        <v>16</v>
      </c>
      <c r="BN18" s="22">
        <v>1600</v>
      </c>
      <c r="BO18" s="22">
        <v>16</v>
      </c>
      <c r="BP18" s="22">
        <v>2000</v>
      </c>
      <c r="BQ18" s="22">
        <v>16</v>
      </c>
      <c r="BS18" s="22">
        <v>16</v>
      </c>
      <c r="BX18" s="22">
        <v>16</v>
      </c>
      <c r="BY18" s="22" t="s">
        <v>1331</v>
      </c>
      <c r="BZ18" s="22">
        <v>16</v>
      </c>
      <c r="CA18" s="22">
        <v>1450</v>
      </c>
      <c r="CB18" s="22">
        <v>16</v>
      </c>
      <c r="CD18" s="22">
        <v>16</v>
      </c>
      <c r="CG18" s="22">
        <v>8</v>
      </c>
      <c r="CH18" s="24" t="s">
        <v>7</v>
      </c>
      <c r="CK18" s="22">
        <v>8</v>
      </c>
      <c r="CL18" s="22">
        <v>229</v>
      </c>
      <c r="CM18" s="22">
        <v>8</v>
      </c>
      <c r="CN18" s="22">
        <v>251</v>
      </c>
      <c r="CO18" s="22">
        <v>8</v>
      </c>
      <c r="CP18" s="22">
        <v>270</v>
      </c>
      <c r="CQ18" s="22">
        <v>8</v>
      </c>
      <c r="CR18" s="22">
        <v>279</v>
      </c>
      <c r="CS18" s="22">
        <v>8</v>
      </c>
      <c r="CU18" s="22">
        <v>8</v>
      </c>
      <c r="CW18" s="22">
        <v>8</v>
      </c>
      <c r="CY18" s="22">
        <v>8</v>
      </c>
      <c r="DB18" s="92" t="str">
        <f>IF(CV10=0,"",+CV10)</f>
        <v/>
      </c>
      <c r="DG18" s="34" t="s">
        <v>68</v>
      </c>
      <c r="DH18" s="108">
        <f>DE2</f>
        <v>12.244094488188978</v>
      </c>
      <c r="DQ18" s="22">
        <v>2</v>
      </c>
      <c r="DR18" s="22" t="s">
        <v>73</v>
      </c>
      <c r="DS18" s="22">
        <v>2</v>
      </c>
      <c r="DT18" s="22">
        <v>1.1000000000000001</v>
      </c>
      <c r="EA18" s="22" t="s">
        <v>1331</v>
      </c>
      <c r="EB18" s="24">
        <v>16</v>
      </c>
      <c r="EC18" s="22">
        <v>0.35</v>
      </c>
      <c r="ED18" s="24">
        <v>16</v>
      </c>
      <c r="EE18" s="22" t="s">
        <v>1331</v>
      </c>
      <c r="EF18" s="24">
        <v>16</v>
      </c>
      <c r="EG18" s="22">
        <v>59</v>
      </c>
      <c r="EH18" s="24">
        <v>16</v>
      </c>
      <c r="EI18" s="22">
        <v>25</v>
      </c>
      <c r="EJ18" s="24">
        <v>16</v>
      </c>
      <c r="EK18" s="22">
        <v>2</v>
      </c>
      <c r="EL18" s="94">
        <f>IF((+Calculator!$D$22+Calculator!$D$25)-'Calc. Sdk'!EG18-('Calc. Sdk'!EI18*'Calc. Sdk'!EK18)&gt;0,"Too deep",+'Calc. Sdk'!EM18)</f>
        <v>1</v>
      </c>
      <c r="EM18" s="76">
        <f>ROUNDUP((Calculator!$D$22+Calculator!$D$25-'Calc. Sdk'!EG18)/'Calc. Sdk'!EI18,0)</f>
        <v>1</v>
      </c>
      <c r="EO18" s="24">
        <v>16</v>
      </c>
      <c r="EP18" s="22" t="s">
        <v>1331</v>
      </c>
      <c r="EQ18" s="24">
        <v>16</v>
      </c>
      <c r="ER18" s="22">
        <v>144</v>
      </c>
      <c r="ES18" s="24">
        <v>16</v>
      </c>
      <c r="ET18" s="22">
        <v>144</v>
      </c>
      <c r="EU18" s="24">
        <v>16</v>
      </c>
      <c r="EV18" s="22">
        <v>2</v>
      </c>
      <c r="EW18" s="22" t="s">
        <v>301</v>
      </c>
      <c r="EX18" s="22">
        <f>Calculator!D21</f>
        <v>18</v>
      </c>
      <c r="EY18" s="22" t="s">
        <v>119</v>
      </c>
      <c r="FA18" s="24">
        <v>16</v>
      </c>
      <c r="FB18" s="22" t="s">
        <v>1331</v>
      </c>
      <c r="FC18" s="24">
        <v>16</v>
      </c>
      <c r="FD18" s="22">
        <v>80000</v>
      </c>
      <c r="FE18" s="24">
        <v>16</v>
      </c>
      <c r="FF18" s="109">
        <f t="shared" ref="FF18:FF23" si="3">4.95*$DD$2*$DH$20*(FD18/1000)^1.6/$DG$9</f>
        <v>4002.2798153540271</v>
      </c>
      <c r="FN18" s="22">
        <v>5</v>
      </c>
      <c r="FO18" s="24" t="s">
        <v>174</v>
      </c>
      <c r="FP18" s="22">
        <v>194</v>
      </c>
      <c r="FQ18" s="22">
        <v>6</v>
      </c>
      <c r="FR18" s="22">
        <v>9.875</v>
      </c>
      <c r="FS18" s="22">
        <v>50000</v>
      </c>
      <c r="FY18" s="22">
        <v>70000</v>
      </c>
    </row>
    <row r="19" spans="30:184" x14ac:dyDescent="0.25">
      <c r="AD19" s="22">
        <v>18</v>
      </c>
      <c r="AE19" s="22" t="s">
        <v>187</v>
      </c>
      <c r="AK19" s="22">
        <v>17</v>
      </c>
      <c r="AL19" s="24" t="str">
        <f>IF($AB$6="DTH","DR540","")</f>
        <v/>
      </c>
      <c r="AM19" s="22">
        <v>17</v>
      </c>
      <c r="AN19" s="80">
        <v>89</v>
      </c>
      <c r="AO19" s="225">
        <v>17</v>
      </c>
      <c r="AP19" s="225">
        <v>102</v>
      </c>
      <c r="AQ19" s="225">
        <v>17</v>
      </c>
      <c r="AR19" s="225">
        <v>114</v>
      </c>
      <c r="AS19" s="225">
        <v>17</v>
      </c>
      <c r="AT19" s="225">
        <v>127</v>
      </c>
      <c r="AU19" s="225">
        <v>17</v>
      </c>
      <c r="AV19" s="225">
        <v>140</v>
      </c>
      <c r="AW19" s="225">
        <v>17</v>
      </c>
      <c r="AX19" s="225"/>
      <c r="AY19" s="225">
        <v>17</v>
      </c>
      <c r="AZ19" s="225"/>
      <c r="BA19" s="36"/>
      <c r="BE19" s="22">
        <v>17</v>
      </c>
      <c r="BF19" s="24" t="str">
        <f>IF($AB$6="DTH","DR540","")</f>
        <v/>
      </c>
      <c r="BK19" s="22">
        <v>17</v>
      </c>
      <c r="BL19" s="22" t="s">
        <v>190</v>
      </c>
      <c r="BM19" s="22">
        <v>17</v>
      </c>
      <c r="BN19" s="22">
        <v>600</v>
      </c>
      <c r="BO19" s="22">
        <v>17</v>
      </c>
      <c r="BX19" s="22">
        <v>17</v>
      </c>
      <c r="BY19" s="22" t="s">
        <v>1320</v>
      </c>
      <c r="BZ19" s="22">
        <v>17</v>
      </c>
      <c r="CA19" s="22">
        <v>900</v>
      </c>
      <c r="CB19" s="22">
        <v>17</v>
      </c>
      <c r="CC19" s="22">
        <v>1050</v>
      </c>
      <c r="CD19" s="22">
        <v>17</v>
      </c>
      <c r="CF19" s="22">
        <v>17</v>
      </c>
      <c r="CG19" s="22">
        <v>9</v>
      </c>
      <c r="CH19" s="24" t="s">
        <v>183</v>
      </c>
      <c r="CK19" s="22">
        <v>9</v>
      </c>
      <c r="CL19" s="22">
        <v>229</v>
      </c>
      <c r="CM19" s="22">
        <v>9</v>
      </c>
      <c r="CN19" s="22">
        <v>251</v>
      </c>
      <c r="CO19" s="22">
        <v>9</v>
      </c>
      <c r="CP19" s="22">
        <v>270</v>
      </c>
      <c r="CQ19" s="22">
        <v>9</v>
      </c>
      <c r="CR19" s="22">
        <v>279</v>
      </c>
      <c r="CS19" s="22">
        <v>9</v>
      </c>
      <c r="CU19" s="22">
        <v>9</v>
      </c>
      <c r="CW19" s="22">
        <v>9</v>
      </c>
      <c r="CX19" s="22">
        <v>216</v>
      </c>
      <c r="CY19" s="22">
        <v>9</v>
      </c>
      <c r="DB19" s="92" t="str">
        <f>IF(CX10=0,"",+CX10)</f>
        <v/>
      </c>
      <c r="DG19" s="34" t="s">
        <v>69</v>
      </c>
      <c r="DH19" s="109">
        <f>+(4.95*DH18*DH20*(DH16/1000)^1.6)/DH17</f>
        <v>216.85147911779663</v>
      </c>
      <c r="EA19" s="22" t="s">
        <v>1320</v>
      </c>
      <c r="EB19" s="22">
        <v>17</v>
      </c>
      <c r="EC19" s="22">
        <v>0.2</v>
      </c>
      <c r="ED19" s="22">
        <v>17</v>
      </c>
      <c r="EE19" s="22" t="s">
        <v>1320</v>
      </c>
      <c r="EF19" s="22">
        <v>17</v>
      </c>
      <c r="EG19" s="22">
        <v>21.3</v>
      </c>
      <c r="EH19" s="22">
        <v>17</v>
      </c>
      <c r="EI19" s="22">
        <v>20</v>
      </c>
      <c r="EJ19" s="22">
        <v>17</v>
      </c>
      <c r="EK19" s="22">
        <f>IF($BB$2=5.5,$EK$25,IF($BB$2=3.5,$EL$25,IF($BB$2=4,$EM$25,6)))</f>
        <v>6</v>
      </c>
      <c r="EL19" s="94">
        <f>IF((+Calculator!$D$22+Calculator!$D$25)-'Calc. Sdk'!EG19-('Calc. Sdk'!EI19*'Calc. Sdk'!EK19)&gt;0,"Too deep",+'Calc. Sdk'!EM19)</f>
        <v>2</v>
      </c>
      <c r="EM19" s="76">
        <f>ROUNDUP((Calculator!$D$22+Calculator!$D$25-'Calc. Sdk'!EG19)/'Calc. Sdk'!EI19,0)</f>
        <v>2</v>
      </c>
      <c r="EO19" s="24">
        <v>17</v>
      </c>
      <c r="EP19" s="22" t="s">
        <v>1320</v>
      </c>
      <c r="EQ19" s="24">
        <v>17</v>
      </c>
      <c r="ER19" s="22">
        <v>257</v>
      </c>
      <c r="ES19" s="24">
        <v>17</v>
      </c>
      <c r="ET19" s="22">
        <v>257</v>
      </c>
      <c r="EU19" s="24">
        <v>17</v>
      </c>
      <c r="EV19" s="22">
        <v>1</v>
      </c>
      <c r="EW19" s="22" t="s">
        <v>302</v>
      </c>
      <c r="EX19" s="108">
        <f>Calculator!D24</f>
        <v>0</v>
      </c>
      <c r="EY19" s="22" t="s">
        <v>119</v>
      </c>
      <c r="FA19" s="22">
        <v>17</v>
      </c>
      <c r="FB19" s="22" t="s">
        <v>1320</v>
      </c>
      <c r="FC19" s="22">
        <v>17</v>
      </c>
      <c r="FD19" s="22">
        <v>10600</v>
      </c>
      <c r="FE19" s="22">
        <v>17</v>
      </c>
      <c r="FF19" s="109">
        <f t="shared" si="3"/>
        <v>157.70768394940487</v>
      </c>
      <c r="FN19" s="22">
        <v>6</v>
      </c>
      <c r="FO19" s="24" t="s">
        <v>175</v>
      </c>
      <c r="FP19" s="22">
        <v>194</v>
      </c>
      <c r="FQ19" s="22">
        <v>6</v>
      </c>
      <c r="FR19" s="22">
        <v>9.875</v>
      </c>
      <c r="FS19" s="22">
        <v>50000</v>
      </c>
    </row>
    <row r="20" spans="30:184" x14ac:dyDescent="0.25">
      <c r="AD20" s="22">
        <v>19</v>
      </c>
      <c r="AE20" s="22" t="s">
        <v>188</v>
      </c>
      <c r="AK20" s="22">
        <v>18</v>
      </c>
      <c r="AL20" s="24" t="str">
        <f>IF($AB$6="DTH","DR560","")</f>
        <v/>
      </c>
      <c r="AM20" s="22">
        <v>18</v>
      </c>
      <c r="AN20" s="80">
        <v>89</v>
      </c>
      <c r="AO20" s="225">
        <v>18</v>
      </c>
      <c r="AP20" s="80">
        <v>102</v>
      </c>
      <c r="AQ20" s="225">
        <v>18</v>
      </c>
      <c r="AR20" s="80">
        <v>114</v>
      </c>
      <c r="AS20" s="225">
        <v>18</v>
      </c>
      <c r="AT20" s="80">
        <v>127</v>
      </c>
      <c r="AU20" s="225">
        <v>18</v>
      </c>
      <c r="AV20" s="80">
        <v>140</v>
      </c>
      <c r="AW20" s="225">
        <v>18</v>
      </c>
      <c r="AX20" s="80"/>
      <c r="AY20" s="225">
        <v>18</v>
      </c>
      <c r="AZ20" s="80"/>
      <c r="BA20" s="36"/>
      <c r="BE20" s="22">
        <v>18</v>
      </c>
      <c r="BF20" s="24" t="str">
        <f>IF($AB$6="DTH","DR560","")</f>
        <v/>
      </c>
      <c r="BK20" s="22">
        <v>18</v>
      </c>
      <c r="BL20" s="22" t="s">
        <v>1332</v>
      </c>
      <c r="BM20" s="22">
        <v>18</v>
      </c>
      <c r="BN20" s="22">
        <v>3850</v>
      </c>
      <c r="BO20" s="22">
        <v>18</v>
      </c>
      <c r="BX20" s="22">
        <v>18</v>
      </c>
      <c r="BY20" s="22" t="s">
        <v>187</v>
      </c>
      <c r="BZ20" s="22">
        <v>18</v>
      </c>
      <c r="CA20" s="22">
        <v>1150</v>
      </c>
      <c r="CB20" s="22">
        <v>18</v>
      </c>
      <c r="CC20" s="22">
        <v>1350</v>
      </c>
      <c r="CD20" s="22">
        <v>18</v>
      </c>
      <c r="CF20" s="22">
        <v>18</v>
      </c>
      <c r="CG20" s="22">
        <v>10</v>
      </c>
      <c r="CH20" s="22" t="s">
        <v>184</v>
      </c>
      <c r="CK20" s="22">
        <v>10</v>
      </c>
      <c r="CL20" s="22">
        <v>229</v>
      </c>
      <c r="CM20" s="22">
        <v>10</v>
      </c>
      <c r="CN20" s="22">
        <v>251</v>
      </c>
      <c r="CO20" s="22">
        <v>10</v>
      </c>
      <c r="CP20" s="22">
        <v>270</v>
      </c>
      <c r="CQ20" s="22">
        <v>10</v>
      </c>
      <c r="CR20" s="22">
        <v>279</v>
      </c>
      <c r="CS20" s="22">
        <v>10</v>
      </c>
      <c r="CU20" s="22">
        <v>10</v>
      </c>
      <c r="CW20" s="22">
        <v>10</v>
      </c>
      <c r="CX20" s="22">
        <v>216</v>
      </c>
      <c r="CY20" s="22">
        <v>10</v>
      </c>
      <c r="DB20" s="92" t="str">
        <f>IF(CZ10=0,"",+CZ10)</f>
        <v/>
      </c>
      <c r="DG20" s="34" t="s">
        <v>70</v>
      </c>
      <c r="DH20" s="109">
        <f>+Calculator!I27</f>
        <v>85</v>
      </c>
      <c r="DK20" s="110">
        <v>0.76455490000000004</v>
      </c>
      <c r="EA20" s="22" t="s">
        <v>187</v>
      </c>
      <c r="EB20" s="24">
        <v>18</v>
      </c>
      <c r="EC20" s="22">
        <v>0.2</v>
      </c>
      <c r="ED20" s="24">
        <v>18</v>
      </c>
      <c r="EE20" s="22" t="s">
        <v>187</v>
      </c>
      <c r="EF20" s="24">
        <v>18</v>
      </c>
      <c r="EG20" s="22">
        <v>21.3</v>
      </c>
      <c r="EH20" s="24">
        <v>18</v>
      </c>
      <c r="EI20" s="22">
        <v>20</v>
      </c>
      <c r="EJ20" s="24">
        <v>18</v>
      </c>
      <c r="EK20" s="22">
        <f>IF($BB$2=5.5,$EK$25,IF($BB$2=3.5,$EL$25,IF($BB$2=4,$EM$25,6)))</f>
        <v>6</v>
      </c>
      <c r="EL20" s="94">
        <f>IF((+Calculator!$D$22+Calculator!$D$25)-'Calc. Sdk'!EG20-('Calc. Sdk'!EI20*'Calc. Sdk'!EK20)&gt;0,"Too deep",+'Calc. Sdk'!EM20)</f>
        <v>2</v>
      </c>
      <c r="EM20" s="76">
        <f>ROUNDUP((Calculator!$D$22+Calculator!$D$25-'Calc. Sdk'!EG20)/'Calc. Sdk'!EI20,0)</f>
        <v>2</v>
      </c>
      <c r="EO20" s="24">
        <v>18</v>
      </c>
      <c r="EP20" s="22" t="s">
        <v>187</v>
      </c>
      <c r="EQ20" s="24">
        <v>18</v>
      </c>
      <c r="ER20" s="22">
        <v>257</v>
      </c>
      <c r="ES20" s="24">
        <v>18</v>
      </c>
      <c r="ET20" s="22">
        <v>257</v>
      </c>
      <c r="EU20" s="24">
        <v>18</v>
      </c>
      <c r="EV20" s="22">
        <v>1</v>
      </c>
      <c r="FA20" s="24">
        <v>18</v>
      </c>
      <c r="FB20" s="22" t="s">
        <v>187</v>
      </c>
      <c r="FC20" s="24">
        <v>18</v>
      </c>
      <c r="FD20" s="22">
        <v>10600</v>
      </c>
      <c r="FE20" s="24">
        <v>18</v>
      </c>
      <c r="FF20" s="109">
        <f t="shared" si="3"/>
        <v>157.70768394940487</v>
      </c>
      <c r="FN20" s="22">
        <v>7</v>
      </c>
      <c r="FO20" s="24" t="s">
        <v>6</v>
      </c>
      <c r="FP20" s="22">
        <v>145</v>
      </c>
      <c r="FQ20" s="22">
        <v>7.875</v>
      </c>
      <c r="FR20" s="22">
        <v>9.875</v>
      </c>
      <c r="FS20" s="22">
        <v>55000</v>
      </c>
      <c r="FW20" s="148" t="s">
        <v>215</v>
      </c>
      <c r="GB20" s="149" t="s">
        <v>1318</v>
      </c>
    </row>
    <row r="21" spans="30:184" x14ac:dyDescent="0.25">
      <c r="AD21" s="22">
        <v>20</v>
      </c>
      <c r="AE21" s="22" t="s">
        <v>190</v>
      </c>
      <c r="AK21" s="22">
        <v>19</v>
      </c>
      <c r="AL21" s="24" t="str">
        <f>IF($AB$6="DTH","DR580","")</f>
        <v/>
      </c>
      <c r="AM21" s="22">
        <v>19</v>
      </c>
      <c r="AN21" s="80">
        <v>89</v>
      </c>
      <c r="AO21" s="225">
        <v>19</v>
      </c>
      <c r="AP21" s="80">
        <v>102</v>
      </c>
      <c r="AQ21" s="225">
        <v>19</v>
      </c>
      <c r="AR21" s="80">
        <v>114</v>
      </c>
      <c r="AS21" s="225">
        <v>19</v>
      </c>
      <c r="AT21" s="80">
        <v>127</v>
      </c>
      <c r="AU21" s="225">
        <v>19</v>
      </c>
      <c r="AV21" s="80">
        <v>140</v>
      </c>
      <c r="AW21" s="225">
        <v>19</v>
      </c>
      <c r="AX21" s="80"/>
      <c r="AY21" s="225">
        <v>19</v>
      </c>
      <c r="AZ21" s="80"/>
      <c r="BA21" s="36"/>
      <c r="BE21" s="22">
        <v>19</v>
      </c>
      <c r="BF21" s="24" t="str">
        <f>IF($AB$6="DTH","DR580","")</f>
        <v/>
      </c>
      <c r="BX21" s="22">
        <v>19</v>
      </c>
      <c r="BY21" s="22" t="s">
        <v>188</v>
      </c>
      <c r="BZ21" s="22">
        <v>19</v>
      </c>
      <c r="CA21" s="22">
        <v>1350</v>
      </c>
      <c r="CB21" s="22">
        <v>19</v>
      </c>
      <c r="CC21" s="22">
        <v>1575</v>
      </c>
      <c r="CD21" s="22">
        <v>19</v>
      </c>
      <c r="CG21" s="22">
        <v>11</v>
      </c>
      <c r="CH21" s="24" t="s">
        <v>8</v>
      </c>
      <c r="CK21" s="22">
        <v>11</v>
      </c>
      <c r="CL21" s="22">
        <v>229</v>
      </c>
      <c r="CM21" s="22">
        <v>11</v>
      </c>
      <c r="CN21" s="22">
        <v>251</v>
      </c>
      <c r="CO21" s="22">
        <v>11</v>
      </c>
      <c r="CP21" s="22">
        <v>270</v>
      </c>
      <c r="CQ21" s="22">
        <v>11</v>
      </c>
      <c r="CR21" s="22">
        <v>279</v>
      </c>
      <c r="CS21" s="22">
        <v>11</v>
      </c>
      <c r="CT21" s="22">
        <v>286</v>
      </c>
      <c r="CU21" s="22">
        <v>11</v>
      </c>
      <c r="CV21" s="22">
        <v>311</v>
      </c>
      <c r="CW21" s="22">
        <v>11</v>
      </c>
      <c r="CY21" s="22">
        <v>11</v>
      </c>
      <c r="DG21" s="22" t="s">
        <v>90</v>
      </c>
      <c r="EA21" s="22" t="s">
        <v>188</v>
      </c>
      <c r="EB21" s="24">
        <v>19</v>
      </c>
      <c r="EC21" s="22">
        <v>0.2</v>
      </c>
      <c r="ED21" s="24">
        <v>19</v>
      </c>
      <c r="EE21" s="22" t="s">
        <v>188</v>
      </c>
      <c r="EF21" s="24">
        <v>19</v>
      </c>
      <c r="EG21" s="22">
        <v>21.3</v>
      </c>
      <c r="EH21" s="24">
        <v>19</v>
      </c>
      <c r="EI21" s="22">
        <v>20</v>
      </c>
      <c r="EJ21" s="24">
        <v>19</v>
      </c>
      <c r="EK21" s="22">
        <f>IF($BB$2=5.5,$EK$25,IF($BB$2=3.5,$EL$25,IF($BB$2=4,$EM$25,6)))</f>
        <v>6</v>
      </c>
      <c r="EL21" s="94">
        <f>IF((+Calculator!$D$22+Calculator!$D$25)-'Calc. Sdk'!EG21-('Calc. Sdk'!EI21*'Calc. Sdk'!EK21)&gt;0,"Too deep",+'Calc. Sdk'!EM21)</f>
        <v>2</v>
      </c>
      <c r="EM21" s="76">
        <f>ROUNDUP((Calculator!$D$22+Calculator!$D$25-'Calc. Sdk'!EG21)/'Calc. Sdk'!EI21,0)</f>
        <v>2</v>
      </c>
      <c r="EO21" s="22">
        <v>19</v>
      </c>
      <c r="EP21" s="22" t="s">
        <v>188</v>
      </c>
      <c r="EQ21" s="22">
        <v>19</v>
      </c>
      <c r="ER21" s="22">
        <v>257</v>
      </c>
      <c r="ES21" s="22">
        <v>19</v>
      </c>
      <c r="ET21" s="22">
        <v>257</v>
      </c>
      <c r="EU21" s="22">
        <v>19</v>
      </c>
      <c r="EV21" s="22">
        <v>1</v>
      </c>
      <c r="EX21" s="22">
        <f>SUM(EX18:EX19)</f>
        <v>18</v>
      </c>
      <c r="EY21" s="22" t="s">
        <v>119</v>
      </c>
      <c r="FA21" s="24">
        <v>19</v>
      </c>
      <c r="FB21" s="22" t="s">
        <v>188</v>
      </c>
      <c r="FC21" s="24">
        <v>19</v>
      </c>
      <c r="FD21" s="22">
        <v>10600</v>
      </c>
      <c r="FE21" s="24">
        <v>19</v>
      </c>
      <c r="FF21" s="109">
        <f t="shared" si="3"/>
        <v>157.70768394940487</v>
      </c>
      <c r="FN21" s="22">
        <v>8</v>
      </c>
      <c r="FO21" s="24" t="s">
        <v>176</v>
      </c>
      <c r="FP21" s="22">
        <v>144</v>
      </c>
      <c r="FQ21" s="22">
        <v>9</v>
      </c>
      <c r="FR21" s="22">
        <v>11</v>
      </c>
      <c r="FS21" s="22">
        <v>75000</v>
      </c>
      <c r="FW21" s="35">
        <f>DI10</f>
        <v>80000</v>
      </c>
    </row>
    <row r="22" spans="30:184" x14ac:dyDescent="0.25">
      <c r="AD22" s="22">
        <v>21</v>
      </c>
      <c r="AE22" s="22" t="s">
        <v>1332</v>
      </c>
      <c r="AK22" s="22">
        <v>20</v>
      </c>
      <c r="AL22" s="24" t="str">
        <f>IF($AB$6="Rotary","160D",IF($AB$6="DTH","160D",""))</f>
        <v>160D</v>
      </c>
      <c r="AM22" s="22">
        <v>20</v>
      </c>
      <c r="AN22" s="80">
        <v>127</v>
      </c>
      <c r="AO22" s="225">
        <v>20</v>
      </c>
      <c r="AP22" s="80"/>
      <c r="AQ22" s="225">
        <v>20</v>
      </c>
      <c r="AR22" s="80"/>
      <c r="AS22" s="225">
        <v>20</v>
      </c>
      <c r="AT22" s="80"/>
      <c r="AU22" s="225">
        <v>20</v>
      </c>
      <c r="AV22" s="80"/>
      <c r="AW22" s="225">
        <v>20</v>
      </c>
      <c r="AX22" s="80"/>
      <c r="AY22" s="225">
        <v>20</v>
      </c>
      <c r="AZ22" s="80"/>
      <c r="BA22" s="36"/>
      <c r="BE22" s="22">
        <v>20</v>
      </c>
      <c r="BF22" s="24" t="str">
        <f>IF($AB$6="Rotary","160D",IF($AB$6="DTH","160D",""))</f>
        <v>160D</v>
      </c>
      <c r="BK22" s="22" t="s">
        <v>50</v>
      </c>
      <c r="BX22" s="109">
        <v>20</v>
      </c>
      <c r="BY22" s="22" t="s">
        <v>190</v>
      </c>
      <c r="BZ22" s="109">
        <v>20</v>
      </c>
      <c r="CA22" s="22">
        <v>900.1</v>
      </c>
      <c r="CB22" s="109">
        <v>20</v>
      </c>
      <c r="CC22" s="22">
        <v>900</v>
      </c>
      <c r="CD22" s="109">
        <v>20</v>
      </c>
      <c r="CG22" s="22">
        <v>12</v>
      </c>
      <c r="CH22" s="24" t="s">
        <v>9</v>
      </c>
      <c r="CK22" s="22">
        <v>12</v>
      </c>
      <c r="CL22" s="22">
        <v>229</v>
      </c>
      <c r="CM22" s="22">
        <v>12</v>
      </c>
      <c r="CN22" s="22">
        <v>251</v>
      </c>
      <c r="CO22" s="22">
        <v>12</v>
      </c>
      <c r="CP22" s="22">
        <v>270</v>
      </c>
      <c r="CQ22" s="22">
        <v>12</v>
      </c>
      <c r="CR22" s="22">
        <v>279</v>
      </c>
      <c r="CS22" s="22">
        <v>12</v>
      </c>
      <c r="CT22" s="22">
        <v>286</v>
      </c>
      <c r="CU22" s="22">
        <v>12</v>
      </c>
      <c r="CV22" s="22">
        <v>311</v>
      </c>
      <c r="CW22" s="22">
        <v>12</v>
      </c>
      <c r="CY22" s="22">
        <v>12</v>
      </c>
      <c r="DG22" s="20">
        <v>5</v>
      </c>
      <c r="DH22" s="37">
        <f>LOOKUP(DG22,DG23:DH33)</f>
        <v>0.8</v>
      </c>
      <c r="EA22" s="22" t="s">
        <v>190</v>
      </c>
      <c r="EB22" s="22">
        <v>20</v>
      </c>
      <c r="EC22" s="22">
        <v>0.35</v>
      </c>
      <c r="ED22" s="22">
        <v>20</v>
      </c>
      <c r="EE22" s="22" t="s">
        <v>190</v>
      </c>
      <c r="EF22" s="22">
        <v>20</v>
      </c>
      <c r="EG22" s="22">
        <v>25</v>
      </c>
      <c r="EH22" s="22">
        <v>20</v>
      </c>
      <c r="EI22" s="22">
        <v>25</v>
      </c>
      <c r="EJ22" s="22">
        <v>20</v>
      </c>
      <c r="EK22" s="22">
        <v>3</v>
      </c>
      <c r="EL22" s="94">
        <f>IF((+Calculator!$D$22+Calculator!$D$25)-'Calc. Sdk'!EG22-('Calc. Sdk'!EI22*'Calc. Sdk'!EK22)&gt;0,"Too deep",+'Calc. Sdk'!EM22)</f>
        <v>2</v>
      </c>
      <c r="EM22" s="76">
        <f>ROUNDUP((Calculator!$D$22+Calculator!$D$25-'Calc. Sdk'!EG22)/'Calc. Sdk'!EI22,0)</f>
        <v>2</v>
      </c>
      <c r="EO22" s="22">
        <v>20</v>
      </c>
      <c r="EP22" s="22" t="s">
        <v>190</v>
      </c>
      <c r="EQ22" s="22">
        <v>20</v>
      </c>
      <c r="ER22" s="22">
        <v>68</v>
      </c>
      <c r="ES22" s="22">
        <v>20</v>
      </c>
      <c r="ET22" s="22">
        <v>147</v>
      </c>
      <c r="EU22" s="22">
        <v>20</v>
      </c>
      <c r="EV22" s="22">
        <v>1</v>
      </c>
      <c r="FA22" s="22">
        <v>20</v>
      </c>
      <c r="FB22" s="22" t="s">
        <v>190</v>
      </c>
      <c r="FC22" s="22">
        <v>20</v>
      </c>
      <c r="FD22" s="22">
        <v>30000</v>
      </c>
      <c r="FE22" s="22">
        <v>20</v>
      </c>
      <c r="FF22" s="109">
        <f t="shared" si="3"/>
        <v>833.21576210423621</v>
      </c>
      <c r="FN22" s="22">
        <v>9</v>
      </c>
      <c r="FO22" s="24" t="s">
        <v>182</v>
      </c>
      <c r="FP22" s="22">
        <v>160</v>
      </c>
      <c r="FQ22" s="22">
        <v>9</v>
      </c>
      <c r="FR22" s="22">
        <v>11</v>
      </c>
      <c r="FS22" s="22">
        <v>80000</v>
      </c>
      <c r="FW22" s="22" t="s">
        <v>216</v>
      </c>
    </row>
    <row r="23" spans="30:184" x14ac:dyDescent="0.25">
      <c r="AK23" s="22">
        <v>21</v>
      </c>
      <c r="AL23" s="24" t="str">
        <f>IF($AB$6="Rotary","DR416i","")</f>
        <v>DR416i</v>
      </c>
      <c r="AM23" s="22">
        <v>21</v>
      </c>
      <c r="AN23" s="80">
        <v>273</v>
      </c>
      <c r="AO23" s="225">
        <v>21</v>
      </c>
      <c r="AP23" s="80">
        <v>324</v>
      </c>
      <c r="AQ23" s="225">
        <v>21</v>
      </c>
      <c r="AR23" s="80"/>
      <c r="AS23" s="225">
        <v>21</v>
      </c>
      <c r="AT23" s="80"/>
      <c r="AU23" s="225">
        <v>21</v>
      </c>
      <c r="AV23" s="80"/>
      <c r="AW23" s="225">
        <v>21</v>
      </c>
      <c r="AX23" s="80"/>
      <c r="AY23" s="225">
        <v>21</v>
      </c>
      <c r="AZ23" s="80"/>
      <c r="BA23" s="36"/>
      <c r="BE23" s="22">
        <v>21</v>
      </c>
      <c r="BF23" s="24" t="str">
        <f>IF($AB$6="Rotary","DR416i","")</f>
        <v>DR416i</v>
      </c>
      <c r="BK23" s="27">
        <f>+BK2</f>
        <v>16</v>
      </c>
      <c r="BL23" s="26" t="str">
        <f>LOOKUP(BK23,BK24:BL43)</f>
        <v>DR412i SP</v>
      </c>
      <c r="BM23" s="26">
        <f>+BK2</f>
        <v>16</v>
      </c>
      <c r="BN23" s="28">
        <f>LOOKUP(BM23,BM24:BN43)</f>
        <v>100</v>
      </c>
      <c r="BO23" s="29">
        <f>+AK15</f>
        <v>13</v>
      </c>
      <c r="BX23" s="109">
        <v>21</v>
      </c>
      <c r="BY23" s="22" t="s">
        <v>1332</v>
      </c>
      <c r="BZ23" s="109">
        <v>21</v>
      </c>
      <c r="CB23" s="109">
        <v>21</v>
      </c>
      <c r="CD23" s="109">
        <v>21</v>
      </c>
      <c r="CG23" s="22">
        <v>13</v>
      </c>
      <c r="CH23" s="22" t="s">
        <v>178</v>
      </c>
      <c r="CK23" s="22">
        <v>13</v>
      </c>
      <c r="CL23" s="22">
        <v>229</v>
      </c>
      <c r="CM23" s="22">
        <v>13</v>
      </c>
      <c r="CN23" s="22">
        <v>251</v>
      </c>
      <c r="CO23" s="22">
        <v>13</v>
      </c>
      <c r="CP23" s="22">
        <v>270</v>
      </c>
      <c r="CQ23" s="22">
        <v>13</v>
      </c>
      <c r="CR23" s="22">
        <v>279</v>
      </c>
      <c r="CS23" s="22">
        <v>13</v>
      </c>
      <c r="CT23" s="22">
        <v>286</v>
      </c>
      <c r="CU23" s="22">
        <v>13</v>
      </c>
      <c r="CV23" s="22">
        <v>311</v>
      </c>
      <c r="CW23" s="22">
        <v>13</v>
      </c>
      <c r="CY23" s="22">
        <v>13</v>
      </c>
      <c r="DG23" s="22">
        <v>1</v>
      </c>
      <c r="DH23" s="111">
        <v>1</v>
      </c>
      <c r="DJ23" s="35"/>
      <c r="DR23" s="22" t="s">
        <v>154</v>
      </c>
      <c r="ED23" s="24">
        <v>21</v>
      </c>
      <c r="EE23" s="22" t="s">
        <v>1332</v>
      </c>
      <c r="EF23" s="22">
        <v>21</v>
      </c>
      <c r="EG23" s="22">
        <v>65</v>
      </c>
      <c r="EH23" s="22">
        <v>21</v>
      </c>
      <c r="EI23" s="22">
        <v>32.5</v>
      </c>
      <c r="EJ23" s="22">
        <v>21</v>
      </c>
      <c r="EK23" s="22">
        <v>0</v>
      </c>
      <c r="EL23" s="94">
        <f>IF((+Calculator!$D$22+Calculator!$D$25)-'Calc. Sdk'!EG23-('Calc. Sdk'!EI23*'Calc. Sdk'!EK23)&gt;0,"Too deep",+'Calc. Sdk'!EM23)</f>
        <v>-1</v>
      </c>
      <c r="EM23" s="76">
        <f>ROUNDUP((Calculator!$D$22+Calculator!$D$25-'Calc. Sdk'!EG23)/'Calc. Sdk'!EI23,0)</f>
        <v>-1</v>
      </c>
      <c r="EO23" s="22">
        <v>21</v>
      </c>
      <c r="EP23" s="22" t="s">
        <v>1332</v>
      </c>
      <c r="EQ23" s="22">
        <v>21</v>
      </c>
      <c r="ER23" s="22">
        <v>140</v>
      </c>
      <c r="ES23" s="22">
        <v>21</v>
      </c>
      <c r="ET23" s="22">
        <v>140</v>
      </c>
      <c r="EU23" s="22">
        <v>21</v>
      </c>
      <c r="EV23" s="22">
        <v>3</v>
      </c>
      <c r="EX23" s="22">
        <f>EX8/60</f>
        <v>4.4709859014766895</v>
      </c>
      <c r="FA23" s="22">
        <v>21</v>
      </c>
      <c r="FB23" s="22" t="s">
        <v>1332</v>
      </c>
      <c r="FC23" s="22">
        <v>21</v>
      </c>
      <c r="FD23" s="22">
        <v>120000</v>
      </c>
      <c r="FE23" s="22">
        <v>21</v>
      </c>
      <c r="FF23" s="109">
        <f t="shared" si="3"/>
        <v>7656.9086022938964</v>
      </c>
      <c r="FN23" s="22">
        <v>10</v>
      </c>
      <c r="FO23" s="22" t="s">
        <v>184</v>
      </c>
      <c r="FP23" s="22">
        <v>160</v>
      </c>
      <c r="FQ23" s="22">
        <v>9</v>
      </c>
      <c r="FR23" s="22">
        <v>11</v>
      </c>
      <c r="FS23" s="22">
        <v>80000</v>
      </c>
      <c r="FW23" s="92">
        <f>DD2/25.4</f>
        <v>12.244094488188978</v>
      </c>
    </row>
    <row r="24" spans="30:184" x14ac:dyDescent="0.25">
      <c r="AL24" s="24"/>
      <c r="AN24" s="80"/>
      <c r="AO24" s="225"/>
      <c r="AP24" s="80"/>
      <c r="AQ24" s="225"/>
      <c r="AR24" s="80"/>
      <c r="AS24" s="225"/>
      <c r="AT24" s="80"/>
      <c r="AU24" s="225"/>
      <c r="AV24" s="80"/>
      <c r="AW24" s="225"/>
      <c r="AX24" s="80"/>
      <c r="AY24" s="225"/>
      <c r="AZ24" s="80"/>
      <c r="BA24" s="36"/>
      <c r="BF24" s="24"/>
      <c r="BK24" s="22">
        <v>1</v>
      </c>
      <c r="BL24" s="24" t="s">
        <v>0</v>
      </c>
      <c r="BM24" s="22">
        <v>1</v>
      </c>
      <c r="BN24" s="22">
        <f>IF($AB$6="Rotary",100,350)</f>
        <v>100</v>
      </c>
      <c r="BO24" s="22">
        <v>1</v>
      </c>
      <c r="BX24" s="105"/>
      <c r="CG24" s="22">
        <v>14</v>
      </c>
      <c r="CH24" s="22" t="s">
        <v>180</v>
      </c>
      <c r="CK24" s="22">
        <v>14</v>
      </c>
      <c r="CL24" s="22">
        <v>229</v>
      </c>
      <c r="CM24" s="22">
        <v>14</v>
      </c>
      <c r="CN24" s="22">
        <v>251</v>
      </c>
      <c r="CO24" s="22">
        <v>14</v>
      </c>
      <c r="CP24" s="22">
        <v>270</v>
      </c>
      <c r="CQ24" s="22">
        <v>14</v>
      </c>
      <c r="CR24" s="22">
        <v>279</v>
      </c>
      <c r="CS24" s="22">
        <v>14</v>
      </c>
      <c r="CT24" s="22">
        <v>286</v>
      </c>
      <c r="CU24" s="22">
        <v>14</v>
      </c>
      <c r="CV24" s="22">
        <v>311</v>
      </c>
      <c r="CW24" s="22">
        <v>14</v>
      </c>
      <c r="CY24" s="22">
        <v>14</v>
      </c>
      <c r="DG24" s="22">
        <v>2</v>
      </c>
      <c r="DH24" s="111">
        <v>0.95</v>
      </c>
      <c r="DJ24" s="35"/>
      <c r="DR24" s="22" t="s">
        <v>155</v>
      </c>
      <c r="DS24" s="109">
        <f>+DI5</f>
        <v>4.0259576739114546</v>
      </c>
      <c r="DT24" s="22" t="s">
        <v>156</v>
      </c>
      <c r="EX24" s="22">
        <f>EX21/EX23</f>
        <v>4.0259576739114546</v>
      </c>
      <c r="FN24" s="22">
        <v>11</v>
      </c>
      <c r="FO24" s="24" t="s">
        <v>8</v>
      </c>
      <c r="FP24" s="22">
        <v>175</v>
      </c>
      <c r="FQ24" s="22">
        <v>9</v>
      </c>
      <c r="FR24" s="22">
        <v>12.25</v>
      </c>
      <c r="FS24" s="22">
        <v>110000</v>
      </c>
      <c r="FW24" s="22" t="s">
        <v>71</v>
      </c>
    </row>
    <row r="25" spans="30:184" x14ac:dyDescent="0.25">
      <c r="AL25" s="24"/>
      <c r="AN25" s="80"/>
      <c r="AO25" s="225"/>
      <c r="AP25" s="80"/>
      <c r="AQ25" s="225"/>
      <c r="AR25" s="80"/>
      <c r="AS25" s="225"/>
      <c r="AT25" s="80"/>
      <c r="AU25" s="225"/>
      <c r="AV25" s="80"/>
      <c r="AW25" s="225"/>
      <c r="AX25" s="80"/>
      <c r="AY25" s="225"/>
      <c r="AZ25" s="80"/>
      <c r="BA25" s="36"/>
      <c r="BF25" s="24"/>
      <c r="BK25" s="22">
        <v>2</v>
      </c>
      <c r="BL25" s="24" t="s">
        <v>1</v>
      </c>
      <c r="BM25" s="22">
        <v>2</v>
      </c>
      <c r="BN25" s="22">
        <f t="shared" ref="BN25:BN33" si="4">IF($AB$6="Rotary",100,350)</f>
        <v>100</v>
      </c>
      <c r="BO25" s="22">
        <v>2</v>
      </c>
      <c r="BX25" s="105"/>
      <c r="CG25" s="22">
        <v>15</v>
      </c>
      <c r="CH25" s="22" t="s">
        <v>1330</v>
      </c>
      <c r="CK25" s="22">
        <v>15</v>
      </c>
      <c r="CL25" s="22">
        <v>229</v>
      </c>
      <c r="CM25" s="22">
        <v>15</v>
      </c>
      <c r="CN25" s="22">
        <v>251</v>
      </c>
      <c r="CO25" s="22">
        <v>15</v>
      </c>
      <c r="CP25" s="22">
        <v>270</v>
      </c>
      <c r="CQ25" s="22">
        <v>15</v>
      </c>
      <c r="CR25" s="22">
        <v>279</v>
      </c>
      <c r="CS25" s="22">
        <v>15</v>
      </c>
      <c r="CU25" s="22">
        <v>15</v>
      </c>
      <c r="CW25" s="22">
        <v>15</v>
      </c>
      <c r="CY25" s="22">
        <v>15</v>
      </c>
      <c r="DG25" s="22">
        <v>3</v>
      </c>
      <c r="DH25" s="111">
        <v>0.9</v>
      </c>
      <c r="DJ25" s="35"/>
      <c r="DR25" s="22" t="s">
        <v>157</v>
      </c>
      <c r="DS25" s="22">
        <f>+Calculator!I22</f>
        <v>22.965879265091861</v>
      </c>
      <c r="EK25" s="22">
        <f>IF(BB2=5.5,5,)</f>
        <v>0</v>
      </c>
      <c r="EL25" s="22">
        <f>IF(BB2=3.5,8,0)</f>
        <v>0</v>
      </c>
      <c r="EM25" s="22">
        <f>IF(BB2=4,6,0)</f>
        <v>0</v>
      </c>
      <c r="FN25" s="22">
        <v>12</v>
      </c>
      <c r="FO25" s="24" t="s">
        <v>177</v>
      </c>
      <c r="FP25" s="22">
        <v>175</v>
      </c>
      <c r="FQ25" s="22">
        <v>9</v>
      </c>
      <c r="FR25" s="22">
        <v>12.25</v>
      </c>
      <c r="FS25" s="22">
        <v>110000</v>
      </c>
      <c r="FW25" s="35">
        <f>DH20</f>
        <v>85</v>
      </c>
      <c r="FZ25" s="1">
        <f>IF(FW25=FP12,GK34,IF(FW25=FP13,GK68,0))</f>
        <v>0</v>
      </c>
      <c r="GB25" s="22" t="str">
        <f>IF(FW25&gt;=GK34,GB20,"")</f>
        <v/>
      </c>
    </row>
    <row r="26" spans="30:184" x14ac:dyDescent="0.25">
      <c r="AL26" s="24"/>
      <c r="AN26" s="80"/>
      <c r="AO26" s="225"/>
      <c r="AP26" s="80"/>
      <c r="AQ26" s="225"/>
      <c r="AR26" s="80"/>
      <c r="AS26" s="225"/>
      <c r="AT26" s="80"/>
      <c r="AU26" s="225"/>
      <c r="AV26" s="80"/>
      <c r="AW26" s="225"/>
      <c r="AX26" s="80"/>
      <c r="AY26" s="225"/>
      <c r="AZ26" s="80"/>
      <c r="BK26" s="22">
        <v>3</v>
      </c>
      <c r="BL26" s="24" t="s">
        <v>172</v>
      </c>
      <c r="BM26" s="22">
        <v>3</v>
      </c>
      <c r="BN26" s="22">
        <f t="shared" si="4"/>
        <v>100</v>
      </c>
      <c r="BO26" s="22">
        <v>3</v>
      </c>
      <c r="BX26" s="105"/>
      <c r="CG26" s="22">
        <v>16</v>
      </c>
      <c r="CH26" s="22" t="s">
        <v>1331</v>
      </c>
      <c r="CK26" s="22">
        <v>16</v>
      </c>
      <c r="CL26" s="22">
        <v>229</v>
      </c>
      <c r="CM26" s="22">
        <v>16</v>
      </c>
      <c r="CN26" s="22">
        <v>251</v>
      </c>
      <c r="CO26" s="22">
        <v>16</v>
      </c>
      <c r="CP26" s="22">
        <v>270</v>
      </c>
      <c r="CQ26" s="22">
        <v>16</v>
      </c>
      <c r="CR26" s="22">
        <v>279</v>
      </c>
      <c r="CS26" s="22">
        <v>16</v>
      </c>
      <c r="CT26" s="22">
        <v>311</v>
      </c>
      <c r="CU26" s="22">
        <v>16</v>
      </c>
      <c r="CW26" s="22">
        <v>16</v>
      </c>
      <c r="CY26" s="22">
        <v>16</v>
      </c>
      <c r="DG26" s="22">
        <v>4</v>
      </c>
      <c r="DH26" s="111">
        <v>0.85</v>
      </c>
      <c r="DJ26" s="35"/>
      <c r="DR26" s="22" t="s">
        <v>158</v>
      </c>
      <c r="DS26" s="22">
        <f>+Calculator!I25</f>
        <v>22.965879265091861</v>
      </c>
      <c r="FN26" s="22">
        <v>13</v>
      </c>
      <c r="FO26" s="22" t="s">
        <v>178</v>
      </c>
      <c r="FP26" s="22">
        <v>175</v>
      </c>
      <c r="FQ26" s="22">
        <v>9</v>
      </c>
      <c r="FR26" s="22">
        <v>12.25</v>
      </c>
      <c r="FS26" s="22">
        <v>110000</v>
      </c>
      <c r="FW26" s="22" t="s">
        <v>217</v>
      </c>
    </row>
    <row r="27" spans="30:184" x14ac:dyDescent="0.25">
      <c r="BK27" s="22">
        <v>4</v>
      </c>
      <c r="BL27" s="24" t="s">
        <v>173</v>
      </c>
      <c r="BM27" s="22">
        <v>4</v>
      </c>
      <c r="BN27" s="22">
        <f t="shared" si="4"/>
        <v>100</v>
      </c>
      <c r="BO27" s="22">
        <v>4</v>
      </c>
      <c r="CG27" s="22">
        <v>17</v>
      </c>
      <c r="CH27" s="22" t="s">
        <v>1320</v>
      </c>
      <c r="CK27" s="22">
        <v>17</v>
      </c>
      <c r="CM27" s="22">
        <v>17</v>
      </c>
      <c r="CO27" s="22">
        <v>17</v>
      </c>
      <c r="CQ27" s="22">
        <v>17</v>
      </c>
      <c r="CS27" s="22">
        <v>17</v>
      </c>
      <c r="CU27" s="22">
        <v>17</v>
      </c>
      <c r="CW27" s="22">
        <v>17</v>
      </c>
      <c r="CY27" s="22">
        <v>17</v>
      </c>
      <c r="DG27" s="22">
        <v>5</v>
      </c>
      <c r="DH27" s="111">
        <v>0.8</v>
      </c>
      <c r="DJ27" s="35"/>
      <c r="DR27" s="22" t="s">
        <v>159</v>
      </c>
      <c r="DS27" s="22">
        <f>+Calculator!D22</f>
        <v>59.055118110236215</v>
      </c>
      <c r="FN27" s="22">
        <v>14</v>
      </c>
      <c r="FO27" s="22" t="s">
        <v>180</v>
      </c>
      <c r="FP27" s="22">
        <v>175</v>
      </c>
      <c r="FQ27" s="22">
        <v>9</v>
      </c>
      <c r="FR27" s="22">
        <v>12.25</v>
      </c>
      <c r="FS27" s="22">
        <v>110000</v>
      </c>
      <c r="FW27" s="35">
        <f>DG9</f>
        <v>36259.435974320782</v>
      </c>
    </row>
    <row r="28" spans="30:184" x14ac:dyDescent="0.25">
      <c r="AS28" s="22" t="s">
        <v>1306</v>
      </c>
      <c r="BK28" s="22">
        <v>5</v>
      </c>
      <c r="BL28" s="24" t="s">
        <v>174</v>
      </c>
      <c r="BM28" s="22">
        <v>5</v>
      </c>
      <c r="BN28" s="22">
        <f>IF($AB$6="Rotary",100,"")</f>
        <v>100</v>
      </c>
      <c r="BO28" s="22">
        <v>5</v>
      </c>
      <c r="CG28" s="22">
        <v>18</v>
      </c>
      <c r="CH28" s="22" t="s">
        <v>187</v>
      </c>
      <c r="CK28" s="22">
        <v>18</v>
      </c>
      <c r="CL28" s="92"/>
      <c r="CM28" s="22">
        <v>18</v>
      </c>
      <c r="CN28" s="92"/>
      <c r="CO28" s="22">
        <v>18</v>
      </c>
      <c r="CP28" s="92"/>
      <c r="CQ28" s="22">
        <v>18</v>
      </c>
      <c r="CS28" s="22">
        <v>18</v>
      </c>
      <c r="CT28" s="92"/>
      <c r="CU28" s="22">
        <v>18</v>
      </c>
      <c r="CW28" s="22">
        <v>18</v>
      </c>
      <c r="CX28" s="92"/>
      <c r="CY28" s="22">
        <v>18</v>
      </c>
      <c r="DG28" s="22">
        <v>6</v>
      </c>
      <c r="DH28" s="111">
        <v>0.79</v>
      </c>
      <c r="DJ28" s="35"/>
      <c r="DR28" s="22" t="s">
        <v>160</v>
      </c>
      <c r="DS28" s="22">
        <f>+Calculator!D25</f>
        <v>0</v>
      </c>
      <c r="FD28" s="22" t="s">
        <v>78</v>
      </c>
      <c r="FN28" s="22">
        <v>15</v>
      </c>
      <c r="FO28" s="22" t="s">
        <v>1330</v>
      </c>
      <c r="FP28" s="22">
        <v>160</v>
      </c>
      <c r="FQ28" s="22">
        <v>9</v>
      </c>
      <c r="FR28" s="22">
        <v>11</v>
      </c>
      <c r="FS28" s="22">
        <v>80000</v>
      </c>
      <c r="FW28" s="22" t="s">
        <v>218</v>
      </c>
    </row>
    <row r="29" spans="30:184" x14ac:dyDescent="0.25">
      <c r="AR29" s="22">
        <v>1</v>
      </c>
      <c r="AS29" s="22" t="s">
        <v>1307</v>
      </c>
      <c r="BK29" s="22">
        <v>6</v>
      </c>
      <c r="BL29" s="24" t="s">
        <v>175</v>
      </c>
      <c r="BM29" s="22">
        <v>6</v>
      </c>
      <c r="BN29" s="22">
        <f>IF($AB$6="Rotary",100,"")</f>
        <v>100</v>
      </c>
      <c r="BO29" s="22">
        <v>6</v>
      </c>
      <c r="CG29" s="22">
        <v>19</v>
      </c>
      <c r="CH29" s="22" t="s">
        <v>188</v>
      </c>
      <c r="CK29" s="22">
        <v>19</v>
      </c>
      <c r="CL29" s="92"/>
      <c r="CM29" s="22">
        <v>19</v>
      </c>
      <c r="CO29" s="22">
        <v>19</v>
      </c>
      <c r="CP29" s="92"/>
      <c r="CQ29" s="22">
        <v>19</v>
      </c>
      <c r="CS29" s="22">
        <v>19</v>
      </c>
      <c r="CT29" s="92"/>
      <c r="CU29" s="22">
        <v>19</v>
      </c>
      <c r="CW29" s="22">
        <v>19</v>
      </c>
      <c r="CX29" s="92"/>
      <c r="CY29" s="22">
        <v>19</v>
      </c>
      <c r="DG29" s="22">
        <v>7</v>
      </c>
      <c r="DH29" s="111">
        <v>0.78</v>
      </c>
      <c r="DJ29" s="35"/>
      <c r="DR29" s="22" t="s">
        <v>162</v>
      </c>
      <c r="DS29" s="22">
        <f>+DS27+DS28</f>
        <v>59.055118110236215</v>
      </c>
      <c r="FD29" s="106" t="str">
        <f>IF(AB6="Rotary",IF(DI10&gt;FD2," Optimum bit load exceeds drill capability",""),"")</f>
        <v/>
      </c>
      <c r="FN29" s="22">
        <v>16</v>
      </c>
      <c r="FO29" s="22" t="s">
        <v>1331</v>
      </c>
      <c r="FP29" s="22">
        <v>160</v>
      </c>
      <c r="FQ29" s="22">
        <v>9</v>
      </c>
      <c r="FR29" s="22">
        <v>12.25</v>
      </c>
      <c r="FS29" s="22">
        <v>80000</v>
      </c>
      <c r="FW29" s="92" t="str">
        <f>FI2</f>
        <v>Moderate</v>
      </c>
      <c r="FX29" s="22">
        <f>IF(FW29=FW11,FX11,IF(FW29=FW12,FX12,IF(FW29=FW13,FX13,IF(FW29=FW14,FX14,0))))</f>
        <v>0.95</v>
      </c>
    </row>
    <row r="30" spans="30:184" x14ac:dyDescent="0.25">
      <c r="AS30" s="22" t="s">
        <v>1308</v>
      </c>
      <c r="BK30" s="22">
        <v>7</v>
      </c>
      <c r="BL30" s="24" t="s">
        <v>6</v>
      </c>
      <c r="BM30" s="22">
        <v>7</v>
      </c>
      <c r="BN30" s="22">
        <f t="shared" si="4"/>
        <v>100</v>
      </c>
      <c r="BO30" s="22">
        <v>7</v>
      </c>
      <c r="CG30" s="22">
        <v>20</v>
      </c>
      <c r="CH30" s="22" t="s">
        <v>190</v>
      </c>
      <c r="CK30" s="22">
        <v>20</v>
      </c>
      <c r="CL30" s="22">
        <v>127</v>
      </c>
      <c r="CM30" s="22">
        <v>20</v>
      </c>
      <c r="CN30" s="92">
        <v>140</v>
      </c>
      <c r="CO30" s="22">
        <v>20</v>
      </c>
      <c r="CP30" s="22">
        <v>152</v>
      </c>
      <c r="CQ30" s="22">
        <v>20</v>
      </c>
      <c r="CR30" s="92">
        <v>165</v>
      </c>
      <c r="CS30" s="22">
        <v>20</v>
      </c>
      <c r="CT30" s="92">
        <v>171</v>
      </c>
      <c r="CU30" s="22">
        <v>20</v>
      </c>
      <c r="CW30" s="22">
        <v>20</v>
      </c>
      <c r="CY30" s="22">
        <v>20</v>
      </c>
      <c r="DG30" s="22">
        <v>8</v>
      </c>
      <c r="DH30" s="111">
        <v>0.77</v>
      </c>
      <c r="DJ30" s="35"/>
      <c r="DR30" s="22" t="s">
        <v>161</v>
      </c>
      <c r="DS30" s="35">
        <f>+Calculator!N12*Calculator!N13</f>
        <v>8640</v>
      </c>
      <c r="FD30" s="22" t="str">
        <f>IF(+AB6="Rotary",FD29,"")</f>
        <v/>
      </c>
      <c r="FN30" s="22">
        <v>19</v>
      </c>
      <c r="FO30" s="22" t="s">
        <v>190</v>
      </c>
      <c r="FP30" s="22">
        <v>90</v>
      </c>
      <c r="FQ30" s="22">
        <v>5</v>
      </c>
      <c r="FR30" s="22">
        <v>6.75</v>
      </c>
      <c r="FS30" s="22">
        <v>30000</v>
      </c>
    </row>
    <row r="31" spans="30:184" x14ac:dyDescent="0.25">
      <c r="BK31" s="22">
        <v>8</v>
      </c>
      <c r="BL31" s="24" t="s">
        <v>176</v>
      </c>
      <c r="BM31" s="22">
        <v>8</v>
      </c>
      <c r="BN31" s="22">
        <f t="shared" si="4"/>
        <v>100</v>
      </c>
      <c r="BO31" s="22">
        <v>8</v>
      </c>
      <c r="CG31" s="22">
        <v>21</v>
      </c>
      <c r="CH31" s="22" t="s">
        <v>295</v>
      </c>
      <c r="CK31" s="22">
        <v>21</v>
      </c>
      <c r="CL31" s="22">
        <v>311</v>
      </c>
      <c r="CM31" s="22">
        <v>21</v>
      </c>
      <c r="CN31" s="22">
        <v>330</v>
      </c>
      <c r="CO31" s="22">
        <v>21</v>
      </c>
      <c r="CP31" s="22">
        <v>381</v>
      </c>
      <c r="CQ31" s="22">
        <v>21</v>
      </c>
      <c r="CR31" s="22">
        <v>406</v>
      </c>
      <c r="CS31" s="22">
        <v>21</v>
      </c>
      <c r="CU31" s="22">
        <v>21</v>
      </c>
      <c r="CW31" s="22">
        <v>21</v>
      </c>
      <c r="CY31" s="22">
        <v>21</v>
      </c>
      <c r="DG31" s="22">
        <v>9</v>
      </c>
      <c r="DH31" s="111">
        <v>0.76</v>
      </c>
      <c r="DJ31" s="35"/>
      <c r="DR31" s="22" t="s">
        <v>163</v>
      </c>
      <c r="DS31" s="120">
        <f>+Calculator!N25</f>
        <v>1.5049600000000001</v>
      </c>
      <c r="FD31" s="22" t="s">
        <v>122</v>
      </c>
      <c r="FN31" s="22">
        <v>20</v>
      </c>
      <c r="FO31" s="22" t="s">
        <v>1332</v>
      </c>
      <c r="FP31" s="22">
        <v>180</v>
      </c>
      <c r="FQ31" s="22">
        <v>12.25</v>
      </c>
      <c r="FR31" s="22">
        <v>15</v>
      </c>
      <c r="FS31" s="22">
        <v>132000</v>
      </c>
    </row>
    <row r="32" spans="30:184" x14ac:dyDescent="0.25">
      <c r="BL32" s="24"/>
      <c r="DH32" s="111"/>
      <c r="DJ32" s="35"/>
      <c r="DS32" s="120"/>
      <c r="FN32" s="109">
        <f>$FA$2</f>
        <v>16</v>
      </c>
      <c r="FO32" s="22" t="str">
        <f>LOOKUP(FN32,FN17:FO30)</f>
        <v>DR412i SP</v>
      </c>
      <c r="FP32" s="22">
        <f>LOOKUP(FN32,FN17:FN31,FP17:FP31)</f>
        <v>160</v>
      </c>
      <c r="FQ32" s="22">
        <f ca="1">LOOKUP(FN32,FN17:FN30,FQ17:FQ31)</f>
        <v>9</v>
      </c>
      <c r="FR32" s="22">
        <f ca="1">LOOKUP(FN32,FN17:FN30,FR17:FR31)</f>
        <v>12.25</v>
      </c>
      <c r="FS32" s="22">
        <f ca="1">LOOKUP(FN32,FN17:FN30,FS17:FS31)</f>
        <v>80000</v>
      </c>
    </row>
    <row r="33" spans="31:193" x14ac:dyDescent="0.25">
      <c r="BK33" s="22">
        <v>9</v>
      </c>
      <c r="BL33" s="24" t="s">
        <v>182</v>
      </c>
      <c r="BM33" s="22">
        <v>9</v>
      </c>
      <c r="BN33" s="22">
        <f t="shared" si="4"/>
        <v>100</v>
      </c>
      <c r="BO33" s="22">
        <v>9</v>
      </c>
      <c r="DG33" s="22">
        <v>10</v>
      </c>
      <c r="DH33" s="111">
        <v>0.75</v>
      </c>
      <c r="DJ33" s="35"/>
      <c r="FD33" s="106" t="str">
        <f>IF(AB6="Rotary",IF(DI8&gt;FF2," HP requirements exceed rig capacity",""),"")</f>
        <v/>
      </c>
      <c r="FN33" s="1"/>
      <c r="FO33" s="1"/>
      <c r="FP33" s="1"/>
      <c r="FQ33" s="1"/>
      <c r="FR33" s="1"/>
      <c r="FS33" s="1"/>
      <c r="FT33" s="314" t="s">
        <v>218</v>
      </c>
      <c r="FU33" s="314"/>
      <c r="FV33" s="314"/>
      <c r="FW33" s="314"/>
      <c r="FX33" s="314" t="s">
        <v>218</v>
      </c>
      <c r="FY33" s="314"/>
      <c r="FZ33" s="314"/>
      <c r="GA33" s="314"/>
      <c r="GB33" s="147"/>
    </row>
    <row r="34" spans="31:193" x14ac:dyDescent="0.25">
      <c r="AH34" s="22" t="s">
        <v>1241</v>
      </c>
      <c r="AI34" s="22" t="s">
        <v>1310</v>
      </c>
      <c r="AJ34" s="22" t="s">
        <v>297</v>
      </c>
      <c r="AL34" s="22" t="s">
        <v>1313</v>
      </c>
      <c r="AQ34" s="316" t="s">
        <v>182</v>
      </c>
      <c r="AR34" s="316"/>
      <c r="AS34" s="316"/>
      <c r="AT34" s="316"/>
      <c r="AU34" s="316"/>
      <c r="AV34" s="316"/>
      <c r="AW34" s="316"/>
      <c r="AX34" s="316"/>
      <c r="AY34" s="316"/>
      <c r="AZ34" s="316" t="s">
        <v>184</v>
      </c>
      <c r="BA34" s="316"/>
      <c r="BB34" s="316"/>
      <c r="BC34" s="316"/>
      <c r="BD34" s="316"/>
      <c r="BE34" s="316"/>
      <c r="BF34" s="316"/>
      <c r="BG34" s="316"/>
      <c r="BH34" s="316"/>
      <c r="BK34" s="22">
        <v>10</v>
      </c>
      <c r="BL34" s="22" t="s">
        <v>184</v>
      </c>
      <c r="BM34" s="22">
        <v>10</v>
      </c>
      <c r="BN34" s="22">
        <v>500</v>
      </c>
      <c r="BO34" s="22">
        <v>10</v>
      </c>
      <c r="DG34" s="22" t="s">
        <v>124</v>
      </c>
      <c r="DR34" s="22" t="s">
        <v>164</v>
      </c>
      <c r="DS34" s="35">
        <f>+DS24*(DS27/DS29)*DS25*DS26*DS30*DS31/27</f>
        <v>1022610.6109270373</v>
      </c>
      <c r="DT34" s="22" t="s">
        <v>102</v>
      </c>
      <c r="FN34" s="109"/>
      <c r="FT34" s="72" t="s">
        <v>80</v>
      </c>
      <c r="FU34" s="72" t="s">
        <v>81</v>
      </c>
      <c r="FV34" s="72" t="s">
        <v>82</v>
      </c>
      <c r="FW34" s="72" t="s">
        <v>83</v>
      </c>
      <c r="FX34" s="72" t="s">
        <v>80</v>
      </c>
      <c r="FY34" s="72" t="s">
        <v>81</v>
      </c>
      <c r="FZ34" s="72" t="s">
        <v>82</v>
      </c>
      <c r="GA34" s="72" t="s">
        <v>83</v>
      </c>
      <c r="GB34" s="72"/>
      <c r="GK34" s="1">
        <f>MAX(GK36:GK65)</f>
        <v>120</v>
      </c>
    </row>
    <row r="35" spans="31:193" ht="54" x14ac:dyDescent="0.25">
      <c r="AE35" s="22">
        <f>AK2</f>
        <v>16</v>
      </c>
      <c r="AF35" s="22" t="str">
        <f>LOOKUP(AE35,AE36:AF56)</f>
        <v>DR412i SP</v>
      </c>
      <c r="AG35" s="22">
        <f>AE35</f>
        <v>16</v>
      </c>
      <c r="AH35" s="22">
        <f>LOOKUP(AE35,AE36:AE56,AH36:AH56)</f>
        <v>2050</v>
      </c>
      <c r="AI35" s="22">
        <f>LOOKUP(AE35,AE36:AE56,AI36:AI56)</f>
        <v>7504</v>
      </c>
      <c r="AJ35" s="22">
        <f>LOOKUP(AE35,AE36:AE56,AJ36:AJ56)</f>
        <v>80000</v>
      </c>
      <c r="AL35" s="22">
        <f>SUM(AH35:AJ35)</f>
        <v>89554</v>
      </c>
      <c r="AQ35" s="183" t="s">
        <v>731</v>
      </c>
      <c r="AR35" s="183" t="s">
        <v>732</v>
      </c>
      <c r="AS35" s="183" t="s">
        <v>1300</v>
      </c>
      <c r="AT35" s="183" t="s">
        <v>1309</v>
      </c>
      <c r="AU35" s="183" t="s">
        <v>1301</v>
      </c>
      <c r="AV35" s="183" t="s">
        <v>1302</v>
      </c>
      <c r="AW35" s="183" t="s">
        <v>1303</v>
      </c>
      <c r="AX35" s="183" t="s">
        <v>1304</v>
      </c>
      <c r="AY35" s="183" t="s">
        <v>1305</v>
      </c>
      <c r="AZ35" s="183" t="s">
        <v>731</v>
      </c>
      <c r="BA35" s="183" t="s">
        <v>732</v>
      </c>
      <c r="BB35" s="183" t="s">
        <v>1300</v>
      </c>
      <c r="BC35" s="183" t="s">
        <v>1309</v>
      </c>
      <c r="BD35" s="183" t="s">
        <v>1301</v>
      </c>
      <c r="BE35" s="183" t="s">
        <v>1302</v>
      </c>
      <c r="BF35" s="183" t="s">
        <v>1303</v>
      </c>
      <c r="BG35" s="183" t="s">
        <v>1304</v>
      </c>
      <c r="BH35" s="183" t="s">
        <v>1305</v>
      </c>
      <c r="BK35" s="22">
        <v>11</v>
      </c>
      <c r="BL35" s="24" t="s">
        <v>8</v>
      </c>
      <c r="BM35" s="22">
        <v>11</v>
      </c>
      <c r="BN35" s="22">
        <f>IF($AB$6="Rotary",80,"")</f>
        <v>80</v>
      </c>
      <c r="BO35" s="22">
        <v>11</v>
      </c>
      <c r="DG35" s="20">
        <v>7</v>
      </c>
      <c r="DH35" s="38">
        <f>LOOKUP(DG35,DG36:DH52)</f>
        <v>0.86</v>
      </c>
      <c r="DS35" s="22" t="s">
        <v>90</v>
      </c>
      <c r="DT35" s="22" t="s">
        <v>124</v>
      </c>
      <c r="DU35" s="22" t="s">
        <v>127</v>
      </c>
      <c r="DV35" s="22" t="s">
        <v>165</v>
      </c>
      <c r="DW35" s="111">
        <f>+DS36*DT36*DU36</f>
        <v>1</v>
      </c>
      <c r="FO35" s="92" t="s">
        <v>221</v>
      </c>
      <c r="FP35" s="22" t="s">
        <v>191</v>
      </c>
      <c r="FQ35" s="22" t="s">
        <v>194</v>
      </c>
      <c r="FR35" s="22" t="s">
        <v>195</v>
      </c>
      <c r="FS35" s="22" t="s">
        <v>196</v>
      </c>
      <c r="FT35" s="314" t="s">
        <v>220</v>
      </c>
      <c r="FU35" s="314"/>
      <c r="FV35" s="314"/>
      <c r="FW35" s="314"/>
      <c r="FX35" s="314" t="s">
        <v>219</v>
      </c>
      <c r="FY35" s="314"/>
      <c r="FZ35" s="314"/>
      <c r="GA35" s="314"/>
      <c r="GB35" s="147"/>
    </row>
    <row r="36" spans="31:193" x14ac:dyDescent="0.25">
      <c r="AE36" s="22">
        <v>1</v>
      </c>
      <c r="AF36" s="24" t="str">
        <f>IF($AB$6="Rotary","D245S 34","")</f>
        <v>D245S 34</v>
      </c>
      <c r="AG36" s="22">
        <v>1</v>
      </c>
      <c r="AH36" s="22">
        <v>1100</v>
      </c>
      <c r="AQ36" s="92">
        <v>7</v>
      </c>
      <c r="AR36" s="22">
        <f>IF($AR$29=1,35,38)</f>
        <v>35</v>
      </c>
      <c r="AS36" s="22">
        <f>1088*$EK$17</f>
        <v>5440</v>
      </c>
      <c r="AT36" s="22">
        <v>76</v>
      </c>
      <c r="AU36" s="22">
        <v>113</v>
      </c>
      <c r="AV36" s="22">
        <v>42</v>
      </c>
      <c r="AW36" s="22">
        <v>134</v>
      </c>
      <c r="AX36" s="22">
        <v>26</v>
      </c>
      <c r="AY36" s="22">
        <v>670</v>
      </c>
      <c r="AZ36" s="92">
        <v>7</v>
      </c>
      <c r="BA36" s="22">
        <f>(25*2)</f>
        <v>50</v>
      </c>
      <c r="BB36" s="22">
        <f>(1060*2)*$EK$18</f>
        <v>4240</v>
      </c>
      <c r="BC36" s="22">
        <v>76</v>
      </c>
      <c r="BD36" s="22">
        <v>113</v>
      </c>
      <c r="BE36" s="22">
        <v>42</v>
      </c>
      <c r="BF36" s="22">
        <v>134</v>
      </c>
      <c r="BG36" s="22">
        <v>26</v>
      </c>
      <c r="BH36" s="22">
        <v>670</v>
      </c>
      <c r="BK36" s="22">
        <v>12</v>
      </c>
      <c r="BL36" s="24" t="s">
        <v>177</v>
      </c>
      <c r="BM36" s="22">
        <v>12</v>
      </c>
      <c r="BN36" s="22">
        <f>IF($AB$6="Rotary",80,"")</f>
        <v>80</v>
      </c>
      <c r="BO36" s="22">
        <v>12</v>
      </c>
      <c r="DG36" s="22">
        <v>1</v>
      </c>
      <c r="DH36" s="111">
        <v>0.92</v>
      </c>
      <c r="DJ36" s="35"/>
      <c r="DS36" s="111">
        <v>1</v>
      </c>
      <c r="DT36" s="111">
        <v>1</v>
      </c>
      <c r="DU36" s="111">
        <v>1</v>
      </c>
      <c r="FN36" s="22">
        <v>1</v>
      </c>
      <c r="FO36" s="22" t="s">
        <v>258</v>
      </c>
      <c r="FP36" s="22">
        <v>160</v>
      </c>
      <c r="FQ36" s="92">
        <v>7.875</v>
      </c>
      <c r="FR36" s="92">
        <v>9</v>
      </c>
      <c r="FS36" s="22">
        <v>30000</v>
      </c>
      <c r="FT36" s="22">
        <v>2500</v>
      </c>
      <c r="FU36" s="22">
        <f>FT36</f>
        <v>2500</v>
      </c>
      <c r="FV36" s="22">
        <v>3000</v>
      </c>
      <c r="FW36" s="22">
        <v>5000</v>
      </c>
      <c r="FX36" s="22">
        <v>15000</v>
      </c>
      <c r="FY36" s="22">
        <f>FX36</f>
        <v>15000</v>
      </c>
      <c r="FZ36" s="22">
        <v>20000</v>
      </c>
      <c r="GA36" s="22">
        <v>28000</v>
      </c>
      <c r="GE36" s="1">
        <f>IF($FW$23&lt;=FR36,1,0)</f>
        <v>0</v>
      </c>
      <c r="GF36" s="1">
        <f>GD36+GE36</f>
        <v>0</v>
      </c>
      <c r="GG36" s="1">
        <f>IF($FW$29=$FX$34,FX36,IF($FW$29=$FY$34,FY36,IF($FW$29=$FZ$34,FZ36,IF($FW$29=$GA$34,GA36,""))))</f>
        <v>20000</v>
      </c>
      <c r="GH36" s="1">
        <f>IF(GF36=1,1,0)</f>
        <v>0</v>
      </c>
      <c r="GI36" s="1">
        <f>IF($FW$21&lt;FS36,1,0)</f>
        <v>0</v>
      </c>
      <c r="GJ36" s="1">
        <f>GH36+GI36</f>
        <v>0</v>
      </c>
      <c r="GK36" s="1" t="str">
        <f>IF(GJ36=2,FP36,"")</f>
        <v/>
      </c>
    </row>
    <row r="37" spans="31:193" x14ac:dyDescent="0.25">
      <c r="AE37" s="22">
        <v>2</v>
      </c>
      <c r="AF37" s="24" t="str">
        <f>IF($AB$6="Rotary","D25KS 34",IF($AB$6="DTH","D25KS 34",""))</f>
        <v>D25KS 34</v>
      </c>
      <c r="AG37" s="22">
        <v>2</v>
      </c>
      <c r="AH37" s="22">
        <v>1100</v>
      </c>
      <c r="AQ37" s="92">
        <v>7.625</v>
      </c>
      <c r="AR37" s="22">
        <f>IF($AR$29=1,35,38)</f>
        <v>35</v>
      </c>
      <c r="AS37" s="22">
        <f>1220*EK17</f>
        <v>6100</v>
      </c>
      <c r="AT37" s="22">
        <v>76</v>
      </c>
      <c r="AU37" s="22">
        <v>148</v>
      </c>
      <c r="AV37" s="22">
        <v>42</v>
      </c>
      <c r="AW37" s="22">
        <v>202</v>
      </c>
      <c r="AX37" s="22">
        <v>26</v>
      </c>
      <c r="AY37" s="22">
        <v>670</v>
      </c>
      <c r="AZ37" s="92">
        <v>7.625</v>
      </c>
      <c r="BA37" s="22">
        <f>(25*2)</f>
        <v>50</v>
      </c>
      <c r="BB37" s="22">
        <f>(1240*2)*$EK$18</f>
        <v>4960</v>
      </c>
      <c r="BC37" s="22">
        <v>76</v>
      </c>
      <c r="BD37" s="22">
        <v>148</v>
      </c>
      <c r="BE37" s="22">
        <v>42</v>
      </c>
      <c r="BF37" s="22">
        <v>202</v>
      </c>
      <c r="BG37" s="22">
        <v>26</v>
      </c>
      <c r="BH37" s="22">
        <v>670</v>
      </c>
      <c r="BK37" s="22">
        <v>14</v>
      </c>
      <c r="BL37" s="22" t="s">
        <v>180</v>
      </c>
      <c r="BM37" s="22">
        <v>14</v>
      </c>
      <c r="BN37" s="22">
        <f>IF($AB$6="Rotary",80,"")</f>
        <v>80</v>
      </c>
      <c r="BO37" s="22">
        <v>14</v>
      </c>
      <c r="DG37" s="22">
        <v>3</v>
      </c>
      <c r="DH37" s="111">
        <v>0.9</v>
      </c>
      <c r="DJ37" s="35"/>
      <c r="DS37" s="111">
        <f t="shared" ref="DS37:DU38" si="5">0.01+DS38</f>
        <v>0.84000000000000008</v>
      </c>
      <c r="DT37" s="111">
        <f t="shared" si="5"/>
        <v>0.9</v>
      </c>
      <c r="DU37" s="111">
        <f t="shared" si="5"/>
        <v>0.84000000000000008</v>
      </c>
      <c r="DV37" s="111">
        <f t="shared" ref="DV37:DV46" si="6">+DS37*DT37*DU37</f>
        <v>0.63504000000000016</v>
      </c>
      <c r="FN37" s="22">
        <v>2</v>
      </c>
      <c r="FO37" s="22" t="s">
        <v>259</v>
      </c>
      <c r="FP37" s="22">
        <v>160</v>
      </c>
      <c r="FQ37" s="92">
        <v>9.875</v>
      </c>
      <c r="FR37" s="92">
        <v>11</v>
      </c>
      <c r="FS37" s="22">
        <v>37000</v>
      </c>
      <c r="GE37" s="1">
        <f t="shared" ref="GE37:GE65" si="7">IF($FW$23&lt;=FR37,1,0)</f>
        <v>0</v>
      </c>
      <c r="GF37" s="1">
        <f t="shared" ref="GF37:GF65" si="8">GD37+GE37</f>
        <v>0</v>
      </c>
      <c r="GG37" s="1">
        <f t="shared" ref="GG37:GG65" si="9">IF($FW$29=$FX$34,FX37,IF($FW$29=$FY$34,FY37,IF($FW$29=$FZ$34,FZ37,IF($FW$29=$GA$34,GA37,""))))</f>
        <v>0</v>
      </c>
      <c r="GH37" s="1">
        <f t="shared" ref="GH37:GH65" si="10">IF(GF37=1,1,0)</f>
        <v>0</v>
      </c>
      <c r="GI37" s="1">
        <f t="shared" ref="GI37:GI65" si="11">IF($FW$21&lt;FS37,1,0)</f>
        <v>0</v>
      </c>
      <c r="GJ37" s="1">
        <f>GH37+GI37</f>
        <v>0</v>
      </c>
      <c r="GK37" s="1" t="str">
        <f t="shared" ref="GK37:GK65" si="12">IF(GJ37=2,FP37,"")</f>
        <v/>
      </c>
    </row>
    <row r="38" spans="31:193" x14ac:dyDescent="0.25">
      <c r="AE38" s="22">
        <v>3</v>
      </c>
      <c r="AF38" s="24" t="str">
        <f>IF($AB$6="Rotary","D45KS 34",IF($AB$6="DTH","D45KS 34",""))</f>
        <v>D45KS 34</v>
      </c>
      <c r="AG38" s="22">
        <v>3</v>
      </c>
      <c r="AH38" s="22">
        <v>1300</v>
      </c>
      <c r="AQ38" s="92">
        <v>8</v>
      </c>
      <c r="AR38" s="22">
        <f>IF($AR$29=1,35,38)</f>
        <v>35</v>
      </c>
      <c r="AS38" s="22">
        <f>1220*EK17</f>
        <v>6100</v>
      </c>
      <c r="AT38" s="22">
        <v>76</v>
      </c>
      <c r="AU38" s="22">
        <v>148</v>
      </c>
      <c r="AV38" s="22">
        <v>42</v>
      </c>
      <c r="AW38" s="22">
        <v>202</v>
      </c>
      <c r="AX38" s="22">
        <v>26</v>
      </c>
      <c r="AY38" s="22">
        <v>670</v>
      </c>
      <c r="AZ38" s="92">
        <v>8</v>
      </c>
      <c r="BA38" s="22">
        <f>(25*2)</f>
        <v>50</v>
      </c>
      <c r="BB38" s="22">
        <f>(1240*2)*$EK$18</f>
        <v>4960</v>
      </c>
      <c r="BC38" s="22">
        <v>76</v>
      </c>
      <c r="BD38" s="22">
        <v>148</v>
      </c>
      <c r="BE38" s="22">
        <v>42</v>
      </c>
      <c r="BF38" s="22">
        <v>202</v>
      </c>
      <c r="BG38" s="22">
        <v>26</v>
      </c>
      <c r="BH38" s="22">
        <v>670</v>
      </c>
      <c r="BK38" s="22">
        <v>15</v>
      </c>
      <c r="BL38" s="22" t="s">
        <v>1330</v>
      </c>
      <c r="BM38" s="22">
        <v>15</v>
      </c>
      <c r="BN38" s="22">
        <f>IF($AB$6="Rotary",100,350)</f>
        <v>100</v>
      </c>
      <c r="BO38" s="22">
        <v>15</v>
      </c>
      <c r="DG38" s="22">
        <v>4</v>
      </c>
      <c r="DH38" s="111">
        <v>0.89</v>
      </c>
      <c r="DJ38" s="35"/>
      <c r="DS38" s="111">
        <f t="shared" si="5"/>
        <v>0.83000000000000007</v>
      </c>
      <c r="DT38" s="111">
        <f t="shared" si="5"/>
        <v>0.89</v>
      </c>
      <c r="DU38" s="111">
        <f t="shared" si="5"/>
        <v>0.83000000000000007</v>
      </c>
      <c r="DV38" s="111">
        <f t="shared" si="6"/>
        <v>0.61312100000000003</v>
      </c>
      <c r="FN38" s="22">
        <v>3</v>
      </c>
      <c r="FO38" s="22" t="s">
        <v>198</v>
      </c>
      <c r="FP38" s="22">
        <v>150</v>
      </c>
      <c r="FQ38" s="92">
        <v>7.875</v>
      </c>
      <c r="FR38" s="92">
        <v>9</v>
      </c>
      <c r="FS38" s="22">
        <v>37000</v>
      </c>
      <c r="FT38" s="22">
        <v>2500</v>
      </c>
      <c r="FU38" s="22">
        <f>FT38</f>
        <v>2500</v>
      </c>
      <c r="FV38" s="22">
        <v>3000</v>
      </c>
      <c r="FW38" s="22">
        <v>5000</v>
      </c>
      <c r="FX38" s="22">
        <v>18500</v>
      </c>
      <c r="FY38" s="22">
        <f t="shared" ref="FY38:FY65" si="13">FX38</f>
        <v>18500</v>
      </c>
      <c r="FZ38" s="22">
        <v>27500</v>
      </c>
      <c r="GA38" s="22">
        <v>35000</v>
      </c>
      <c r="GE38" s="1">
        <f t="shared" si="7"/>
        <v>0</v>
      </c>
      <c r="GF38" s="1">
        <f t="shared" si="8"/>
        <v>0</v>
      </c>
      <c r="GG38" s="1">
        <f t="shared" si="9"/>
        <v>27500</v>
      </c>
      <c r="GH38" s="1">
        <f t="shared" si="10"/>
        <v>0</v>
      </c>
      <c r="GI38" s="1">
        <f>IF($FW$21&lt;FS38,1,0)</f>
        <v>0</v>
      </c>
      <c r="GJ38" s="1">
        <f t="shared" ref="GJ38:GJ65" si="14">GH38+GI38</f>
        <v>0</v>
      </c>
      <c r="GK38" s="1" t="str">
        <f t="shared" si="12"/>
        <v/>
      </c>
    </row>
    <row r="39" spans="31:193" x14ac:dyDescent="0.25">
      <c r="AE39" s="22">
        <v>4</v>
      </c>
      <c r="AF39" s="24" t="str">
        <f>IF($AB$6="Rotary","D45KS 40",IF($AB$6="DTH","D45KS 40",""))</f>
        <v>D45KS 40</v>
      </c>
      <c r="AG39" s="22">
        <v>4</v>
      </c>
      <c r="AH39" s="22">
        <v>1300</v>
      </c>
      <c r="AQ39" s="92">
        <v>8.625</v>
      </c>
      <c r="AR39" s="22">
        <f>IF($AR$29=1,35,38)</f>
        <v>35</v>
      </c>
      <c r="AS39" s="22">
        <f>1433*EK17</f>
        <v>7165</v>
      </c>
      <c r="AT39" s="22">
        <v>74</v>
      </c>
      <c r="AU39" s="22">
        <v>202</v>
      </c>
      <c r="AV39" s="22">
        <v>47</v>
      </c>
      <c r="AW39" s="22">
        <v>302</v>
      </c>
      <c r="AX39" s="22">
        <v>29</v>
      </c>
      <c r="AY39" s="22">
        <v>1000</v>
      </c>
      <c r="AZ39" s="92">
        <v>8.625</v>
      </c>
      <c r="BA39" s="22">
        <f>(25*2)</f>
        <v>50</v>
      </c>
      <c r="BB39" s="22">
        <f>(1500*2)*$EK$18</f>
        <v>6000</v>
      </c>
      <c r="BC39" s="22">
        <v>74</v>
      </c>
      <c r="BD39" s="22">
        <v>202</v>
      </c>
      <c r="BE39" s="22">
        <v>47</v>
      </c>
      <c r="BF39" s="22">
        <v>302</v>
      </c>
      <c r="BG39" s="22">
        <v>29</v>
      </c>
      <c r="BH39" s="22">
        <v>1000</v>
      </c>
      <c r="BK39" s="22">
        <v>16</v>
      </c>
      <c r="BL39" s="22" t="s">
        <v>1331</v>
      </c>
      <c r="BM39" s="22">
        <v>16</v>
      </c>
      <c r="BN39" s="22">
        <f>IF($AB$6="Rotary",100,350)</f>
        <v>100</v>
      </c>
      <c r="BO39" s="22">
        <v>16</v>
      </c>
      <c r="DG39" s="22">
        <v>5</v>
      </c>
      <c r="DH39" s="111">
        <v>0.88</v>
      </c>
      <c r="DJ39" s="35"/>
      <c r="DS39" s="111">
        <f t="shared" ref="DS39:DU40" si="15">0.01+DS40</f>
        <v>0.82000000000000006</v>
      </c>
      <c r="DT39" s="111">
        <f t="shared" si="15"/>
        <v>0.88</v>
      </c>
      <c r="DU39" s="111">
        <f t="shared" si="15"/>
        <v>0.82000000000000006</v>
      </c>
      <c r="DV39" s="111">
        <f t="shared" si="6"/>
        <v>0.59171200000000002</v>
      </c>
      <c r="FN39" s="22">
        <v>4</v>
      </c>
      <c r="FO39" s="22" t="s">
        <v>199</v>
      </c>
      <c r="FP39" s="22">
        <v>150</v>
      </c>
      <c r="FQ39" s="92">
        <v>9.875</v>
      </c>
      <c r="FR39" s="92">
        <v>11</v>
      </c>
      <c r="FS39" s="22">
        <v>50000</v>
      </c>
      <c r="FT39" s="22">
        <v>2500</v>
      </c>
      <c r="FU39" s="22">
        <f>FT39</f>
        <v>2500</v>
      </c>
      <c r="FV39" s="22">
        <v>3000</v>
      </c>
      <c r="FW39" s="22">
        <v>5000</v>
      </c>
      <c r="FX39" s="22">
        <v>18500</v>
      </c>
      <c r="FY39" s="22">
        <f t="shared" si="13"/>
        <v>18500</v>
      </c>
      <c r="FZ39" s="22">
        <v>27500</v>
      </c>
      <c r="GA39" s="22">
        <v>35000</v>
      </c>
      <c r="GE39" s="1">
        <f t="shared" si="7"/>
        <v>0</v>
      </c>
      <c r="GF39" s="1">
        <f t="shared" si="8"/>
        <v>0</v>
      </c>
      <c r="GG39" s="1">
        <f>IF($FW$29=$FX$34,FX39,IF($FW$29=$FY$34,FY39,IF($FW$29=$FZ$34,FZ39,IF($FW$29=$GA$34,GA39,""))))</f>
        <v>27500</v>
      </c>
      <c r="GH39" s="1">
        <f t="shared" si="10"/>
        <v>0</v>
      </c>
      <c r="GI39" s="1">
        <f>IF($FW$21&lt;FS39,1,0)</f>
        <v>0</v>
      </c>
      <c r="GJ39" s="1">
        <f>GH39+GI39</f>
        <v>0</v>
      </c>
      <c r="GK39" s="1" t="str">
        <f>IF(GJ39=2,FP39,"")</f>
        <v/>
      </c>
    </row>
    <row r="40" spans="31:193" x14ac:dyDescent="0.25">
      <c r="AE40" s="22">
        <v>5</v>
      </c>
      <c r="AF40" s="24" t="str">
        <f>IF($AB$6="Rotary","D50KS 34","")</f>
        <v>D50KS 34</v>
      </c>
      <c r="AG40" s="22">
        <v>5</v>
      </c>
      <c r="AH40" s="22">
        <v>1300</v>
      </c>
      <c r="AQ40" s="92"/>
      <c r="BK40" s="22">
        <v>17</v>
      </c>
      <c r="BL40" s="22" t="s">
        <v>1320</v>
      </c>
      <c r="BM40" s="22">
        <v>17</v>
      </c>
      <c r="BN40" s="22">
        <f>IF(BR40=1050,350,IF(BR40=900,500,0))</f>
        <v>0</v>
      </c>
      <c r="BO40" s="22">
        <v>17</v>
      </c>
      <c r="BR40" s="22">
        <f>IF($AE$2="DR540",BV2,0)</f>
        <v>0</v>
      </c>
      <c r="BS40" s="109">
        <f>Calculator!N16</f>
        <v>100</v>
      </c>
      <c r="CG40" s="22">
        <f>DI4*0.3048</f>
        <v>5.4952724407419549</v>
      </c>
      <c r="CJ40" s="22" t="s">
        <v>287</v>
      </c>
      <c r="CK40" s="92" t="str">
        <f>CH2</f>
        <v>Charger</v>
      </c>
      <c r="CL40" s="109">
        <f>BV59</f>
        <v>0</v>
      </c>
      <c r="CM40" s="22">
        <f>IF(CK40=CK49,CN49,IF(CK40=CK50,CN50,IF(CK40=CK51,CN51,IF(CK40=CK52,CN52,IF(CK40=CK53,CN53,0)))))</f>
        <v>0</v>
      </c>
      <c r="DG40" s="22">
        <v>6</v>
      </c>
      <c r="DH40" s="111">
        <v>0.87</v>
      </c>
      <c r="DJ40" s="35"/>
      <c r="DS40" s="111">
        <f t="shared" si="15"/>
        <v>0.81</v>
      </c>
      <c r="DT40" s="111">
        <f t="shared" si="15"/>
        <v>0.87</v>
      </c>
      <c r="DU40" s="111">
        <f t="shared" si="15"/>
        <v>0.81</v>
      </c>
      <c r="DV40" s="111">
        <f t="shared" si="6"/>
        <v>0.57080700000000006</v>
      </c>
      <c r="FN40" s="22">
        <v>5</v>
      </c>
      <c r="FO40" s="22" t="s">
        <v>260</v>
      </c>
      <c r="FP40" s="22">
        <v>150</v>
      </c>
      <c r="FQ40" s="92">
        <v>7.875</v>
      </c>
      <c r="FR40" s="92">
        <v>9</v>
      </c>
      <c r="FS40" s="22">
        <v>37000</v>
      </c>
      <c r="FT40" s="22">
        <v>5500</v>
      </c>
      <c r="FU40" s="22">
        <f>FT40</f>
        <v>5500</v>
      </c>
      <c r="FV40" s="22">
        <v>10000</v>
      </c>
      <c r="FW40" s="22">
        <v>13000</v>
      </c>
      <c r="FX40" s="22">
        <v>20000</v>
      </c>
      <c r="FY40" s="22">
        <f t="shared" si="13"/>
        <v>20000</v>
      </c>
      <c r="FZ40" s="22">
        <v>30000</v>
      </c>
      <c r="GA40" s="22">
        <v>40000</v>
      </c>
      <c r="GE40" s="1">
        <f t="shared" si="7"/>
        <v>0</v>
      </c>
      <c r="GF40" s="1">
        <f t="shared" si="8"/>
        <v>0</v>
      </c>
      <c r="GG40" s="1">
        <f t="shared" si="9"/>
        <v>30000</v>
      </c>
      <c r="GH40" s="1">
        <f t="shared" si="10"/>
        <v>0</v>
      </c>
      <c r="GI40" s="1">
        <f t="shared" si="11"/>
        <v>0</v>
      </c>
      <c r="GJ40" s="1">
        <f t="shared" si="14"/>
        <v>0</v>
      </c>
      <c r="GK40" s="1" t="str">
        <f t="shared" si="12"/>
        <v/>
      </c>
    </row>
    <row r="41" spans="31:193" x14ac:dyDescent="0.25">
      <c r="AE41" s="22">
        <v>6</v>
      </c>
      <c r="AF41" s="24" t="str">
        <f>IF($AB$6="Rotary","D50KS 40","")</f>
        <v>D50KS 40</v>
      </c>
      <c r="AG41" s="22">
        <v>6</v>
      </c>
      <c r="AH41" s="22">
        <v>1300</v>
      </c>
      <c r="BK41" s="22">
        <v>18</v>
      </c>
      <c r="BL41" s="22" t="s">
        <v>187</v>
      </c>
      <c r="BM41" s="22">
        <v>18</v>
      </c>
      <c r="BN41" s="22">
        <f>IF(BR41=1350,350,IF(BR41=1150,500,0))</f>
        <v>0</v>
      </c>
      <c r="BO41" s="22">
        <v>18</v>
      </c>
      <c r="BR41" s="22">
        <f>IF($AE$2="DR560",BV2,0)</f>
        <v>0</v>
      </c>
      <c r="BZ41" s="267" t="s">
        <v>279</v>
      </c>
      <c r="CA41" s="162" t="s">
        <v>280</v>
      </c>
      <c r="CB41" s="150" t="s">
        <v>288</v>
      </c>
      <c r="CC41" s="150" t="s">
        <v>289</v>
      </c>
      <c r="CD41" s="150" t="s">
        <v>1327</v>
      </c>
      <c r="DG41" s="22">
        <v>7</v>
      </c>
      <c r="DH41" s="111">
        <v>0.86</v>
      </c>
      <c r="DJ41" s="35"/>
      <c r="DS41" s="121">
        <f>+DH22</f>
        <v>0.8</v>
      </c>
      <c r="DT41" s="121">
        <f>+DH35</f>
        <v>0.86</v>
      </c>
      <c r="DU41" s="121">
        <f>DH54</f>
        <v>0.8</v>
      </c>
      <c r="DV41" s="122">
        <f t="shared" si="6"/>
        <v>0.55040000000000011</v>
      </c>
      <c r="FN41" s="22">
        <v>6</v>
      </c>
      <c r="FO41" s="22" t="s">
        <v>261</v>
      </c>
      <c r="FP41" s="22">
        <v>130</v>
      </c>
      <c r="FQ41" s="92">
        <v>9.875</v>
      </c>
      <c r="FR41" s="92">
        <v>11</v>
      </c>
      <c r="FS41" s="22">
        <v>50000</v>
      </c>
      <c r="GE41" s="1">
        <f t="shared" si="7"/>
        <v>0</v>
      </c>
      <c r="GF41" s="1">
        <f t="shared" si="8"/>
        <v>0</v>
      </c>
      <c r="GG41" s="1">
        <f t="shared" si="9"/>
        <v>0</v>
      </c>
      <c r="GH41" s="1">
        <f t="shared" si="10"/>
        <v>0</v>
      </c>
      <c r="GI41" s="1">
        <f t="shared" si="11"/>
        <v>0</v>
      </c>
      <c r="GJ41" s="1">
        <f t="shared" si="14"/>
        <v>0</v>
      </c>
      <c r="GK41" s="1" t="str">
        <f t="shared" si="12"/>
        <v/>
      </c>
    </row>
    <row r="42" spans="31:193" x14ac:dyDescent="0.25">
      <c r="AE42" s="22">
        <v>7</v>
      </c>
      <c r="AF42" s="24" t="str">
        <f>IF($AB$6="Rotary","D55SP 55",IF($AB$6="DTH","D55SP 55",""))</f>
        <v>D55SP 55</v>
      </c>
      <c r="AG42" s="22">
        <v>7</v>
      </c>
      <c r="AH42" s="22">
        <v>1300</v>
      </c>
      <c r="BK42" s="22">
        <v>19</v>
      </c>
      <c r="BL42" s="22" t="s">
        <v>188</v>
      </c>
      <c r="BM42" s="22">
        <v>19</v>
      </c>
      <c r="BN42" s="22">
        <f>IF(BR42=1575,350,IF(BR42=1350,500,0))</f>
        <v>0</v>
      </c>
      <c r="BO42" s="22">
        <v>19</v>
      </c>
      <c r="BR42" s="22">
        <f>IF($AE$2="DR580",BV2,0)</f>
        <v>0</v>
      </c>
      <c r="BZ42" s="22">
        <v>90</v>
      </c>
      <c r="CA42" s="22">
        <v>108</v>
      </c>
      <c r="CB42" s="22">
        <v>152</v>
      </c>
      <c r="CC42" s="22">
        <v>155</v>
      </c>
      <c r="CD42" s="22">
        <v>203</v>
      </c>
      <c r="CJ42" s="22" t="s">
        <v>286</v>
      </c>
      <c r="CK42" s="109">
        <f>$DD$2</f>
        <v>311</v>
      </c>
      <c r="CL42" s="108">
        <f>CM40/CK42</f>
        <v>0</v>
      </c>
      <c r="CM42" s="108">
        <f>SQRT(CL42)</f>
        <v>0</v>
      </c>
      <c r="CN42" s="108">
        <f>POWER(CM42,3)</f>
        <v>0</v>
      </c>
      <c r="DG42" s="22">
        <v>8</v>
      </c>
      <c r="DH42" s="111">
        <v>0.85</v>
      </c>
      <c r="DJ42" s="35"/>
      <c r="DS42" s="111">
        <f t="shared" ref="DS42:DU46" si="16">+DS41-0.01</f>
        <v>0.79</v>
      </c>
      <c r="DT42" s="111">
        <f t="shared" si="16"/>
        <v>0.85</v>
      </c>
      <c r="DU42" s="111">
        <f t="shared" si="16"/>
        <v>0.79</v>
      </c>
      <c r="DV42" s="111">
        <f t="shared" si="6"/>
        <v>0.53048499999999998</v>
      </c>
      <c r="FN42" s="22">
        <v>7</v>
      </c>
      <c r="FO42" s="22" t="s">
        <v>200</v>
      </c>
      <c r="FP42" s="22">
        <v>130</v>
      </c>
      <c r="FQ42" s="92">
        <v>7.875</v>
      </c>
      <c r="FR42" s="92">
        <v>9</v>
      </c>
      <c r="FS42" s="22">
        <v>39000</v>
      </c>
      <c r="FT42" s="22">
        <v>10000</v>
      </c>
      <c r="FU42" s="22">
        <f>FT42</f>
        <v>10000</v>
      </c>
      <c r="FV42" s="22">
        <v>15000</v>
      </c>
      <c r="FW42" s="22">
        <v>20000</v>
      </c>
      <c r="FX42" s="22">
        <v>25000</v>
      </c>
      <c r="FY42" s="22">
        <f t="shared" si="13"/>
        <v>25000</v>
      </c>
      <c r="FZ42" s="22">
        <v>35000</v>
      </c>
      <c r="GA42" s="22">
        <v>45000</v>
      </c>
      <c r="GE42" s="1">
        <f t="shared" si="7"/>
        <v>0</v>
      </c>
      <c r="GF42" s="1">
        <f t="shared" si="8"/>
        <v>0</v>
      </c>
      <c r="GG42" s="1">
        <f t="shared" si="9"/>
        <v>35000</v>
      </c>
      <c r="GH42" s="1">
        <f t="shared" si="10"/>
        <v>0</v>
      </c>
      <c r="GI42" s="1">
        <f>IF($FW$21&lt;FS42,1,0)</f>
        <v>0</v>
      </c>
      <c r="GJ42" s="1">
        <f t="shared" si="14"/>
        <v>0</v>
      </c>
      <c r="GK42" s="1" t="str">
        <f t="shared" si="12"/>
        <v/>
      </c>
    </row>
    <row r="43" spans="31:193" x14ac:dyDescent="0.25">
      <c r="AE43" s="22">
        <v>8</v>
      </c>
      <c r="AF43" s="24" t="str">
        <f>IF($AB$6="Rotary","D75KS 40",IF($AB$6="DTH","D75KS 40",""))</f>
        <v>D75KS 40</v>
      </c>
      <c r="AG43" s="22">
        <v>8</v>
      </c>
      <c r="AH43" s="22">
        <v>2050</v>
      </c>
      <c r="AQ43" s="92"/>
      <c r="AS43" s="92"/>
      <c r="BK43" s="22">
        <v>20</v>
      </c>
      <c r="BL43" s="22" t="s">
        <v>190</v>
      </c>
      <c r="BM43" s="22">
        <v>20</v>
      </c>
      <c r="BN43" s="22">
        <f>IF($AB$6="Rotary",100,IF(BR43=900.1,350,IF(BR43=900,250)))</f>
        <v>100</v>
      </c>
      <c r="BO43" s="22">
        <v>20</v>
      </c>
      <c r="BR43" s="22">
        <f>IF($AE$2="160D",BV2,0)</f>
        <v>0</v>
      </c>
      <c r="BZ43" s="22">
        <v>92</v>
      </c>
      <c r="CA43" s="22">
        <v>110</v>
      </c>
      <c r="CB43" s="22">
        <v>146</v>
      </c>
      <c r="CC43" s="22">
        <v>159</v>
      </c>
      <c r="CD43" s="22">
        <v>219</v>
      </c>
      <c r="CL43" s="159"/>
      <c r="CM43" s="159"/>
      <c r="CN43" s="159"/>
      <c r="DG43" s="22">
        <v>9</v>
      </c>
      <c r="DH43" s="111">
        <v>0.84</v>
      </c>
      <c r="DJ43" s="35"/>
      <c r="DS43" s="111">
        <f t="shared" si="16"/>
        <v>0.78</v>
      </c>
      <c r="DT43" s="111">
        <f t="shared" si="16"/>
        <v>0.84</v>
      </c>
      <c r="DU43" s="111">
        <f t="shared" si="16"/>
        <v>0.78</v>
      </c>
      <c r="DV43" s="111">
        <f t="shared" si="6"/>
        <v>0.51105600000000007</v>
      </c>
      <c r="FN43" s="22">
        <v>8</v>
      </c>
      <c r="FO43" s="22" t="s">
        <v>201</v>
      </c>
      <c r="FP43" s="22">
        <v>130</v>
      </c>
      <c r="FQ43" s="92">
        <v>9.875</v>
      </c>
      <c r="FR43" s="92">
        <v>11</v>
      </c>
      <c r="FS43" s="22">
        <v>55000</v>
      </c>
      <c r="FT43" s="22">
        <v>10000</v>
      </c>
      <c r="FU43" s="22">
        <f>FT43</f>
        <v>10000</v>
      </c>
      <c r="FV43" s="22">
        <v>15000</v>
      </c>
      <c r="FW43" s="22">
        <v>20000</v>
      </c>
      <c r="FX43" s="22">
        <v>25000</v>
      </c>
      <c r="FY43" s="22">
        <f t="shared" si="13"/>
        <v>25000</v>
      </c>
      <c r="FZ43" s="22">
        <v>35000</v>
      </c>
      <c r="GA43" s="22">
        <v>45000</v>
      </c>
      <c r="GE43" s="1">
        <f t="shared" si="7"/>
        <v>0</v>
      </c>
      <c r="GF43" s="1">
        <f t="shared" si="8"/>
        <v>0</v>
      </c>
      <c r="GG43" s="1">
        <f t="shared" si="9"/>
        <v>35000</v>
      </c>
      <c r="GH43" s="1">
        <f t="shared" si="10"/>
        <v>0</v>
      </c>
      <c r="GI43" s="1">
        <f t="shared" si="11"/>
        <v>0</v>
      </c>
      <c r="GJ43" s="1">
        <f t="shared" si="14"/>
        <v>0</v>
      </c>
      <c r="GK43" s="1" t="str">
        <f t="shared" si="12"/>
        <v/>
      </c>
    </row>
    <row r="44" spans="31:193" x14ac:dyDescent="0.25">
      <c r="AE44" s="22">
        <v>9</v>
      </c>
      <c r="AF44" s="24" t="str">
        <f>IF($AB$6="Rotary","DR460 48",IF($AB$6="DTH","DR460 48",""))</f>
        <v>DR460 48</v>
      </c>
      <c r="AG44" s="22">
        <v>9</v>
      </c>
      <c r="AH44" s="22">
        <v>2050</v>
      </c>
      <c r="AR44" s="22">
        <f>AS36+AU36+AW36+AY36</f>
        <v>6357</v>
      </c>
      <c r="AU44" s="92">
        <f>BB36+BD36+BF36+BH36</f>
        <v>5157</v>
      </c>
      <c r="BK44" s="22">
        <v>21</v>
      </c>
      <c r="BL44" s="22" t="s">
        <v>1332</v>
      </c>
      <c r="BM44" s="22">
        <v>21</v>
      </c>
      <c r="BN44" s="22">
        <v>80</v>
      </c>
      <c r="BO44" s="22">
        <v>21</v>
      </c>
      <c r="BZ44" s="22">
        <v>95</v>
      </c>
      <c r="CA44" s="22">
        <v>115</v>
      </c>
      <c r="CB44" s="22">
        <v>140</v>
      </c>
      <c r="CC44" s="22">
        <v>165</v>
      </c>
      <c r="CD44" s="22">
        <v>222</v>
      </c>
      <c r="CG44" s="315" t="s">
        <v>278</v>
      </c>
      <c r="CH44" s="315"/>
      <c r="CJ44" s="22" t="s">
        <v>276</v>
      </c>
      <c r="CK44" s="22">
        <v>48</v>
      </c>
      <c r="CL44" s="159">
        <v>12</v>
      </c>
      <c r="CM44" s="159">
        <f>VLOOKUP(CL44,CI58:CJ83,2)</f>
        <v>52</v>
      </c>
      <c r="CN44" s="159"/>
      <c r="CP44" s="314" t="s">
        <v>292</v>
      </c>
      <c r="CQ44" s="314"/>
      <c r="DG44" s="22">
        <v>10</v>
      </c>
      <c r="DH44" s="111">
        <v>0.83</v>
      </c>
      <c r="DJ44" s="35"/>
      <c r="DS44" s="111">
        <f t="shared" si="16"/>
        <v>0.77</v>
      </c>
      <c r="DT44" s="111">
        <f t="shared" si="16"/>
        <v>0.83</v>
      </c>
      <c r="DU44" s="111">
        <f t="shared" si="16"/>
        <v>0.77</v>
      </c>
      <c r="DV44" s="111">
        <f t="shared" si="6"/>
        <v>0.49210700000000002</v>
      </c>
      <c r="FN44" s="22">
        <v>9</v>
      </c>
      <c r="FO44" s="22" t="s">
        <v>202</v>
      </c>
      <c r="FP44" s="22">
        <v>120</v>
      </c>
      <c r="FQ44" s="92">
        <v>6.75</v>
      </c>
      <c r="FR44" s="92">
        <v>7.375</v>
      </c>
      <c r="FS44" s="22">
        <v>40000</v>
      </c>
      <c r="FT44" s="22">
        <v>16000</v>
      </c>
      <c r="FU44" s="22">
        <f>FT44</f>
        <v>16000</v>
      </c>
      <c r="FV44" s="22">
        <v>25000</v>
      </c>
      <c r="FW44" s="22">
        <v>33000</v>
      </c>
      <c r="FX44" s="22">
        <v>28500</v>
      </c>
      <c r="FY44" s="22">
        <f t="shared" si="13"/>
        <v>28500</v>
      </c>
      <c r="FZ44" s="22">
        <v>43000</v>
      </c>
      <c r="GA44" s="22">
        <v>57000</v>
      </c>
      <c r="GE44" s="1">
        <f t="shared" si="7"/>
        <v>0</v>
      </c>
      <c r="GF44" s="1">
        <f t="shared" si="8"/>
        <v>0</v>
      </c>
      <c r="GG44" s="1">
        <f t="shared" si="9"/>
        <v>43000</v>
      </c>
      <c r="GH44" s="1">
        <f t="shared" si="10"/>
        <v>0</v>
      </c>
      <c r="GI44" s="1">
        <f t="shared" si="11"/>
        <v>0</v>
      </c>
      <c r="GJ44" s="1">
        <f t="shared" si="14"/>
        <v>0</v>
      </c>
      <c r="GK44" s="1" t="str">
        <f t="shared" si="12"/>
        <v/>
      </c>
    </row>
    <row r="45" spans="31:193" x14ac:dyDescent="0.25">
      <c r="AE45" s="22">
        <v>10</v>
      </c>
      <c r="AF45" s="24" t="str">
        <f>IF($AB$6="Rotary","DR460 63",IF($AB$6="DTH","DR460 63",""))</f>
        <v>DR460 63</v>
      </c>
      <c r="AG45" s="22">
        <v>10</v>
      </c>
      <c r="AH45" s="22">
        <v>2050</v>
      </c>
      <c r="AR45" s="22">
        <f>AS37+AU37+AW37+AY37</f>
        <v>7120</v>
      </c>
      <c r="AU45" s="92">
        <f>BB37+BD37+BF37+BH37</f>
        <v>5980</v>
      </c>
      <c r="BZ45" s="22">
        <v>100</v>
      </c>
      <c r="CA45" s="22">
        <v>121</v>
      </c>
      <c r="CB45" s="22">
        <v>133</v>
      </c>
      <c r="CC45" s="22">
        <v>172</v>
      </c>
      <c r="CD45" s="22">
        <v>229</v>
      </c>
      <c r="CF45" s="109">
        <f>CH75</f>
        <v>350</v>
      </c>
      <c r="CG45" s="152">
        <v>500</v>
      </c>
      <c r="CH45" s="156">
        <v>1.4650000000000001</v>
      </c>
      <c r="CL45" s="159"/>
      <c r="CM45" s="160"/>
      <c r="CN45" s="160"/>
      <c r="CP45" s="159">
        <f>IF($CK$40=CK49,CL49,IF($CK$40=CK50,CL50,IF($CK$40=CK51,CL51,IF($CK$40=CK52,CL52,IF($CK$40=CK53,CL53,0)))))</f>
        <v>0</v>
      </c>
      <c r="CQ45" s="271">
        <f>IF($CK$40=CK49,CM49,IF($CK$40=CK50,CM50,IF($CK$40=CK51,CM51,IF($CK$40=CK52,CM52,IF($CK$40=CK53,CM53,0)))))</f>
        <v>0</v>
      </c>
      <c r="DG45" s="22">
        <v>11</v>
      </c>
      <c r="DH45" s="111">
        <v>0.82</v>
      </c>
      <c r="DJ45" s="35"/>
      <c r="DS45" s="111">
        <f t="shared" si="16"/>
        <v>0.76</v>
      </c>
      <c r="DT45" s="111">
        <f t="shared" si="16"/>
        <v>0.82</v>
      </c>
      <c r="DU45" s="111">
        <f t="shared" si="16"/>
        <v>0.76</v>
      </c>
      <c r="DV45" s="111">
        <f t="shared" si="6"/>
        <v>0.473632</v>
      </c>
      <c r="FN45" s="22">
        <v>10</v>
      </c>
      <c r="FO45" s="22" t="s">
        <v>203</v>
      </c>
      <c r="FP45" s="22">
        <v>120</v>
      </c>
      <c r="FQ45" s="92">
        <v>9.875</v>
      </c>
      <c r="FR45" s="92">
        <v>11</v>
      </c>
      <c r="FS45" s="22">
        <v>60000</v>
      </c>
      <c r="FT45" s="22">
        <v>16000</v>
      </c>
      <c r="FU45" s="22">
        <f>FT45</f>
        <v>16000</v>
      </c>
      <c r="FV45" s="22">
        <v>25000</v>
      </c>
      <c r="FW45" s="22">
        <v>33000</v>
      </c>
      <c r="FX45" s="22">
        <v>28500</v>
      </c>
      <c r="FY45" s="22">
        <f t="shared" si="13"/>
        <v>28500</v>
      </c>
      <c r="FZ45" s="22">
        <v>43000</v>
      </c>
      <c r="GA45" s="22">
        <v>57000</v>
      </c>
      <c r="GE45" s="1">
        <f t="shared" si="7"/>
        <v>0</v>
      </c>
      <c r="GF45" s="1">
        <f t="shared" si="8"/>
        <v>0</v>
      </c>
      <c r="GG45" s="1">
        <f t="shared" si="9"/>
        <v>43000</v>
      </c>
      <c r="GH45" s="1">
        <f t="shared" si="10"/>
        <v>0</v>
      </c>
      <c r="GI45" s="1">
        <f t="shared" si="11"/>
        <v>0</v>
      </c>
      <c r="GJ45" s="1">
        <f t="shared" si="14"/>
        <v>0</v>
      </c>
      <c r="GK45" s="1" t="str">
        <f t="shared" si="12"/>
        <v/>
      </c>
    </row>
    <row r="46" spans="31:193" x14ac:dyDescent="0.25">
      <c r="AE46" s="22">
        <v>11</v>
      </c>
      <c r="AF46" s="24" t="str">
        <f>IF($AB$6="Rotary","D90KS 46","")</f>
        <v>D90KS 46</v>
      </c>
      <c r="AG46" s="22">
        <v>11</v>
      </c>
      <c r="AH46" s="22">
        <v>3580</v>
      </c>
      <c r="AR46" s="22">
        <f>AS38+AU38+AW38+AY38</f>
        <v>7120</v>
      </c>
      <c r="AU46" s="92">
        <f>BB38+BD38+BF38+BH38</f>
        <v>5980</v>
      </c>
      <c r="BZ46" s="22">
        <v>105</v>
      </c>
      <c r="CA46" s="22">
        <v>127</v>
      </c>
      <c r="CC46" s="22">
        <v>190</v>
      </c>
      <c r="CD46" s="22">
        <v>254</v>
      </c>
      <c r="CG46" s="152">
        <v>475</v>
      </c>
      <c r="CH46" s="156">
        <v>1.3879999999999999</v>
      </c>
      <c r="CP46" s="314" t="s">
        <v>293</v>
      </c>
      <c r="CQ46" s="314"/>
      <c r="CS46" s="150"/>
      <c r="CT46" s="150"/>
      <c r="CU46" s="150"/>
      <c r="CV46" s="150"/>
      <c r="CW46" s="150"/>
      <c r="DG46" s="22">
        <v>12</v>
      </c>
      <c r="DH46" s="111">
        <v>0.81</v>
      </c>
      <c r="DJ46" s="35"/>
      <c r="DS46" s="111">
        <f t="shared" si="16"/>
        <v>0.75</v>
      </c>
      <c r="DT46" s="111">
        <f t="shared" si="16"/>
        <v>0.80999999999999994</v>
      </c>
      <c r="DU46" s="111">
        <f t="shared" si="16"/>
        <v>0.75</v>
      </c>
      <c r="DV46" s="111">
        <f t="shared" si="6"/>
        <v>0.45562499999999995</v>
      </c>
      <c r="FN46" s="22">
        <v>11</v>
      </c>
      <c r="FO46" s="22" t="s">
        <v>262</v>
      </c>
      <c r="FP46" s="22">
        <v>125</v>
      </c>
      <c r="FQ46" s="92">
        <v>12.25</v>
      </c>
      <c r="FR46" s="92">
        <v>13.75</v>
      </c>
      <c r="FS46" s="22">
        <v>80000</v>
      </c>
      <c r="FT46" s="22">
        <v>16000</v>
      </c>
      <c r="FU46" s="22">
        <f>FT46</f>
        <v>16000</v>
      </c>
      <c r="FV46" s="22">
        <v>25000</v>
      </c>
      <c r="FW46" s="22">
        <v>33000</v>
      </c>
      <c r="FX46" s="22">
        <v>28500</v>
      </c>
      <c r="FY46" s="22">
        <f t="shared" ref="FY46" si="17">FX46</f>
        <v>28500</v>
      </c>
      <c r="FZ46" s="22">
        <v>43000</v>
      </c>
      <c r="GA46" s="22">
        <v>57000</v>
      </c>
      <c r="GE46" s="1">
        <f t="shared" si="7"/>
        <v>1</v>
      </c>
      <c r="GF46" s="1">
        <f t="shared" si="8"/>
        <v>1</v>
      </c>
      <c r="GG46" s="1">
        <f t="shared" si="9"/>
        <v>43000</v>
      </c>
      <c r="GH46" s="1">
        <f t="shared" si="10"/>
        <v>1</v>
      </c>
      <c r="GI46" s="1">
        <f t="shared" si="11"/>
        <v>0</v>
      </c>
      <c r="GJ46" s="1">
        <f t="shared" si="14"/>
        <v>1</v>
      </c>
      <c r="GK46" s="1" t="str">
        <f t="shared" si="12"/>
        <v/>
      </c>
    </row>
    <row r="47" spans="31:193" x14ac:dyDescent="0.25">
      <c r="AE47" s="22">
        <v>12</v>
      </c>
      <c r="AF47" s="24" t="str">
        <f>IF($AB$6="Rotary","D90KS 72","")</f>
        <v>D90KS 72</v>
      </c>
      <c r="AG47" s="22">
        <v>12</v>
      </c>
      <c r="AH47" s="22">
        <v>3580</v>
      </c>
      <c r="AR47" s="22">
        <f>AS39+AU39+AW39+AY39</f>
        <v>8669</v>
      </c>
      <c r="AU47" s="92">
        <f>BB39+BD39+BF39+BH39</f>
        <v>7504</v>
      </c>
      <c r="CC47" s="22">
        <v>203</v>
      </c>
      <c r="CF47" s="22">
        <f>VLOOKUP(CF45,CG45:CH57,2,FALSE)</f>
        <v>1</v>
      </c>
      <c r="CG47" s="152">
        <v>450</v>
      </c>
      <c r="CH47" s="156">
        <v>1.3109999999999999</v>
      </c>
      <c r="CP47" s="161">
        <f>CP45*CN42</f>
        <v>0</v>
      </c>
      <c r="CQ47" s="161">
        <f>CQ45*CN42</f>
        <v>0</v>
      </c>
      <c r="DG47" s="22">
        <v>13</v>
      </c>
      <c r="DH47" s="111">
        <v>0.8</v>
      </c>
      <c r="DJ47" s="35"/>
      <c r="FN47" s="22">
        <v>12</v>
      </c>
      <c r="FO47" s="22" t="s">
        <v>204</v>
      </c>
      <c r="FP47" s="22">
        <v>120</v>
      </c>
      <c r="FQ47" s="92">
        <v>9.875</v>
      </c>
      <c r="FR47" s="92">
        <v>11</v>
      </c>
      <c r="FS47" s="22">
        <v>70000</v>
      </c>
      <c r="FT47" s="22">
        <v>20000</v>
      </c>
      <c r="FU47" s="22">
        <f t="shared" ref="FU47:FU65" si="18">FT47</f>
        <v>20000</v>
      </c>
      <c r="FV47" s="22">
        <v>30000</v>
      </c>
      <c r="FW47" s="22">
        <v>40000</v>
      </c>
      <c r="FX47" s="22">
        <v>35000</v>
      </c>
      <c r="FY47" s="22">
        <f t="shared" si="13"/>
        <v>35000</v>
      </c>
      <c r="FZ47" s="22">
        <v>55000</v>
      </c>
      <c r="GA47" s="22">
        <v>70000</v>
      </c>
      <c r="GE47" s="1">
        <f t="shared" si="7"/>
        <v>0</v>
      </c>
      <c r="GF47" s="1">
        <f t="shared" si="8"/>
        <v>0</v>
      </c>
      <c r="GG47" s="1">
        <f t="shared" si="9"/>
        <v>55000</v>
      </c>
      <c r="GH47" s="1">
        <f t="shared" si="10"/>
        <v>0</v>
      </c>
      <c r="GI47" s="1">
        <f t="shared" si="11"/>
        <v>0</v>
      </c>
      <c r="GJ47" s="1">
        <f t="shared" si="14"/>
        <v>0</v>
      </c>
      <c r="GK47" s="1" t="str">
        <f t="shared" si="12"/>
        <v/>
      </c>
    </row>
    <row r="48" spans="31:193" x14ac:dyDescent="0.25">
      <c r="AE48" s="22">
        <v>13</v>
      </c>
      <c r="AF48" s="24" t="str">
        <f>IF($AB$6="Rotary","1190E 46","")</f>
        <v>1190E 46</v>
      </c>
      <c r="AG48" s="22">
        <v>13</v>
      </c>
      <c r="AH48" s="22">
        <v>3580</v>
      </c>
      <c r="AS48" s="92"/>
      <c r="CG48" s="152">
        <v>425</v>
      </c>
      <c r="CH48" s="156">
        <v>1.234</v>
      </c>
      <c r="CL48" s="22" t="s">
        <v>283</v>
      </c>
      <c r="CM48" s="22" t="s">
        <v>284</v>
      </c>
      <c r="CN48" s="160"/>
      <c r="CP48" s="314" t="s">
        <v>294</v>
      </c>
      <c r="CQ48" s="314"/>
      <c r="CS48" s="150"/>
      <c r="CT48" s="150"/>
      <c r="CU48" s="150"/>
      <c r="CV48" s="150"/>
      <c r="CW48" s="150"/>
      <c r="DG48" s="22">
        <v>14</v>
      </c>
      <c r="DH48" s="111">
        <v>0.79</v>
      </c>
      <c r="DJ48" s="35"/>
      <c r="FN48" s="22">
        <v>13</v>
      </c>
      <c r="FO48" s="22" t="s">
        <v>205</v>
      </c>
      <c r="FP48" s="22">
        <v>120</v>
      </c>
      <c r="FQ48" s="92">
        <v>12.25</v>
      </c>
      <c r="FR48" s="92">
        <v>13.75</v>
      </c>
      <c r="FS48" s="22">
        <v>85000</v>
      </c>
      <c r="FT48" s="22">
        <v>20000</v>
      </c>
      <c r="FU48" s="22">
        <f t="shared" si="18"/>
        <v>20000</v>
      </c>
      <c r="FV48" s="22">
        <v>30000</v>
      </c>
      <c r="FW48" s="22">
        <v>40000</v>
      </c>
      <c r="FX48" s="22">
        <v>35000</v>
      </c>
      <c r="FY48" s="22">
        <f t="shared" si="13"/>
        <v>35000</v>
      </c>
      <c r="FZ48" s="22">
        <v>55000</v>
      </c>
      <c r="GA48" s="22">
        <v>70000</v>
      </c>
      <c r="GE48" s="1">
        <f t="shared" si="7"/>
        <v>1</v>
      </c>
      <c r="GF48" s="1">
        <f t="shared" si="8"/>
        <v>1</v>
      </c>
      <c r="GG48" s="1">
        <f t="shared" si="9"/>
        <v>55000</v>
      </c>
      <c r="GH48" s="1">
        <f t="shared" si="10"/>
        <v>1</v>
      </c>
      <c r="GI48" s="1">
        <f t="shared" si="11"/>
        <v>1</v>
      </c>
      <c r="GJ48" s="1">
        <f t="shared" si="14"/>
        <v>2</v>
      </c>
      <c r="GK48" s="1">
        <f t="shared" si="12"/>
        <v>120</v>
      </c>
    </row>
    <row r="49" spans="31:193" x14ac:dyDescent="0.25">
      <c r="AE49" s="22">
        <v>14</v>
      </c>
      <c r="AF49" s="24" t="str">
        <f>IF($AB$6="Rotary","1190E 72","")</f>
        <v>1190E 72</v>
      </c>
      <c r="AG49" s="22">
        <v>14</v>
      </c>
      <c r="AH49" s="22">
        <v>3580</v>
      </c>
      <c r="AR49" s="314">
        <v>48</v>
      </c>
      <c r="AS49" s="314"/>
      <c r="AU49" s="314">
        <v>63</v>
      </c>
      <c r="AV49" s="314"/>
      <c r="CG49" s="152">
        <v>400</v>
      </c>
      <c r="CH49" s="156">
        <v>1.1579999999999999</v>
      </c>
      <c r="CK49" s="22" t="s">
        <v>279</v>
      </c>
      <c r="CL49" s="22">
        <v>52</v>
      </c>
      <c r="CM49" s="109">
        <f>CL49*1.15</f>
        <v>59.8</v>
      </c>
      <c r="CN49" s="160">
        <v>90</v>
      </c>
      <c r="CP49" s="109">
        <f>CP47*CF47</f>
        <v>0</v>
      </c>
      <c r="CQ49" s="109">
        <f>CQ47*CF47</f>
        <v>0</v>
      </c>
      <c r="DG49" s="22">
        <v>15</v>
      </c>
      <c r="DH49" s="111">
        <v>0.78</v>
      </c>
      <c r="DJ49" s="35"/>
      <c r="FN49" s="22">
        <v>14</v>
      </c>
      <c r="FO49" s="22" t="s">
        <v>206</v>
      </c>
      <c r="FP49" s="22">
        <v>120</v>
      </c>
      <c r="FQ49" s="92">
        <v>12.25</v>
      </c>
      <c r="FR49" s="92">
        <v>13.75</v>
      </c>
      <c r="FS49" s="22">
        <v>85000</v>
      </c>
      <c r="FT49" s="22">
        <v>20000</v>
      </c>
      <c r="FU49" s="22">
        <f t="shared" si="18"/>
        <v>20000</v>
      </c>
      <c r="FV49" s="22">
        <v>34000</v>
      </c>
      <c r="FW49" s="22">
        <v>44000</v>
      </c>
      <c r="FX49" s="22">
        <v>39000</v>
      </c>
      <c r="FY49" s="22">
        <f t="shared" si="13"/>
        <v>39000</v>
      </c>
      <c r="FZ49" s="22">
        <v>57000</v>
      </c>
      <c r="GA49" s="22">
        <v>70000</v>
      </c>
      <c r="GE49" s="1">
        <f t="shared" si="7"/>
        <v>1</v>
      </c>
      <c r="GF49" s="1">
        <f t="shared" si="8"/>
        <v>1</v>
      </c>
      <c r="GG49" s="1">
        <f t="shared" si="9"/>
        <v>57000</v>
      </c>
      <c r="GH49" s="1">
        <f t="shared" si="10"/>
        <v>1</v>
      </c>
      <c r="GI49" s="1">
        <f t="shared" si="11"/>
        <v>1</v>
      </c>
      <c r="GJ49" s="1">
        <f t="shared" si="14"/>
        <v>2</v>
      </c>
      <c r="GK49" s="1">
        <f t="shared" si="12"/>
        <v>120</v>
      </c>
    </row>
    <row r="50" spans="31:193" x14ac:dyDescent="0.25">
      <c r="AE50" s="22">
        <v>15</v>
      </c>
      <c r="AF50" s="24" t="str">
        <f>IF($AB$6="Rotary","DR412i MP",IF($AB$6="DTH","DR412i MP",""))</f>
        <v>DR412i MP</v>
      </c>
      <c r="AG50" s="22">
        <v>15</v>
      </c>
      <c r="AH50" s="22">
        <v>2050</v>
      </c>
      <c r="AI50" s="22">
        <f>AR51</f>
        <v>8669</v>
      </c>
      <c r="AJ50" s="22">
        <f>FD17</f>
        <v>80000</v>
      </c>
      <c r="AR50" s="184" t="s">
        <v>1311</v>
      </c>
      <c r="AS50" s="184" t="s">
        <v>1312</v>
      </c>
      <c r="AU50" s="184" t="s">
        <v>1311</v>
      </c>
      <c r="AV50" s="184" t="s">
        <v>1312</v>
      </c>
      <c r="BX50" s="267" t="s">
        <v>279</v>
      </c>
      <c r="BY50" s="22" t="s">
        <v>280</v>
      </c>
      <c r="BZ50" s="22" t="s">
        <v>288</v>
      </c>
      <c r="CA50" s="22" t="s">
        <v>281</v>
      </c>
      <c r="CB50" s="22" t="s">
        <v>289</v>
      </c>
      <c r="CC50" s="22" t="s">
        <v>282</v>
      </c>
      <c r="CD50" s="22" t="s">
        <v>1327</v>
      </c>
      <c r="CG50" s="152">
        <v>375</v>
      </c>
      <c r="CH50" s="156">
        <v>1.081</v>
      </c>
      <c r="CK50" s="22" t="s">
        <v>280</v>
      </c>
      <c r="CL50" s="22">
        <v>56</v>
      </c>
      <c r="CM50" s="109">
        <f>CL50*1.15</f>
        <v>64.399999999999991</v>
      </c>
      <c r="CN50" s="160">
        <v>115</v>
      </c>
      <c r="CP50" s="314" t="s">
        <v>285</v>
      </c>
      <c r="CQ50" s="314"/>
      <c r="DG50" s="22">
        <v>16</v>
      </c>
      <c r="DH50" s="111">
        <v>0.77</v>
      </c>
      <c r="DJ50" s="35"/>
      <c r="FN50" s="22">
        <v>15</v>
      </c>
      <c r="FO50" s="22" t="s">
        <v>207</v>
      </c>
      <c r="FP50" s="22">
        <v>120</v>
      </c>
      <c r="FQ50" s="92">
        <v>15</v>
      </c>
      <c r="FR50" s="92">
        <v>16</v>
      </c>
      <c r="FS50" s="22">
        <v>120000</v>
      </c>
      <c r="FT50" s="22">
        <v>20000</v>
      </c>
      <c r="FU50" s="22">
        <f t="shared" si="18"/>
        <v>20000</v>
      </c>
      <c r="FV50" s="22">
        <v>34000</v>
      </c>
      <c r="FW50" s="22">
        <v>44000</v>
      </c>
      <c r="FX50" s="22">
        <v>39000</v>
      </c>
      <c r="FY50" s="22">
        <f t="shared" si="13"/>
        <v>39000</v>
      </c>
      <c r="FZ50" s="22">
        <v>57000</v>
      </c>
      <c r="GA50" s="22">
        <v>70000</v>
      </c>
      <c r="GE50" s="1">
        <f t="shared" si="7"/>
        <v>1</v>
      </c>
      <c r="GF50" s="1">
        <f t="shared" si="8"/>
        <v>1</v>
      </c>
      <c r="GG50" s="1">
        <f t="shared" si="9"/>
        <v>57000</v>
      </c>
      <c r="GH50" s="1">
        <f t="shared" si="10"/>
        <v>1</v>
      </c>
      <c r="GI50" s="1">
        <f t="shared" si="11"/>
        <v>1</v>
      </c>
      <c r="GJ50" s="1">
        <f t="shared" si="14"/>
        <v>2</v>
      </c>
      <c r="GK50" s="1">
        <f t="shared" si="12"/>
        <v>120</v>
      </c>
    </row>
    <row r="51" spans="31:193" x14ac:dyDescent="0.25">
      <c r="AE51" s="22">
        <v>16</v>
      </c>
      <c r="AF51" s="24" t="str">
        <f>IF($AB$6="Rotary","DR412i SP",IF($AB$6="DTH","DR412i SP",""))</f>
        <v>DR412i SP</v>
      </c>
      <c r="AG51" s="22">
        <v>16</v>
      </c>
      <c r="AH51" s="22">
        <v>2050</v>
      </c>
      <c r="AI51" s="22">
        <f>AU51</f>
        <v>7504</v>
      </c>
      <c r="AJ51" s="22">
        <f>FD18</f>
        <v>80000</v>
      </c>
      <c r="AN51" s="92">
        <f>BB2</f>
        <v>245</v>
      </c>
      <c r="AR51" s="22">
        <f>LOOKUP($AN$51,AQ53:AR56)</f>
        <v>8669</v>
      </c>
      <c r="AS51" s="92">
        <f>LOOKUP(AN51,AQ53:AQ56,AS53:AS56)</f>
        <v>47.5</v>
      </c>
      <c r="AU51" s="22">
        <f>LOOKUP(AN51,AQ53:AQ56,AU53:AU56)</f>
        <v>7504</v>
      </c>
      <c r="AV51" s="22">
        <f>LOOKUP(AQ53,AQ53:AQ56,AV53:AV56)</f>
        <v>62</v>
      </c>
      <c r="BW51" s="317" t="s">
        <v>290</v>
      </c>
      <c r="BX51" s="22">
        <v>3.5</v>
      </c>
      <c r="BY51" s="22">
        <v>4</v>
      </c>
      <c r="BZ51" s="22">
        <v>5.125</v>
      </c>
      <c r="CA51" s="22">
        <v>5.5</v>
      </c>
      <c r="CB51" s="22">
        <v>6</v>
      </c>
      <c r="CC51" s="22">
        <v>6.5</v>
      </c>
      <c r="CD51" s="22">
        <v>8</v>
      </c>
      <c r="CG51" s="152">
        <v>350</v>
      </c>
      <c r="CH51" s="156">
        <v>1</v>
      </c>
      <c r="CK51" s="22" t="s">
        <v>288</v>
      </c>
      <c r="CL51" s="22">
        <v>53</v>
      </c>
      <c r="CM51" s="109">
        <f>CL51*1.15</f>
        <v>60.949999999999996</v>
      </c>
      <c r="CN51" s="160">
        <v>140</v>
      </c>
      <c r="CP51" s="22" t="s">
        <v>283</v>
      </c>
      <c r="CQ51" s="22" t="s">
        <v>284</v>
      </c>
      <c r="DG51" s="22">
        <v>17</v>
      </c>
      <c r="DH51" s="111">
        <v>0.76</v>
      </c>
      <c r="DJ51" s="35"/>
      <c r="FN51" s="22">
        <v>16</v>
      </c>
      <c r="FO51" s="22" t="s">
        <v>263</v>
      </c>
      <c r="FP51" s="22">
        <v>110</v>
      </c>
      <c r="FQ51" s="92">
        <v>9.875</v>
      </c>
      <c r="FR51" s="92">
        <v>11</v>
      </c>
      <c r="FS51" s="22">
        <v>75000</v>
      </c>
      <c r="GE51" s="1">
        <f t="shared" si="7"/>
        <v>0</v>
      </c>
      <c r="GF51" s="1">
        <f t="shared" si="8"/>
        <v>0</v>
      </c>
      <c r="GG51" s="1">
        <f t="shared" si="9"/>
        <v>0</v>
      </c>
      <c r="GH51" s="1">
        <f t="shared" si="10"/>
        <v>0</v>
      </c>
      <c r="GI51" s="1">
        <f t="shared" si="11"/>
        <v>0</v>
      </c>
      <c r="GJ51" s="1">
        <f t="shared" si="14"/>
        <v>0</v>
      </c>
      <c r="GK51" s="1" t="str">
        <f t="shared" si="12"/>
        <v/>
      </c>
    </row>
    <row r="52" spans="31:193" x14ac:dyDescent="0.25">
      <c r="AE52" s="22">
        <v>17</v>
      </c>
      <c r="AF52" s="22" t="s">
        <v>1320</v>
      </c>
      <c r="AG52" s="22">
        <v>17</v>
      </c>
      <c r="BW52" s="317"/>
      <c r="BX52" s="22">
        <v>3.75</v>
      </c>
      <c r="BY52" s="22">
        <v>4.5</v>
      </c>
      <c r="BZ52" s="22">
        <v>5.25</v>
      </c>
      <c r="CA52" s="22">
        <v>5.625</v>
      </c>
      <c r="CB52" s="22">
        <v>6.125</v>
      </c>
      <c r="CC52" s="22">
        <v>6.75</v>
      </c>
      <c r="CD52" s="22">
        <v>8.625</v>
      </c>
      <c r="CG52" s="152">
        <v>325</v>
      </c>
      <c r="CH52" s="156">
        <v>0.92500000000000004</v>
      </c>
      <c r="CK52" s="22" t="s">
        <v>289</v>
      </c>
      <c r="CL52" s="22">
        <v>59</v>
      </c>
      <c r="CM52" s="109">
        <f>CL52*1.15</f>
        <v>67.849999999999994</v>
      </c>
      <c r="CN52" s="160">
        <v>165</v>
      </c>
      <c r="CP52" s="109">
        <f>VLOOKUP(CM44,CJ58:CM83,3)</f>
        <v>0</v>
      </c>
      <c r="CQ52" s="109">
        <f>VLOOKUP(CM44,CJ58:CM83,4)</f>
        <v>0</v>
      </c>
      <c r="DG52" s="22">
        <v>18</v>
      </c>
      <c r="DH52" s="111">
        <v>0.75</v>
      </c>
      <c r="DJ52" s="35"/>
      <c r="FN52" s="22">
        <v>17</v>
      </c>
      <c r="FO52" s="22" t="s">
        <v>264</v>
      </c>
      <c r="FP52" s="22">
        <v>110</v>
      </c>
      <c r="FQ52" s="92">
        <v>12.25</v>
      </c>
      <c r="FR52" s="92">
        <v>13.75</v>
      </c>
      <c r="FS52" s="22">
        <v>100000</v>
      </c>
      <c r="GE52" s="1">
        <f t="shared" si="7"/>
        <v>1</v>
      </c>
      <c r="GF52" s="1">
        <f t="shared" si="8"/>
        <v>1</v>
      </c>
      <c r="GG52" s="1">
        <f t="shared" si="9"/>
        <v>0</v>
      </c>
      <c r="GH52" s="1">
        <f t="shared" si="10"/>
        <v>1</v>
      </c>
      <c r="GI52" s="1">
        <f t="shared" si="11"/>
        <v>1</v>
      </c>
      <c r="GJ52" s="1">
        <f t="shared" si="14"/>
        <v>2</v>
      </c>
      <c r="GK52" s="1">
        <f t="shared" si="12"/>
        <v>110</v>
      </c>
    </row>
    <row r="53" spans="31:193" x14ac:dyDescent="0.25">
      <c r="AE53" s="22">
        <v>18</v>
      </c>
      <c r="AF53" s="24" t="str">
        <f>IF($AB$6="DTH","DR560","")</f>
        <v/>
      </c>
      <c r="AG53" s="22">
        <v>18</v>
      </c>
      <c r="AQ53" s="92">
        <v>7</v>
      </c>
      <c r="AR53" s="22">
        <f>IF($AR$29=1,AR44,(AR44-AY36))</f>
        <v>6357</v>
      </c>
      <c r="AS53" s="22">
        <f>AR36+((AT36+AV36+AX36)/12)</f>
        <v>47</v>
      </c>
      <c r="AU53" s="22">
        <f>IF($AR$29=1,AU44,(AU44-BB36))</f>
        <v>5157</v>
      </c>
      <c r="AV53" s="22">
        <f>BA36+((BC36+BE36+BG36)/12)</f>
        <v>62</v>
      </c>
      <c r="BW53" s="317"/>
      <c r="BX53" s="22">
        <v>3.875</v>
      </c>
      <c r="BY53" s="22">
        <v>4.75</v>
      </c>
      <c r="BZ53" s="22">
        <v>5.5</v>
      </c>
      <c r="CA53" s="22">
        <v>5.75</v>
      </c>
      <c r="CB53" s="22">
        <v>6.25</v>
      </c>
      <c r="CC53" s="22">
        <v>7</v>
      </c>
      <c r="CD53" s="22">
        <v>8.75</v>
      </c>
      <c r="CG53" s="152">
        <v>300</v>
      </c>
      <c r="CH53" s="156">
        <v>0.85</v>
      </c>
      <c r="CK53" s="22" t="s">
        <v>1327</v>
      </c>
      <c r="CL53" s="22">
        <v>38</v>
      </c>
      <c r="CM53" s="109">
        <f>CL53*1.15</f>
        <v>43.699999999999996</v>
      </c>
      <c r="CN53" s="159">
        <v>203</v>
      </c>
      <c r="DG53" s="22" t="s">
        <v>127</v>
      </c>
      <c r="DJ53" s="35"/>
      <c r="DS53" s="35"/>
      <c r="DT53" s="35"/>
      <c r="DU53" s="35"/>
      <c r="DW53" s="35">
        <f>+$DS$34*DS36*DT36*DU36</f>
        <v>1022610.6109270373</v>
      </c>
      <c r="FN53" s="22">
        <v>18</v>
      </c>
      <c r="FO53" s="22" t="s">
        <v>208</v>
      </c>
      <c r="FP53" s="22">
        <v>120</v>
      </c>
      <c r="FQ53" s="92">
        <v>7.875</v>
      </c>
      <c r="FR53" s="92">
        <v>9</v>
      </c>
      <c r="FS53" s="22">
        <v>50000</v>
      </c>
      <c r="FT53" s="22">
        <v>25500</v>
      </c>
      <c r="FU53" s="22">
        <f t="shared" si="18"/>
        <v>25500</v>
      </c>
      <c r="FV53" s="22">
        <v>37000</v>
      </c>
      <c r="FW53" s="22">
        <v>49000</v>
      </c>
      <c r="FX53" s="22">
        <v>47000</v>
      </c>
      <c r="FY53" s="22">
        <f t="shared" si="13"/>
        <v>47000</v>
      </c>
      <c r="FZ53" s="22">
        <v>70000</v>
      </c>
      <c r="GA53" s="22">
        <v>70000</v>
      </c>
      <c r="GE53" s="1">
        <f t="shared" si="7"/>
        <v>0</v>
      </c>
      <c r="GF53" s="1">
        <f t="shared" si="8"/>
        <v>0</v>
      </c>
      <c r="GG53" s="1">
        <f t="shared" si="9"/>
        <v>70000</v>
      </c>
      <c r="GH53" s="1">
        <f t="shared" si="10"/>
        <v>0</v>
      </c>
      <c r="GI53" s="1">
        <f t="shared" si="11"/>
        <v>0</v>
      </c>
      <c r="GJ53" s="1">
        <f t="shared" si="14"/>
        <v>0</v>
      </c>
      <c r="GK53" s="1" t="str">
        <f t="shared" si="12"/>
        <v/>
      </c>
    </row>
    <row r="54" spans="31:193" x14ac:dyDescent="0.25">
      <c r="AE54" s="22">
        <v>19</v>
      </c>
      <c r="AF54" s="24" t="str">
        <f>IF($AB$6="DTH","DR580","")</f>
        <v/>
      </c>
      <c r="AG54" s="22">
        <v>19</v>
      </c>
      <c r="AQ54" s="92">
        <v>7.625</v>
      </c>
      <c r="AR54" s="22">
        <f>IF($AR$29=1,AR45,(AR45-AY37))</f>
        <v>7120</v>
      </c>
      <c r="AS54" s="22">
        <f>AR37+((AT37+AV37+AX37)/12)</f>
        <v>47</v>
      </c>
      <c r="AU54" s="22">
        <f>IF($AR$29=1,AU45,(AU45-BB37))</f>
        <v>5980</v>
      </c>
      <c r="AV54" s="22">
        <f>BA37+((BC37+BE37+BG37)/12)</f>
        <v>62</v>
      </c>
      <c r="BW54" s="317"/>
      <c r="BX54" s="22">
        <v>4.125</v>
      </c>
      <c r="BY54" s="22">
        <v>5</v>
      </c>
      <c r="BZ54" s="22">
        <v>5.625</v>
      </c>
      <c r="CA54" s="22">
        <v>6</v>
      </c>
      <c r="CB54" s="22">
        <v>6.5</v>
      </c>
      <c r="CC54" s="22">
        <v>7.5</v>
      </c>
      <c r="CD54" s="22">
        <v>9.5</v>
      </c>
      <c r="CG54" s="152">
        <v>275</v>
      </c>
      <c r="CH54" s="156">
        <v>0.77500000000000002</v>
      </c>
      <c r="CL54" s="159"/>
      <c r="CM54" s="159"/>
      <c r="CN54" s="159"/>
      <c r="CO54" s="22">
        <v>2</v>
      </c>
      <c r="CP54" s="22" t="str">
        <f>LOOKUP(CO54,CO55:CP56)</f>
        <v>Ballistic</v>
      </c>
      <c r="CQ54" s="109">
        <f>IF(CP54=CP55,CP52,CQ52)</f>
        <v>0</v>
      </c>
      <c r="DG54" s="22">
        <v>1</v>
      </c>
      <c r="DH54" s="111">
        <v>0.8</v>
      </c>
      <c r="DJ54" s="35"/>
      <c r="DS54" s="35">
        <f t="shared" ref="DS54:DU62" si="19">+$DS$34*DS37</f>
        <v>858992.91317871143</v>
      </c>
      <c r="DT54" s="35">
        <f t="shared" si="19"/>
        <v>920349.54983433359</v>
      </c>
      <c r="DU54" s="35">
        <f t="shared" si="19"/>
        <v>858992.91317871143</v>
      </c>
      <c r="DV54" s="35">
        <f>+$DS$34*DS37*DT37*DU37</f>
        <v>649398.64236310602</v>
      </c>
      <c r="DW54" s="35">
        <f>+DW53</f>
        <v>1022610.6109270373</v>
      </c>
      <c r="FN54" s="22">
        <v>19</v>
      </c>
      <c r="FO54" s="22" t="s">
        <v>209</v>
      </c>
      <c r="FP54" s="22">
        <v>110</v>
      </c>
      <c r="FQ54" s="92">
        <v>9.875</v>
      </c>
      <c r="FR54" s="92">
        <v>11</v>
      </c>
      <c r="FS54" s="22">
        <v>85000</v>
      </c>
      <c r="FT54" s="22">
        <v>25500</v>
      </c>
      <c r="FU54" s="22">
        <f t="shared" si="18"/>
        <v>25500</v>
      </c>
      <c r="FV54" s="22">
        <v>37000</v>
      </c>
      <c r="FW54" s="22">
        <v>49000</v>
      </c>
      <c r="FX54" s="22">
        <v>47000</v>
      </c>
      <c r="FY54" s="22">
        <f t="shared" si="13"/>
        <v>47000</v>
      </c>
      <c r="FZ54" s="22">
        <v>70000</v>
      </c>
      <c r="GA54" s="22">
        <v>70000</v>
      </c>
      <c r="GE54" s="1">
        <f t="shared" si="7"/>
        <v>0</v>
      </c>
      <c r="GF54" s="1">
        <f t="shared" si="8"/>
        <v>0</v>
      </c>
      <c r="GG54" s="1">
        <f t="shared" si="9"/>
        <v>70000</v>
      </c>
      <c r="GH54" s="1">
        <f t="shared" si="10"/>
        <v>0</v>
      </c>
      <c r="GI54" s="1">
        <f t="shared" si="11"/>
        <v>1</v>
      </c>
      <c r="GJ54" s="1">
        <f t="shared" si="14"/>
        <v>1</v>
      </c>
      <c r="GK54" s="1" t="str">
        <f t="shared" si="12"/>
        <v/>
      </c>
    </row>
    <row r="55" spans="31:193" x14ac:dyDescent="0.25">
      <c r="AE55" s="22">
        <v>20</v>
      </c>
      <c r="AF55" s="24" t="str">
        <f>IF($AB$6="Rotary","160D",IF($AB$6="DTH","160D",""))</f>
        <v>160D</v>
      </c>
      <c r="AG55" s="22">
        <v>20</v>
      </c>
      <c r="AQ55" s="92">
        <v>8</v>
      </c>
      <c r="AR55" s="22">
        <f>IF($AR$29=1,AR46,(AR46-AY38))</f>
        <v>7120</v>
      </c>
      <c r="AS55" s="22">
        <f>AR38+((AT38+AV38+AX38)/12)</f>
        <v>47</v>
      </c>
      <c r="AU55" s="22">
        <f>IF($AR$29=1,AU46,(AU46-BB38))</f>
        <v>5980</v>
      </c>
      <c r="AV55" s="22">
        <f>BA38+((BC38+BE38+BG38)/12)</f>
        <v>62</v>
      </c>
      <c r="BK55" s="22" t="s">
        <v>271</v>
      </c>
      <c r="BW55" s="317"/>
      <c r="BY55" s="22">
        <v>5.125</v>
      </c>
      <c r="BZ55" s="22">
        <v>5.75</v>
      </c>
      <c r="CB55" s="22">
        <v>6.75</v>
      </c>
      <c r="CC55" s="22">
        <v>8</v>
      </c>
      <c r="CD55" s="22">
        <v>10</v>
      </c>
      <c r="CG55" s="152">
        <v>250</v>
      </c>
      <c r="CH55" s="156">
        <v>0.7</v>
      </c>
      <c r="CO55" s="22">
        <v>1</v>
      </c>
      <c r="CP55" s="22" t="s">
        <v>283</v>
      </c>
      <c r="DG55" s="22">
        <v>2</v>
      </c>
      <c r="DH55" s="111">
        <v>0.79</v>
      </c>
      <c r="DJ55" s="35"/>
      <c r="DS55" s="35">
        <f t="shared" si="19"/>
        <v>848766.80706944107</v>
      </c>
      <c r="DT55" s="35">
        <f t="shared" si="19"/>
        <v>910123.44372506323</v>
      </c>
      <c r="DU55" s="35">
        <f t="shared" si="19"/>
        <v>848766.80706944107</v>
      </c>
      <c r="DV55" s="35">
        <f>+$DS$34*DS38*DT38*DU38</f>
        <v>626984.0403821962</v>
      </c>
      <c r="DW55" s="35">
        <f t="shared" ref="DW55:DW62" si="20">+DW54</f>
        <v>1022610.6109270373</v>
      </c>
      <c r="FN55" s="22">
        <v>20</v>
      </c>
      <c r="FO55" s="22" t="s">
        <v>210</v>
      </c>
      <c r="FP55" s="22">
        <v>100</v>
      </c>
      <c r="FQ55" s="92">
        <v>12.25</v>
      </c>
      <c r="FR55" s="92">
        <v>13.75</v>
      </c>
      <c r="FS55" s="22">
        <v>100000</v>
      </c>
      <c r="FT55" s="22">
        <v>25500</v>
      </c>
      <c r="FU55" s="22">
        <f t="shared" si="18"/>
        <v>25500</v>
      </c>
      <c r="FV55" s="22">
        <v>37000</v>
      </c>
      <c r="FW55" s="22">
        <v>49000</v>
      </c>
      <c r="FX55" s="22">
        <v>47000</v>
      </c>
      <c r="FY55" s="22">
        <f t="shared" si="13"/>
        <v>47000</v>
      </c>
      <c r="FZ55" s="22">
        <v>70000</v>
      </c>
      <c r="GA55" s="22">
        <v>70000</v>
      </c>
      <c r="GE55" s="1">
        <f t="shared" si="7"/>
        <v>1</v>
      </c>
      <c r="GF55" s="1">
        <f t="shared" si="8"/>
        <v>1</v>
      </c>
      <c r="GG55" s="1">
        <f t="shared" si="9"/>
        <v>70000</v>
      </c>
      <c r="GH55" s="1">
        <f t="shared" si="10"/>
        <v>1</v>
      </c>
      <c r="GI55" s="1">
        <f t="shared" si="11"/>
        <v>1</v>
      </c>
      <c r="GJ55" s="1">
        <f t="shared" si="14"/>
        <v>2</v>
      </c>
      <c r="GK55" s="1">
        <f t="shared" si="12"/>
        <v>100</v>
      </c>
    </row>
    <row r="56" spans="31:193" x14ac:dyDescent="0.25">
      <c r="AE56" s="22">
        <v>21</v>
      </c>
      <c r="AF56" s="24" t="str">
        <f>IF($AB$6="Rotary","DR416i","")</f>
        <v>DR416i</v>
      </c>
      <c r="AG56" s="22">
        <v>21</v>
      </c>
      <c r="AQ56" s="92">
        <v>8.625</v>
      </c>
      <c r="AR56" s="22">
        <f>IF($AR$29=1,AR47,(AR47-AY39))</f>
        <v>8669</v>
      </c>
      <c r="AS56" s="22">
        <f>AR39+((AT39+AV39+AX39)/12)</f>
        <v>47.5</v>
      </c>
      <c r="AU56" s="22">
        <f>IF($AR$29=1,AU47,(AU47-BB39))</f>
        <v>7504</v>
      </c>
      <c r="AV56" s="22">
        <f>BA39+((BC39+BE39+BG39)/12)</f>
        <v>62.5</v>
      </c>
      <c r="BW56" s="317"/>
      <c r="BY56" s="22">
        <v>5.25</v>
      </c>
      <c r="BZ56" s="22">
        <v>6</v>
      </c>
      <c r="CB56" s="22">
        <v>7</v>
      </c>
      <c r="CD56" s="22">
        <v>10.625</v>
      </c>
      <c r="CG56" s="152">
        <v>225</v>
      </c>
      <c r="CH56" s="156">
        <v>0.62</v>
      </c>
      <c r="CO56" s="22">
        <v>2</v>
      </c>
      <c r="CP56" s="22" t="s">
        <v>284</v>
      </c>
      <c r="DG56" s="22">
        <v>4</v>
      </c>
      <c r="DH56" s="111">
        <v>0.77</v>
      </c>
      <c r="DJ56" s="35"/>
      <c r="DS56" s="35">
        <f t="shared" si="19"/>
        <v>838540.70096017071</v>
      </c>
      <c r="DT56" s="35">
        <f t="shared" si="19"/>
        <v>899897.33761579287</v>
      </c>
      <c r="DU56" s="35">
        <f t="shared" si="19"/>
        <v>838540.70096017071</v>
      </c>
      <c r="DV56" s="35">
        <f t="shared" ref="DV56:DV62" si="21">+$DS$34*DS39*DT39*DU39</f>
        <v>605090.9698128592</v>
      </c>
      <c r="DW56" s="35">
        <f t="shared" si="20"/>
        <v>1022610.6109270373</v>
      </c>
      <c r="FN56" s="22">
        <v>21</v>
      </c>
      <c r="FO56" s="22" t="s">
        <v>211</v>
      </c>
      <c r="FP56" s="22">
        <v>100</v>
      </c>
      <c r="FQ56" s="92">
        <v>15</v>
      </c>
      <c r="FR56" s="92">
        <v>16</v>
      </c>
      <c r="FS56" s="22">
        <v>130000</v>
      </c>
      <c r="FT56" s="22">
        <v>25500</v>
      </c>
      <c r="FU56" s="22">
        <f t="shared" si="18"/>
        <v>25500</v>
      </c>
      <c r="FV56" s="22">
        <v>37000</v>
      </c>
      <c r="FW56" s="22">
        <v>49000</v>
      </c>
      <c r="FX56" s="22">
        <v>47000</v>
      </c>
      <c r="FY56" s="22">
        <f t="shared" si="13"/>
        <v>47000</v>
      </c>
      <c r="FZ56" s="22">
        <v>70000</v>
      </c>
      <c r="GA56" s="22">
        <v>70000</v>
      </c>
      <c r="GE56" s="1">
        <f t="shared" si="7"/>
        <v>1</v>
      </c>
      <c r="GF56" s="1">
        <f t="shared" si="8"/>
        <v>1</v>
      </c>
      <c r="GG56" s="1">
        <f t="shared" si="9"/>
        <v>70000</v>
      </c>
      <c r="GH56" s="1">
        <f t="shared" si="10"/>
        <v>1</v>
      </c>
      <c r="GI56" s="1">
        <f t="shared" si="11"/>
        <v>1</v>
      </c>
      <c r="GJ56" s="1">
        <f t="shared" si="14"/>
        <v>2</v>
      </c>
      <c r="GK56" s="1">
        <f t="shared" si="12"/>
        <v>100</v>
      </c>
    </row>
    <row r="57" spans="31:193" ht="14.25" thickBot="1" x14ac:dyDescent="0.3">
      <c r="AS57" s="92"/>
      <c r="BW57" s="317"/>
      <c r="BY57" s="22">
        <v>5.5</v>
      </c>
      <c r="CB57" s="22">
        <v>7.5</v>
      </c>
      <c r="CG57" s="157">
        <v>200</v>
      </c>
      <c r="CH57" s="158">
        <v>0.54</v>
      </c>
      <c r="CJ57" s="151" t="s">
        <v>273</v>
      </c>
      <c r="CK57" s="22" t="s">
        <v>277</v>
      </c>
      <c r="CL57" s="154" t="s">
        <v>274</v>
      </c>
      <c r="CM57" s="155" t="s">
        <v>275</v>
      </c>
      <c r="DG57" s="22">
        <v>5</v>
      </c>
      <c r="DH57" s="111">
        <v>0.76</v>
      </c>
      <c r="DJ57" s="35"/>
      <c r="DS57" s="35">
        <f t="shared" si="19"/>
        <v>828314.59485090023</v>
      </c>
      <c r="DT57" s="35">
        <f t="shared" si="19"/>
        <v>889671.23150652251</v>
      </c>
      <c r="DU57" s="35">
        <f t="shared" si="19"/>
        <v>828314.59485090023</v>
      </c>
      <c r="DV57" s="35">
        <f t="shared" si="21"/>
        <v>583713.29499142943</v>
      </c>
      <c r="DW57" s="35">
        <f t="shared" si="20"/>
        <v>1022610.6109270373</v>
      </c>
      <c r="FN57" s="22">
        <v>22</v>
      </c>
      <c r="FO57" s="22" t="s">
        <v>265</v>
      </c>
      <c r="FP57" s="22">
        <v>110</v>
      </c>
      <c r="FQ57" s="92">
        <v>12.25</v>
      </c>
      <c r="FR57" s="92">
        <v>13.75</v>
      </c>
      <c r="FS57" s="22">
        <v>100000</v>
      </c>
      <c r="GE57" s="1">
        <f t="shared" si="7"/>
        <v>1</v>
      </c>
      <c r="GF57" s="1">
        <f t="shared" si="8"/>
        <v>1</v>
      </c>
      <c r="GG57" s="1">
        <f t="shared" si="9"/>
        <v>0</v>
      </c>
      <c r="GH57" s="1">
        <f t="shared" si="10"/>
        <v>1</v>
      </c>
      <c r="GI57" s="1">
        <f t="shared" si="11"/>
        <v>1</v>
      </c>
      <c r="GJ57" s="1">
        <f t="shared" si="14"/>
        <v>2</v>
      </c>
      <c r="GK57" s="1">
        <f t="shared" si="12"/>
        <v>110</v>
      </c>
    </row>
    <row r="58" spans="31:193" x14ac:dyDescent="0.25">
      <c r="AS58" s="92"/>
      <c r="BW58" s="317"/>
      <c r="CB58" s="22">
        <v>8</v>
      </c>
      <c r="CI58" s="22">
        <v>1</v>
      </c>
      <c r="CJ58" s="152">
        <v>30</v>
      </c>
      <c r="CK58" s="22">
        <f>POWER(CJ58/$CK$44,0.8)</f>
        <v>0.6866003395663236</v>
      </c>
      <c r="CL58" s="108">
        <f>($CP$49*(CJ58/$CK$44)*CK58)</f>
        <v>0</v>
      </c>
      <c r="CM58" s="108">
        <f>($CP$49*(CJ58/$CK$44)*CK58)*1.15</f>
        <v>0</v>
      </c>
      <c r="DG58" s="22">
        <v>6</v>
      </c>
      <c r="DH58" s="111">
        <v>0.75</v>
      </c>
      <c r="DJ58" s="35"/>
      <c r="DS58" s="35">
        <f t="shared" si="19"/>
        <v>818088.48874162987</v>
      </c>
      <c r="DT58" s="35">
        <f t="shared" si="19"/>
        <v>879445.12539725204</v>
      </c>
      <c r="DU58" s="35">
        <f t="shared" si="19"/>
        <v>818088.48874162987</v>
      </c>
      <c r="DV58" s="35">
        <f t="shared" si="21"/>
        <v>562844.88025424141</v>
      </c>
      <c r="DW58" s="35">
        <f t="shared" si="20"/>
        <v>1022610.6109270373</v>
      </c>
      <c r="FN58" s="22">
        <v>23</v>
      </c>
      <c r="FO58" s="22" t="s">
        <v>212</v>
      </c>
      <c r="FP58" s="22">
        <v>110</v>
      </c>
      <c r="FQ58" s="92">
        <v>6.75</v>
      </c>
      <c r="FR58" s="92">
        <v>7.375</v>
      </c>
      <c r="FS58" s="22">
        <v>47000</v>
      </c>
      <c r="FT58" s="22">
        <v>26000</v>
      </c>
      <c r="FU58" s="22">
        <f t="shared" si="18"/>
        <v>26000</v>
      </c>
      <c r="FV58" s="22">
        <v>39000</v>
      </c>
      <c r="FW58" s="22">
        <v>50000</v>
      </c>
      <c r="FX58" s="22">
        <v>54000</v>
      </c>
      <c r="FY58" s="22">
        <f t="shared" si="13"/>
        <v>54000</v>
      </c>
      <c r="FZ58" s="22">
        <v>70000</v>
      </c>
      <c r="GA58" s="22">
        <v>70000</v>
      </c>
      <c r="GE58" s="1">
        <f t="shared" si="7"/>
        <v>0</v>
      </c>
      <c r="GF58" s="1">
        <f t="shared" si="8"/>
        <v>0</v>
      </c>
      <c r="GG58" s="1">
        <f t="shared" si="9"/>
        <v>70000</v>
      </c>
      <c r="GH58" s="1">
        <f t="shared" si="10"/>
        <v>0</v>
      </c>
      <c r="GI58" s="1">
        <f t="shared" si="11"/>
        <v>0</v>
      </c>
      <c r="GJ58" s="1">
        <f t="shared" si="14"/>
        <v>0</v>
      </c>
      <c r="GK58" s="1" t="str">
        <f t="shared" si="12"/>
        <v/>
      </c>
    </row>
    <row r="59" spans="31:193" x14ac:dyDescent="0.25">
      <c r="AS59" s="92"/>
      <c r="BU59" s="22">
        <f>DC2</f>
        <v>5</v>
      </c>
      <c r="BV59" s="109">
        <f>LOOKUP(BU59,BU60:BV67)</f>
        <v>0</v>
      </c>
      <c r="CI59" s="22">
        <v>2</v>
      </c>
      <c r="CJ59" s="152">
        <v>32</v>
      </c>
      <c r="CK59" s="22">
        <f t="shared" ref="CK59:CK83" si="22">POWER(CJ59/$CK$44,0.8)</f>
        <v>0.72298118079846563</v>
      </c>
      <c r="CL59" s="108">
        <f t="shared" ref="CL59:CL83" si="23">($CP$49*(CJ59/$CK$44)*CK59)</f>
        <v>0</v>
      </c>
      <c r="CM59" s="108">
        <f t="shared" ref="CM59:CM83" si="24">($CP$49*(CJ59/$CK$44)*CK59)*1.15</f>
        <v>0</v>
      </c>
      <c r="DG59" s="22">
        <v>7</v>
      </c>
      <c r="DH59" s="111">
        <v>0.74</v>
      </c>
      <c r="DS59" s="35">
        <f t="shared" si="19"/>
        <v>807862.38263235951</v>
      </c>
      <c r="DT59" s="35">
        <f t="shared" si="19"/>
        <v>869219.01928798168</v>
      </c>
      <c r="DU59" s="35">
        <f t="shared" si="19"/>
        <v>807862.38263235951</v>
      </c>
      <c r="DV59" s="35">
        <f t="shared" si="21"/>
        <v>542479.58993762941</v>
      </c>
      <c r="DW59" s="35">
        <f t="shared" si="20"/>
        <v>1022610.6109270373</v>
      </c>
      <c r="FN59" s="22">
        <v>24</v>
      </c>
      <c r="FO59" s="22" t="s">
        <v>213</v>
      </c>
      <c r="FP59" s="22">
        <v>100</v>
      </c>
      <c r="FQ59" s="92">
        <v>7.875</v>
      </c>
      <c r="FR59" s="92">
        <v>9</v>
      </c>
      <c r="FS59" s="22">
        <v>65000</v>
      </c>
      <c r="FT59" s="22">
        <v>26000</v>
      </c>
      <c r="FU59" s="22">
        <f t="shared" si="18"/>
        <v>26000</v>
      </c>
      <c r="FV59" s="22">
        <v>39000</v>
      </c>
      <c r="FW59" s="22">
        <v>50000</v>
      </c>
      <c r="FX59" s="22">
        <v>54000</v>
      </c>
      <c r="FY59" s="22">
        <f t="shared" si="13"/>
        <v>54000</v>
      </c>
      <c r="FZ59" s="22">
        <v>70000</v>
      </c>
      <c r="GA59" s="22">
        <v>70000</v>
      </c>
      <c r="GE59" s="1">
        <f t="shared" si="7"/>
        <v>0</v>
      </c>
      <c r="GF59" s="1">
        <f t="shared" si="8"/>
        <v>0</v>
      </c>
      <c r="GG59" s="1">
        <f t="shared" si="9"/>
        <v>70000</v>
      </c>
      <c r="GH59" s="1">
        <f t="shared" si="10"/>
        <v>0</v>
      </c>
      <c r="GI59" s="1">
        <f t="shared" si="11"/>
        <v>0</v>
      </c>
      <c r="GJ59" s="1">
        <f t="shared" si="14"/>
        <v>0</v>
      </c>
      <c r="GK59" s="1" t="str">
        <f t="shared" si="12"/>
        <v/>
      </c>
    </row>
    <row r="60" spans="31:193" x14ac:dyDescent="0.25">
      <c r="BU60" s="22">
        <v>1</v>
      </c>
      <c r="BV60" s="109">
        <f>IF($CK$40=BX50,BX60,IF($CK$40=$BY$50,BY60,IF($CK$40=$BZ$50,BZ60,IF($CK$40=$CA$50,CA60,IF($CK$40=$CB$50,CB60,IF($CK$40=$CC$50,CC60,IF($CK$40=$CD$50,CD60,0)))))))</f>
        <v>0</v>
      </c>
      <c r="BW60" s="317" t="s">
        <v>291</v>
      </c>
      <c r="BX60" s="109">
        <f t="shared" ref="BX60:BX67" si="25">BX51*25.4</f>
        <v>88.899999999999991</v>
      </c>
      <c r="BY60" s="109">
        <f t="shared" ref="BY60:CD67" si="26">BY51*25.4</f>
        <v>101.6</v>
      </c>
      <c r="BZ60" s="109">
        <f t="shared" si="26"/>
        <v>130.17499999999998</v>
      </c>
      <c r="CA60" s="109">
        <f t="shared" si="26"/>
        <v>139.69999999999999</v>
      </c>
      <c r="CB60" s="109">
        <f t="shared" si="26"/>
        <v>152.39999999999998</v>
      </c>
      <c r="CC60" s="109">
        <f t="shared" si="26"/>
        <v>165.1</v>
      </c>
      <c r="CD60" s="109">
        <f t="shared" si="26"/>
        <v>203.2</v>
      </c>
      <c r="CI60" s="22">
        <v>3</v>
      </c>
      <c r="CJ60" s="152">
        <v>34</v>
      </c>
      <c r="CK60" s="22">
        <f t="shared" si="22"/>
        <v>0.75890976979154656</v>
      </c>
      <c r="CL60" s="108">
        <f t="shared" si="23"/>
        <v>0</v>
      </c>
      <c r="CM60" s="108">
        <f t="shared" si="24"/>
        <v>0</v>
      </c>
      <c r="DG60" s="22">
        <v>8</v>
      </c>
      <c r="DH60" s="111">
        <v>0.73</v>
      </c>
      <c r="DS60" s="35">
        <f t="shared" si="19"/>
        <v>797636.27652308915</v>
      </c>
      <c r="DT60" s="35">
        <f t="shared" si="19"/>
        <v>858992.91317871131</v>
      </c>
      <c r="DU60" s="35">
        <f t="shared" si="19"/>
        <v>797636.27652308915</v>
      </c>
      <c r="DV60" s="35">
        <f t="shared" si="21"/>
        <v>522611.28837792802</v>
      </c>
      <c r="DW60" s="35">
        <f t="shared" si="20"/>
        <v>1022610.6109270373</v>
      </c>
      <c r="FN60" s="22">
        <v>25</v>
      </c>
      <c r="FO60" s="22" t="s">
        <v>266</v>
      </c>
      <c r="FP60" s="22">
        <v>100</v>
      </c>
      <c r="FQ60" s="92">
        <v>9.875</v>
      </c>
      <c r="FR60" s="92">
        <v>11</v>
      </c>
      <c r="FS60" s="22">
        <v>85000</v>
      </c>
      <c r="GE60" s="1">
        <f t="shared" si="7"/>
        <v>0</v>
      </c>
      <c r="GF60" s="1">
        <f t="shared" si="8"/>
        <v>0</v>
      </c>
      <c r="GG60" s="1">
        <f t="shared" si="9"/>
        <v>0</v>
      </c>
      <c r="GH60" s="1">
        <f t="shared" si="10"/>
        <v>0</v>
      </c>
      <c r="GI60" s="1">
        <f t="shared" si="11"/>
        <v>1</v>
      </c>
      <c r="GJ60" s="1">
        <f t="shared" si="14"/>
        <v>1</v>
      </c>
      <c r="GK60" s="1" t="str">
        <f t="shared" si="12"/>
        <v/>
      </c>
    </row>
    <row r="61" spans="31:193" x14ac:dyDescent="0.25">
      <c r="BU61" s="22">
        <v>2</v>
      </c>
      <c r="BV61" s="109">
        <f>IF($CK$40=BX50,BX61,IF($CK$40=$BY$50,BY61,IF($CK$40=$BZ$50,BZ61,IF($CK$40=$CA$50,CA61,IF($CK$40=$CB$50,CB61,IF($CK$40=$CC$50,CC61,IF($CK$40=$CD$50,CD61,0)))))))</f>
        <v>0</v>
      </c>
      <c r="BW61" s="317"/>
      <c r="BX61" s="109">
        <f t="shared" si="25"/>
        <v>95.25</v>
      </c>
      <c r="BY61" s="109">
        <f t="shared" si="26"/>
        <v>114.3</v>
      </c>
      <c r="BZ61" s="109">
        <f t="shared" si="26"/>
        <v>133.35</v>
      </c>
      <c r="CA61" s="109">
        <f t="shared" si="26"/>
        <v>142.875</v>
      </c>
      <c r="CB61" s="109">
        <f t="shared" si="26"/>
        <v>155.57499999999999</v>
      </c>
      <c r="CC61" s="109">
        <f t="shared" si="26"/>
        <v>171.45</v>
      </c>
      <c r="CD61" s="109">
        <f t="shared" si="26"/>
        <v>219.07499999999999</v>
      </c>
      <c r="CG61" s="22">
        <f>CG51</f>
        <v>350</v>
      </c>
      <c r="CH61" s="22">
        <f>CG45</f>
        <v>500</v>
      </c>
      <c r="CI61" s="22">
        <v>4</v>
      </c>
      <c r="CJ61" s="152">
        <v>36</v>
      </c>
      <c r="CK61" s="22">
        <f t="shared" si="22"/>
        <v>0.79441788078660924</v>
      </c>
      <c r="CL61" s="108">
        <f t="shared" si="23"/>
        <v>0</v>
      </c>
      <c r="CM61" s="108">
        <f t="shared" si="24"/>
        <v>0</v>
      </c>
      <c r="DG61" s="22">
        <v>9</v>
      </c>
      <c r="DH61" s="111">
        <v>0.72</v>
      </c>
      <c r="DS61" s="35">
        <f t="shared" si="19"/>
        <v>787410.17041381879</v>
      </c>
      <c r="DT61" s="35">
        <f t="shared" si="19"/>
        <v>848766.80706944095</v>
      </c>
      <c r="DU61" s="35">
        <f t="shared" si="19"/>
        <v>787410.17041381879</v>
      </c>
      <c r="DV61" s="35">
        <f t="shared" si="21"/>
        <v>503233.83991147159</v>
      </c>
      <c r="DW61" s="35">
        <f t="shared" si="20"/>
        <v>1022610.6109270373</v>
      </c>
      <c r="FN61" s="22">
        <v>26</v>
      </c>
      <c r="FO61" s="22" t="s">
        <v>267</v>
      </c>
      <c r="FP61" s="22">
        <v>90</v>
      </c>
      <c r="FQ61" s="92">
        <v>12.25</v>
      </c>
      <c r="FR61" s="92">
        <v>13.75</v>
      </c>
      <c r="FS61" s="22">
        <v>110000</v>
      </c>
      <c r="GE61" s="1">
        <f t="shared" si="7"/>
        <v>1</v>
      </c>
      <c r="GF61" s="1">
        <f t="shared" si="8"/>
        <v>1</v>
      </c>
      <c r="GG61" s="1">
        <f t="shared" si="9"/>
        <v>0</v>
      </c>
      <c r="GH61" s="1">
        <f t="shared" si="10"/>
        <v>1</v>
      </c>
      <c r="GI61" s="1">
        <f t="shared" si="11"/>
        <v>1</v>
      </c>
      <c r="GJ61" s="1">
        <f t="shared" si="14"/>
        <v>2</v>
      </c>
      <c r="GK61" s="1">
        <f t="shared" si="12"/>
        <v>90</v>
      </c>
    </row>
    <row r="62" spans="31:193" x14ac:dyDescent="0.25">
      <c r="AL62" s="163" t="s">
        <v>305</v>
      </c>
      <c r="AM62" s="163" t="s">
        <v>306</v>
      </c>
      <c r="AN62" s="163" t="s">
        <v>307</v>
      </c>
      <c r="AO62" s="163" t="s">
        <v>308</v>
      </c>
      <c r="AP62" s="163" t="s">
        <v>309</v>
      </c>
      <c r="AQ62" s="163" t="s">
        <v>310</v>
      </c>
      <c r="AR62" s="164" t="s">
        <v>311</v>
      </c>
      <c r="AS62" s="163" t="s">
        <v>312</v>
      </c>
      <c r="AT62" s="163" t="s">
        <v>313</v>
      </c>
      <c r="AU62" s="163" t="s">
        <v>314</v>
      </c>
      <c r="AV62" s="163" t="s">
        <v>315</v>
      </c>
      <c r="AW62" s="163" t="s">
        <v>315</v>
      </c>
      <c r="AX62" s="165" t="s">
        <v>316</v>
      </c>
      <c r="AY62" s="165" t="s">
        <v>317</v>
      </c>
      <c r="AZ62" s="165" t="s">
        <v>318</v>
      </c>
      <c r="BU62" s="22">
        <v>3</v>
      </c>
      <c r="BV62" s="109">
        <f>IF($CK$40=BX50,BX62,IF($CK$40=$BY$50,BY62,IF($CK$40=$BZ$50,BZ62,IF($CK$40=$CA$50,CA62,IF($CK$40=$CB$50,CB62,IF($CK$40=$CC$50,CC62,IF($CK$40=$CD$50,CD62,0)))))))</f>
        <v>0</v>
      </c>
      <c r="BW62" s="317"/>
      <c r="BX62" s="109">
        <f t="shared" si="25"/>
        <v>98.424999999999997</v>
      </c>
      <c r="BY62" s="109">
        <f t="shared" si="26"/>
        <v>120.64999999999999</v>
      </c>
      <c r="BZ62" s="109">
        <f>BZ53*25.4</f>
        <v>139.69999999999999</v>
      </c>
      <c r="CA62" s="109">
        <f t="shared" si="26"/>
        <v>146.04999999999998</v>
      </c>
      <c r="CB62" s="109">
        <f t="shared" si="26"/>
        <v>158.75</v>
      </c>
      <c r="CC62" s="109">
        <f t="shared" si="26"/>
        <v>177.79999999999998</v>
      </c>
      <c r="CD62" s="109">
        <f t="shared" si="26"/>
        <v>222.25</v>
      </c>
      <c r="CG62" s="22">
        <f t="shared" ref="CG62:CG67" si="27">CG52</f>
        <v>325</v>
      </c>
      <c r="CH62" s="22">
        <f t="shared" ref="CH62:CH73" si="28">CG46</f>
        <v>475</v>
      </c>
      <c r="CI62" s="22">
        <v>5</v>
      </c>
      <c r="CJ62" s="152">
        <v>38</v>
      </c>
      <c r="CK62" s="22">
        <f t="shared" si="22"/>
        <v>0.82953341990634966</v>
      </c>
      <c r="CL62" s="108">
        <f t="shared" si="23"/>
        <v>0</v>
      </c>
      <c r="CM62" s="108">
        <f t="shared" si="24"/>
        <v>0</v>
      </c>
      <c r="DG62" s="22">
        <v>10</v>
      </c>
      <c r="DH62" s="111">
        <v>0.71</v>
      </c>
      <c r="DS62" s="35">
        <f t="shared" si="19"/>
        <v>777184.06430454832</v>
      </c>
      <c r="DT62" s="35">
        <f t="shared" si="19"/>
        <v>838540.70096017059</v>
      </c>
      <c r="DU62" s="35">
        <f t="shared" si="19"/>
        <v>777184.06430454832</v>
      </c>
      <c r="DV62" s="35">
        <f t="shared" si="21"/>
        <v>484341.1088745945</v>
      </c>
      <c r="DW62" s="35">
        <f t="shared" si="20"/>
        <v>1022610.6109270373</v>
      </c>
      <c r="FN62" s="22">
        <v>27</v>
      </c>
      <c r="FO62" s="22" t="s">
        <v>268</v>
      </c>
      <c r="FP62" s="22">
        <v>100</v>
      </c>
      <c r="FQ62" s="92">
        <v>7.875</v>
      </c>
      <c r="FR62" s="92">
        <v>9</v>
      </c>
      <c r="FS62" s="22">
        <v>65000</v>
      </c>
      <c r="FT62" s="22">
        <v>36000</v>
      </c>
      <c r="FU62" s="22">
        <f t="shared" si="18"/>
        <v>36000</v>
      </c>
      <c r="FV62" s="22">
        <v>55000</v>
      </c>
      <c r="FW62" s="22">
        <v>70000</v>
      </c>
      <c r="FX62" s="22">
        <v>70000</v>
      </c>
      <c r="FY62" s="22">
        <f t="shared" si="13"/>
        <v>70000</v>
      </c>
      <c r="FZ62" s="22">
        <v>70000</v>
      </c>
      <c r="GA62" s="22">
        <v>70000</v>
      </c>
      <c r="GE62" s="1">
        <f t="shared" si="7"/>
        <v>0</v>
      </c>
      <c r="GF62" s="1">
        <f t="shared" si="8"/>
        <v>0</v>
      </c>
      <c r="GG62" s="1">
        <f t="shared" si="9"/>
        <v>70000</v>
      </c>
      <c r="GH62" s="1">
        <f t="shared" si="10"/>
        <v>0</v>
      </c>
      <c r="GI62" s="1">
        <f t="shared" si="11"/>
        <v>0</v>
      </c>
      <c r="GJ62" s="1">
        <f t="shared" si="14"/>
        <v>0</v>
      </c>
      <c r="GK62" s="1" t="str">
        <f t="shared" si="12"/>
        <v/>
      </c>
    </row>
    <row r="63" spans="31:193" x14ac:dyDescent="0.25">
      <c r="AL63" s="166" t="s">
        <v>319</v>
      </c>
      <c r="AM63" s="166" t="s">
        <v>320</v>
      </c>
      <c r="AN63" s="165">
        <v>3</v>
      </c>
      <c r="AO63" s="165"/>
      <c r="AP63" s="165" t="s">
        <v>321</v>
      </c>
      <c r="AQ63" s="165"/>
      <c r="AR63" s="167" t="s">
        <v>322</v>
      </c>
      <c r="AS63" s="165" t="s">
        <v>323</v>
      </c>
      <c r="AT63" s="165">
        <v>285</v>
      </c>
      <c r="AU63" s="165" t="s">
        <v>324</v>
      </c>
      <c r="AV63" s="165" t="s">
        <v>325</v>
      </c>
      <c r="AW63" s="165">
        <v>2.82</v>
      </c>
      <c r="AX63" s="168"/>
      <c r="AY63" s="166">
        <v>1</v>
      </c>
      <c r="AZ63" s="166" t="s">
        <v>326</v>
      </c>
      <c r="BU63" s="22">
        <v>4</v>
      </c>
      <c r="BV63" s="109">
        <f>IF($CK$40=BX50,BX63,IF($CK$40=$BY$50,BY63,IF($CK$40=$BZ$50,BZ63,IF($CK$40=$CA$50,CA63,IF($CK$40=$CB$50,CB63,IF($CK$40=$CC$50,CC63,IF($CK$40=$CD$50,CD63,0)))))))</f>
        <v>0</v>
      </c>
      <c r="BW63" s="317"/>
      <c r="BX63" s="109">
        <f t="shared" si="25"/>
        <v>104.77499999999999</v>
      </c>
      <c r="BY63" s="109">
        <f t="shared" si="26"/>
        <v>127</v>
      </c>
      <c r="BZ63" s="109">
        <f t="shared" si="26"/>
        <v>142.875</v>
      </c>
      <c r="CA63" s="109">
        <f t="shared" si="26"/>
        <v>152.39999999999998</v>
      </c>
      <c r="CB63" s="109">
        <f t="shared" si="26"/>
        <v>165.1</v>
      </c>
      <c r="CC63" s="109">
        <f t="shared" si="26"/>
        <v>190.5</v>
      </c>
      <c r="CD63" s="109">
        <f t="shared" si="26"/>
        <v>241.29999999999998</v>
      </c>
      <c r="CG63" s="22">
        <f t="shared" si="27"/>
        <v>300</v>
      </c>
      <c r="CH63" s="22">
        <f t="shared" si="28"/>
        <v>450</v>
      </c>
      <c r="CI63" s="22">
        <v>6</v>
      </c>
      <c r="CJ63" s="152">
        <v>40</v>
      </c>
      <c r="CK63" s="22">
        <f t="shared" si="22"/>
        <v>0.86428107444720681</v>
      </c>
      <c r="CL63" s="108">
        <f t="shared" si="23"/>
        <v>0</v>
      </c>
      <c r="CM63" s="108">
        <f t="shared" si="24"/>
        <v>0</v>
      </c>
      <c r="DG63" s="22">
        <v>11</v>
      </c>
      <c r="DH63" s="111">
        <v>0.7</v>
      </c>
      <c r="DS63" s="35"/>
      <c r="DT63" s="35"/>
      <c r="DU63" s="35"/>
      <c r="DV63" s="35"/>
      <c r="DW63" s="35"/>
      <c r="FN63" s="22">
        <v>28</v>
      </c>
      <c r="FO63" s="22" t="s">
        <v>269</v>
      </c>
      <c r="FP63" s="22">
        <v>90</v>
      </c>
      <c r="FQ63" s="92">
        <v>9.875</v>
      </c>
      <c r="FR63" s="92">
        <v>11</v>
      </c>
      <c r="FS63" s="22">
        <v>95000</v>
      </c>
      <c r="GE63" s="1">
        <f t="shared" si="7"/>
        <v>0</v>
      </c>
      <c r="GF63" s="1">
        <f t="shared" si="8"/>
        <v>0</v>
      </c>
      <c r="GG63" s="1">
        <f t="shared" si="9"/>
        <v>0</v>
      </c>
      <c r="GH63" s="1">
        <f t="shared" si="10"/>
        <v>0</v>
      </c>
      <c r="GI63" s="1">
        <f t="shared" si="11"/>
        <v>1</v>
      </c>
      <c r="GJ63" s="1">
        <f t="shared" si="14"/>
        <v>1</v>
      </c>
      <c r="GK63" s="1" t="str">
        <f t="shared" si="12"/>
        <v/>
      </c>
    </row>
    <row r="64" spans="31:193" x14ac:dyDescent="0.25">
      <c r="AL64" s="166" t="s">
        <v>327</v>
      </c>
      <c r="AM64" s="166" t="s">
        <v>320</v>
      </c>
      <c r="AN64" s="165">
        <v>3</v>
      </c>
      <c r="AO64" s="165"/>
      <c r="AP64" s="165" t="s">
        <v>321</v>
      </c>
      <c r="AQ64" s="165"/>
      <c r="AR64" s="167" t="s">
        <v>328</v>
      </c>
      <c r="AS64" s="165" t="s">
        <v>329</v>
      </c>
      <c r="AT64" s="165">
        <v>128</v>
      </c>
      <c r="AU64" s="165" t="s">
        <v>330</v>
      </c>
      <c r="AV64" s="165" t="s">
        <v>325</v>
      </c>
      <c r="AW64" s="165"/>
      <c r="AX64" s="168" t="s">
        <v>331</v>
      </c>
      <c r="AY64" s="166">
        <v>1</v>
      </c>
      <c r="AZ64" s="166" t="s">
        <v>326</v>
      </c>
      <c r="BU64" s="22">
        <v>5</v>
      </c>
      <c r="BV64" s="109">
        <f>IF($CK$40=BX50,BX64,IF($CK$40=$BY$50,BY64,IF($CK$40=$BZ$50,BZ64,IF($CK$40=$CA$50,CA64,IF($CK$40=$CB$50,CB64,IF($CK$40=$CC$50,CC64,IF($CK$40=$CD$50,CD64,0)))))))</f>
        <v>0</v>
      </c>
      <c r="BW64" s="317"/>
      <c r="BX64" s="109">
        <f t="shared" si="25"/>
        <v>0</v>
      </c>
      <c r="BY64" s="109">
        <f t="shared" si="26"/>
        <v>130.17499999999998</v>
      </c>
      <c r="BZ64" s="109">
        <f t="shared" si="26"/>
        <v>146.04999999999998</v>
      </c>
      <c r="CA64" s="109">
        <f t="shared" si="26"/>
        <v>0</v>
      </c>
      <c r="CB64" s="109">
        <f t="shared" si="26"/>
        <v>171.45</v>
      </c>
      <c r="CC64" s="109">
        <f t="shared" si="26"/>
        <v>203.2</v>
      </c>
      <c r="CD64" s="109">
        <f t="shared" si="26"/>
        <v>254</v>
      </c>
      <c r="CG64" s="22">
        <f t="shared" si="27"/>
        <v>275</v>
      </c>
      <c r="CH64" s="22">
        <f t="shared" si="28"/>
        <v>425</v>
      </c>
      <c r="CI64" s="22">
        <v>7</v>
      </c>
      <c r="CJ64" s="152">
        <v>42</v>
      </c>
      <c r="CK64" s="22">
        <f t="shared" si="22"/>
        <v>0.89868282620318274</v>
      </c>
      <c r="CL64" s="108">
        <f t="shared" si="23"/>
        <v>0</v>
      </c>
      <c r="CM64" s="108">
        <f t="shared" si="24"/>
        <v>0</v>
      </c>
      <c r="DG64" s="22">
        <v>12</v>
      </c>
      <c r="DH64" s="111">
        <v>0.69</v>
      </c>
      <c r="DS64" s="35"/>
      <c r="DT64" s="35"/>
      <c r="DU64" s="35"/>
      <c r="DV64" s="35"/>
      <c r="DW64" s="35"/>
      <c r="FN64" s="22">
        <v>29</v>
      </c>
      <c r="FO64" s="22" t="s">
        <v>270</v>
      </c>
      <c r="FP64" s="22">
        <v>90</v>
      </c>
      <c r="FQ64" s="92">
        <v>12.25</v>
      </c>
      <c r="FR64" s="92">
        <v>13.75</v>
      </c>
      <c r="FS64" s="22">
        <v>120000</v>
      </c>
      <c r="GE64" s="1">
        <f t="shared" si="7"/>
        <v>1</v>
      </c>
      <c r="GF64" s="1">
        <f t="shared" si="8"/>
        <v>1</v>
      </c>
      <c r="GG64" s="1">
        <f t="shared" si="9"/>
        <v>0</v>
      </c>
      <c r="GH64" s="1">
        <f t="shared" si="10"/>
        <v>1</v>
      </c>
      <c r="GI64" s="1">
        <f t="shared" si="11"/>
        <v>1</v>
      </c>
      <c r="GJ64" s="1">
        <f t="shared" si="14"/>
        <v>2</v>
      </c>
      <c r="GK64" s="1">
        <f>IF(GJ64=2,FP64,"")</f>
        <v>90</v>
      </c>
    </row>
    <row r="65" spans="38:193" x14ac:dyDescent="0.25">
      <c r="AL65" s="166" t="s">
        <v>332</v>
      </c>
      <c r="AM65" s="166" t="s">
        <v>320</v>
      </c>
      <c r="AN65" s="165">
        <v>3</v>
      </c>
      <c r="AO65" s="165"/>
      <c r="AP65" s="165" t="s">
        <v>321</v>
      </c>
      <c r="AQ65" s="165"/>
      <c r="AR65" s="167" t="s">
        <v>328</v>
      </c>
      <c r="AS65" s="165" t="s">
        <v>333</v>
      </c>
      <c r="AT65" s="165">
        <v>165</v>
      </c>
      <c r="AU65" s="165" t="s">
        <v>330</v>
      </c>
      <c r="AV65" s="165" t="s">
        <v>325</v>
      </c>
      <c r="AW65" s="165"/>
      <c r="AX65" s="168" t="s">
        <v>331</v>
      </c>
      <c r="AY65" s="166">
        <v>1</v>
      </c>
      <c r="AZ65" s="166" t="s">
        <v>326</v>
      </c>
      <c r="BU65" s="22">
        <v>6</v>
      </c>
      <c r="BV65" s="109">
        <f>IF($CK$40=BX50,BX65,IF($CK$40=$BY$50,BY65,IF($CK$40=$BZ$50,BZ65,IF($CK$40=$CA$50,CA65,IF($CK$40=$CB$50,CB65,IF($CK$40=$CC$50,CC65,IF($CK$40=$CD$50,CD65,0)))))))</f>
        <v>0</v>
      </c>
      <c r="BW65" s="317"/>
      <c r="BX65" s="109">
        <f t="shared" si="25"/>
        <v>0</v>
      </c>
      <c r="BY65" s="109">
        <f t="shared" si="26"/>
        <v>133.35</v>
      </c>
      <c r="BZ65" s="109">
        <f t="shared" si="26"/>
        <v>152.39999999999998</v>
      </c>
      <c r="CA65" s="109">
        <f t="shared" si="26"/>
        <v>0</v>
      </c>
      <c r="CB65" s="109">
        <f t="shared" si="26"/>
        <v>177.79999999999998</v>
      </c>
      <c r="CC65" s="109">
        <f t="shared" si="26"/>
        <v>0</v>
      </c>
      <c r="CD65" s="109">
        <f t="shared" si="26"/>
        <v>269.875</v>
      </c>
      <c r="CG65" s="22">
        <f t="shared" si="27"/>
        <v>250</v>
      </c>
      <c r="CH65" s="22">
        <f t="shared" si="28"/>
        <v>400</v>
      </c>
      <c r="CI65" s="22">
        <v>8</v>
      </c>
      <c r="CJ65" s="152">
        <v>44</v>
      </c>
      <c r="CK65" s="22">
        <f t="shared" si="22"/>
        <v>0.93275836241095522</v>
      </c>
      <c r="CL65" s="108">
        <f t="shared" si="23"/>
        <v>0</v>
      </c>
      <c r="CM65" s="108">
        <f t="shared" si="24"/>
        <v>0</v>
      </c>
      <c r="DG65" s="22">
        <v>13</v>
      </c>
      <c r="DH65" s="111">
        <v>0.68</v>
      </c>
      <c r="FN65" s="22">
        <v>30</v>
      </c>
      <c r="FO65" s="22" t="s">
        <v>214</v>
      </c>
      <c r="FP65" s="22">
        <v>90</v>
      </c>
      <c r="FQ65" s="92">
        <v>9.875</v>
      </c>
      <c r="FR65" s="92">
        <v>11</v>
      </c>
      <c r="FS65" s="22">
        <v>100000</v>
      </c>
      <c r="FT65" s="22">
        <v>44000</v>
      </c>
      <c r="FU65" s="22">
        <f t="shared" si="18"/>
        <v>44000</v>
      </c>
      <c r="FV65" s="22">
        <v>64000</v>
      </c>
      <c r="FW65" s="22">
        <v>70000</v>
      </c>
      <c r="FX65" s="22">
        <v>70000</v>
      </c>
      <c r="FY65" s="22">
        <f t="shared" si="13"/>
        <v>70000</v>
      </c>
      <c r="FZ65" s="22">
        <v>70000</v>
      </c>
      <c r="GA65" s="22">
        <v>70000</v>
      </c>
      <c r="GE65" s="1">
        <f t="shared" si="7"/>
        <v>0</v>
      </c>
      <c r="GF65" s="1">
        <f t="shared" si="8"/>
        <v>0</v>
      </c>
      <c r="GG65" s="1">
        <f t="shared" si="9"/>
        <v>70000</v>
      </c>
      <c r="GH65" s="1">
        <f t="shared" si="10"/>
        <v>0</v>
      </c>
      <c r="GI65" s="1">
        <f t="shared" si="11"/>
        <v>1</v>
      </c>
      <c r="GJ65" s="1">
        <f t="shared" si="14"/>
        <v>1</v>
      </c>
      <c r="GK65" s="1" t="str">
        <f t="shared" si="12"/>
        <v/>
      </c>
    </row>
    <row r="66" spans="38:193" x14ac:dyDescent="0.25">
      <c r="AL66" s="166" t="s">
        <v>334</v>
      </c>
      <c r="AM66" s="166" t="s">
        <v>320</v>
      </c>
      <c r="AN66" s="165">
        <v>3</v>
      </c>
      <c r="AO66" s="165"/>
      <c r="AP66" s="165" t="s">
        <v>335</v>
      </c>
      <c r="AQ66" s="165"/>
      <c r="AR66" s="167" t="s">
        <v>336</v>
      </c>
      <c r="AS66" s="165" t="s">
        <v>337</v>
      </c>
      <c r="AT66" s="165">
        <v>335</v>
      </c>
      <c r="AU66" s="165"/>
      <c r="AV66" s="165" t="s">
        <v>325</v>
      </c>
      <c r="AW66" s="169">
        <v>2.8125</v>
      </c>
      <c r="AX66" s="168"/>
      <c r="AY66" s="166">
        <v>1</v>
      </c>
      <c r="AZ66" s="166" t="s">
        <v>338</v>
      </c>
      <c r="BU66" s="22">
        <v>7</v>
      </c>
      <c r="BV66" s="109">
        <f>IF($CK$40=BX50,BX66,IF($CK$40=$BY$50,BY66,IF($CK$40=$BZ$50,BZ66,IF($CK$40=$CA$50,CA66,IF($CK$40=$CB$50,CB66,IF($CK$40=$CC$50,CC66,IF($CK$40=$CD$50,CD66,0)))))))</f>
        <v>0</v>
      </c>
      <c r="BW66" s="317"/>
      <c r="BX66" s="109">
        <f t="shared" si="25"/>
        <v>0</v>
      </c>
      <c r="BY66" s="109">
        <f t="shared" si="26"/>
        <v>139.69999999999999</v>
      </c>
      <c r="BZ66" s="109">
        <f t="shared" si="26"/>
        <v>0</v>
      </c>
      <c r="CA66" s="109">
        <f t="shared" si="26"/>
        <v>0</v>
      </c>
      <c r="CB66" s="109">
        <f t="shared" si="26"/>
        <v>190.5</v>
      </c>
      <c r="CC66" s="109">
        <f t="shared" si="26"/>
        <v>0</v>
      </c>
      <c r="CD66" s="109">
        <f t="shared" si="26"/>
        <v>0</v>
      </c>
      <c r="CG66" s="22">
        <f t="shared" si="27"/>
        <v>225</v>
      </c>
      <c r="CH66" s="22">
        <f t="shared" si="28"/>
        <v>375</v>
      </c>
      <c r="CI66" s="22">
        <v>9</v>
      </c>
      <c r="CJ66" s="152">
        <v>46</v>
      </c>
      <c r="CK66" s="22">
        <f t="shared" si="22"/>
        <v>0.96652540845793522</v>
      </c>
      <c r="CL66" s="108">
        <f>($CP$49*(CJ66/$CK$44)*CK66)</f>
        <v>0</v>
      </c>
      <c r="CM66" s="108">
        <f t="shared" si="24"/>
        <v>0</v>
      </c>
      <c r="DG66" s="22">
        <v>14</v>
      </c>
      <c r="DH66" s="111">
        <v>0.67</v>
      </c>
    </row>
    <row r="67" spans="38:193" x14ac:dyDescent="0.25">
      <c r="AL67" s="15" t="s">
        <v>339</v>
      </c>
      <c r="AM67" s="15" t="s">
        <v>320</v>
      </c>
      <c r="AN67" s="163">
        <v>3</v>
      </c>
      <c r="AO67" s="163"/>
      <c r="AP67" s="163" t="s">
        <v>335</v>
      </c>
      <c r="AQ67" s="163"/>
      <c r="AR67" s="164" t="s">
        <v>336</v>
      </c>
      <c r="AS67" s="163" t="s">
        <v>340</v>
      </c>
      <c r="AT67" s="163">
        <v>235</v>
      </c>
      <c r="AU67" s="163" t="s">
        <v>330</v>
      </c>
      <c r="AV67" s="163" t="s">
        <v>325</v>
      </c>
      <c r="AW67" s="170">
        <v>2.8125</v>
      </c>
      <c r="AX67" s="168"/>
      <c r="AY67" s="166">
        <v>1</v>
      </c>
      <c r="AZ67" s="166" t="s">
        <v>338</v>
      </c>
      <c r="BU67" s="22">
        <v>8</v>
      </c>
      <c r="BV67" s="109">
        <f>IF($CK$40=BX50,BX67,IF($CK$40=$BY$50,BY67,IF($CK$40=$BZ$50,BZ67,IF($CK$40=$CA$50,CA67,IF($CK$40=$CB$50,CB67,IF($CK$40=$CC$50,CC67,IF($CK$40=$CD$50,CD67,0)))))))</f>
        <v>0</v>
      </c>
      <c r="BW67" s="317"/>
      <c r="BX67" s="109">
        <f t="shared" si="25"/>
        <v>0</v>
      </c>
      <c r="BY67" s="109">
        <f t="shared" si="26"/>
        <v>0</v>
      </c>
      <c r="BZ67" s="109">
        <f t="shared" si="26"/>
        <v>0</v>
      </c>
      <c r="CA67" s="109">
        <f t="shared" si="26"/>
        <v>0</v>
      </c>
      <c r="CB67" s="109">
        <f t="shared" si="26"/>
        <v>203.2</v>
      </c>
      <c r="CC67" s="109">
        <f t="shared" si="26"/>
        <v>0</v>
      </c>
      <c r="CD67" s="109">
        <f t="shared" si="26"/>
        <v>0</v>
      </c>
      <c r="CG67" s="22">
        <f t="shared" si="27"/>
        <v>200</v>
      </c>
      <c r="CH67" s="22">
        <f t="shared" si="28"/>
        <v>350</v>
      </c>
      <c r="CI67" s="22">
        <v>10</v>
      </c>
      <c r="CJ67" s="152">
        <v>48</v>
      </c>
      <c r="CK67" s="22">
        <f>POWER(CJ67/$CK$44,0.8)</f>
        <v>1</v>
      </c>
      <c r="CL67" s="108">
        <f t="shared" si="23"/>
        <v>0</v>
      </c>
      <c r="CM67" s="108">
        <f t="shared" si="24"/>
        <v>0</v>
      </c>
      <c r="DG67" s="22">
        <v>15</v>
      </c>
      <c r="DH67" s="111">
        <v>0.66</v>
      </c>
      <c r="FT67" s="72" t="s">
        <v>80</v>
      </c>
      <c r="FU67" s="72" t="s">
        <v>81</v>
      </c>
      <c r="FV67" s="72" t="s">
        <v>82</v>
      </c>
      <c r="FW67" s="72" t="s">
        <v>83</v>
      </c>
      <c r="FX67" s="72" t="s">
        <v>80</v>
      </c>
      <c r="FY67" s="72" t="s">
        <v>81</v>
      </c>
      <c r="FZ67" s="72" t="s">
        <v>82</v>
      </c>
      <c r="GA67" s="72" t="s">
        <v>83</v>
      </c>
    </row>
    <row r="68" spans="38:193" x14ac:dyDescent="0.25">
      <c r="AL68" s="15" t="s">
        <v>341</v>
      </c>
      <c r="AM68" s="15" t="s">
        <v>320</v>
      </c>
      <c r="AN68" s="163">
        <v>3</v>
      </c>
      <c r="AO68" s="163"/>
      <c r="AP68" s="163" t="s">
        <v>335</v>
      </c>
      <c r="AQ68" s="163"/>
      <c r="AR68" s="164" t="s">
        <v>336</v>
      </c>
      <c r="AS68" s="163" t="s">
        <v>323</v>
      </c>
      <c r="AT68" s="163">
        <v>285</v>
      </c>
      <c r="AU68" s="163" t="s">
        <v>330</v>
      </c>
      <c r="AV68" s="163" t="s">
        <v>325</v>
      </c>
      <c r="AW68" s="170">
        <v>2.8125</v>
      </c>
      <c r="AX68" s="168"/>
      <c r="AY68" s="166">
        <v>1</v>
      </c>
      <c r="AZ68" s="166" t="s">
        <v>338</v>
      </c>
      <c r="CH68" s="22">
        <f t="shared" si="28"/>
        <v>325</v>
      </c>
      <c r="CI68" s="22">
        <v>11</v>
      </c>
      <c r="CJ68" s="152">
        <v>50</v>
      </c>
      <c r="CK68" s="22">
        <f t="shared" si="22"/>
        <v>1.0331967075860067</v>
      </c>
      <c r="CL68" s="108">
        <f t="shared" si="23"/>
        <v>0</v>
      </c>
      <c r="CM68" s="108">
        <f t="shared" si="24"/>
        <v>0</v>
      </c>
      <c r="DG68" s="22">
        <v>16</v>
      </c>
      <c r="DH68" s="111">
        <v>0.65</v>
      </c>
      <c r="FO68" s="92" t="s">
        <v>222</v>
      </c>
      <c r="FP68" s="22" t="s">
        <v>191</v>
      </c>
      <c r="FQ68" s="22" t="s">
        <v>194</v>
      </c>
      <c r="FR68" s="22" t="s">
        <v>195</v>
      </c>
      <c r="FS68" s="22" t="s">
        <v>196</v>
      </c>
      <c r="FT68" s="314" t="s">
        <v>220</v>
      </c>
      <c r="FU68" s="314"/>
      <c r="FV68" s="314"/>
      <c r="FW68" s="314"/>
      <c r="FX68" s="314" t="s">
        <v>219</v>
      </c>
      <c r="FY68" s="314"/>
      <c r="FZ68" s="314"/>
      <c r="GA68" s="314"/>
      <c r="GK68" s="1">
        <f>MAX(GK70:GK103)</f>
        <v>110</v>
      </c>
    </row>
    <row r="69" spans="38:193" x14ac:dyDescent="0.25">
      <c r="AL69" s="166" t="s">
        <v>342</v>
      </c>
      <c r="AM69" s="166" t="s">
        <v>320</v>
      </c>
      <c r="AN69" s="165">
        <v>3</v>
      </c>
      <c r="AO69" s="165"/>
      <c r="AP69" s="165" t="s">
        <v>335</v>
      </c>
      <c r="AQ69" s="165"/>
      <c r="AR69" s="167"/>
      <c r="AS69" s="165" t="s">
        <v>329</v>
      </c>
      <c r="AT69" s="165">
        <v>128</v>
      </c>
      <c r="AU69" s="165" t="s">
        <v>330</v>
      </c>
      <c r="AV69" s="165" t="s">
        <v>325</v>
      </c>
      <c r="AW69" s="165"/>
      <c r="AX69" s="168" t="s">
        <v>331</v>
      </c>
      <c r="AY69" s="166">
        <v>1</v>
      </c>
      <c r="AZ69" s="166" t="s">
        <v>326</v>
      </c>
      <c r="BY69" s="109">
        <f>DE2</f>
        <v>12.244094488188978</v>
      </c>
      <c r="BZ69" s="22">
        <v>140</v>
      </c>
      <c r="CA69" s="22">
        <v>140</v>
      </c>
      <c r="CB69" s="22">
        <v>165</v>
      </c>
      <c r="CC69" s="22">
        <v>165</v>
      </c>
      <c r="CD69" s="22">
        <v>203</v>
      </c>
      <c r="CH69" s="22">
        <f t="shared" si="28"/>
        <v>300</v>
      </c>
      <c r="CI69" s="22">
        <v>12</v>
      </c>
      <c r="CJ69" s="152">
        <v>52</v>
      </c>
      <c r="CK69" s="22">
        <f t="shared" si="22"/>
        <v>1.0661288236446513</v>
      </c>
      <c r="CL69" s="108">
        <f t="shared" si="23"/>
        <v>0</v>
      </c>
      <c r="CM69" s="108">
        <f t="shared" si="24"/>
        <v>0</v>
      </c>
      <c r="DG69" s="22">
        <v>17</v>
      </c>
      <c r="DH69" s="129">
        <v>0.6</v>
      </c>
      <c r="FM69" s="22">
        <f>3/8</f>
        <v>0.375</v>
      </c>
      <c r="FO69" s="22" t="s">
        <v>223</v>
      </c>
      <c r="FP69" s="22">
        <v>160</v>
      </c>
      <c r="FQ69" s="92">
        <v>7.875</v>
      </c>
      <c r="FR69" s="92">
        <v>9</v>
      </c>
      <c r="FS69" s="22">
        <v>16000</v>
      </c>
    </row>
    <row r="70" spans="38:193" x14ac:dyDescent="0.25">
      <c r="AL70" s="166" t="s">
        <v>343</v>
      </c>
      <c r="AM70" s="166" t="s">
        <v>320</v>
      </c>
      <c r="AN70" s="165">
        <v>3</v>
      </c>
      <c r="AO70" s="165"/>
      <c r="AP70" s="165" t="s">
        <v>344</v>
      </c>
      <c r="AQ70" s="165"/>
      <c r="AR70" s="167"/>
      <c r="AS70" s="165" t="s">
        <v>333</v>
      </c>
      <c r="AT70" s="165">
        <v>165</v>
      </c>
      <c r="AU70" s="165" t="s">
        <v>330</v>
      </c>
      <c r="AV70" s="165" t="s">
        <v>325</v>
      </c>
      <c r="AW70" s="165"/>
      <c r="AX70" s="168" t="s">
        <v>331</v>
      </c>
      <c r="AY70" s="166">
        <v>1</v>
      </c>
      <c r="AZ70" s="166" t="s">
        <v>326</v>
      </c>
      <c r="CH70" s="22">
        <f t="shared" si="28"/>
        <v>275</v>
      </c>
      <c r="CI70" s="22">
        <v>13</v>
      </c>
      <c r="CJ70" s="152">
        <v>54</v>
      </c>
      <c r="CK70" s="22">
        <f t="shared" si="22"/>
        <v>1.0988085193438206</v>
      </c>
      <c r="CL70" s="108">
        <f t="shared" si="23"/>
        <v>0</v>
      </c>
      <c r="CM70" s="108">
        <f t="shared" si="24"/>
        <v>0</v>
      </c>
      <c r="FO70" s="22" t="s">
        <v>225</v>
      </c>
      <c r="FP70" s="22">
        <v>160</v>
      </c>
      <c r="FQ70" s="92">
        <v>7.875</v>
      </c>
      <c r="FR70" s="92">
        <v>9</v>
      </c>
      <c r="FS70" s="22">
        <v>16000</v>
      </c>
      <c r="FT70" s="22">
        <v>4000</v>
      </c>
      <c r="FU70" s="22">
        <f t="shared" ref="FU70:FU75" si="29">FT70</f>
        <v>4000</v>
      </c>
      <c r="FV70" s="22">
        <v>5000</v>
      </c>
      <c r="FW70" s="22">
        <v>8000</v>
      </c>
      <c r="FX70" s="22">
        <v>9500</v>
      </c>
      <c r="FY70" s="22">
        <f t="shared" ref="FY70:FY103" si="30">FX70</f>
        <v>9500</v>
      </c>
      <c r="FZ70" s="22">
        <v>13000</v>
      </c>
      <c r="GA70" s="22">
        <v>18500</v>
      </c>
      <c r="GE70" s="1">
        <f t="shared" ref="GE70:GE103" si="31">IF($FW$23&lt;=FR70,1,0)</f>
        <v>0</v>
      </c>
      <c r="GF70" s="1">
        <f t="shared" ref="GF70:GF103" si="32">GD70+GE70</f>
        <v>0</v>
      </c>
      <c r="GG70" s="1">
        <f t="shared" ref="GG70:GG103" si="33">IF($FW$29=$FX$34,FX70,IF($FW$29=$FY$34,FY70,IF($FW$29=$FZ$34,FZ70,IF($FW$29=$GA$34,GA70,""))))</f>
        <v>13000</v>
      </c>
      <c r="GH70" s="1">
        <f>IF(GF70=1,1,0)</f>
        <v>0</v>
      </c>
      <c r="GI70" s="1">
        <f t="shared" ref="GI70:GI103" si="34">IF($FW$21&lt;FS70,1,0)</f>
        <v>0</v>
      </c>
      <c r="GJ70" s="1">
        <f t="shared" ref="GJ70:GJ103" si="35">GH70+GI70</f>
        <v>0</v>
      </c>
      <c r="GK70" s="1" t="str">
        <f t="shared" ref="GK70:GK103" si="36">IF(GJ70=2,FP70,"")</f>
        <v/>
      </c>
    </row>
    <row r="71" spans="38:193" x14ac:dyDescent="0.25">
      <c r="AL71" s="15" t="s">
        <v>345</v>
      </c>
      <c r="AM71" s="15" t="s">
        <v>346</v>
      </c>
      <c r="AN71" s="171">
        <v>3.75</v>
      </c>
      <c r="AO71" s="163"/>
      <c r="AP71" s="163" t="s">
        <v>347</v>
      </c>
      <c r="AQ71" s="163"/>
      <c r="AR71" s="164"/>
      <c r="AS71" s="163" t="s">
        <v>340</v>
      </c>
      <c r="AT71" s="163"/>
      <c r="AU71" s="171"/>
      <c r="AV71" s="171">
        <v>3.125</v>
      </c>
      <c r="AW71" s="163" t="s">
        <v>348</v>
      </c>
      <c r="AX71" s="168" t="s">
        <v>349</v>
      </c>
      <c r="AY71" s="166"/>
      <c r="AZ71" s="166"/>
      <c r="CH71" s="22">
        <f t="shared" si="28"/>
        <v>250</v>
      </c>
      <c r="CI71" s="22">
        <v>14</v>
      </c>
      <c r="CJ71" s="152">
        <v>56</v>
      </c>
      <c r="CK71" s="22">
        <f t="shared" si="22"/>
        <v>1.131246977111509</v>
      </c>
      <c r="CL71" s="108">
        <f t="shared" si="23"/>
        <v>0</v>
      </c>
      <c r="CM71" s="108">
        <f t="shared" si="24"/>
        <v>0</v>
      </c>
      <c r="FO71" s="22" t="s">
        <v>226</v>
      </c>
      <c r="FP71" s="22">
        <v>150</v>
      </c>
      <c r="FQ71" s="92">
        <v>9.875</v>
      </c>
      <c r="FR71" s="92">
        <v>11</v>
      </c>
      <c r="FS71" s="22">
        <v>24000</v>
      </c>
      <c r="FT71" s="22">
        <v>4000</v>
      </c>
      <c r="FU71" s="22">
        <f t="shared" si="29"/>
        <v>4000</v>
      </c>
      <c r="FV71" s="22">
        <v>5000</v>
      </c>
      <c r="FW71" s="22">
        <v>8000</v>
      </c>
      <c r="FX71" s="22">
        <v>9500</v>
      </c>
      <c r="FY71" s="22">
        <f t="shared" si="30"/>
        <v>9500</v>
      </c>
      <c r="FZ71" s="22">
        <v>13000</v>
      </c>
      <c r="GA71" s="22">
        <v>18500</v>
      </c>
      <c r="GE71" s="1">
        <f t="shared" si="31"/>
        <v>0</v>
      </c>
      <c r="GF71" s="1">
        <f t="shared" si="32"/>
        <v>0</v>
      </c>
      <c r="GG71" s="1">
        <f t="shared" si="33"/>
        <v>13000</v>
      </c>
      <c r="GH71" s="1">
        <f t="shared" ref="GH71:GH103" si="37">IF(GF71=1,1,0)</f>
        <v>0</v>
      </c>
      <c r="GI71" s="1">
        <f t="shared" si="34"/>
        <v>0</v>
      </c>
      <c r="GJ71" s="1">
        <f t="shared" si="35"/>
        <v>0</v>
      </c>
      <c r="GK71" s="1" t="str">
        <f t="shared" si="36"/>
        <v/>
      </c>
    </row>
    <row r="72" spans="38:193" x14ac:dyDescent="0.25">
      <c r="AL72" s="15" t="s">
        <v>350</v>
      </c>
      <c r="AM72" s="15" t="s">
        <v>320</v>
      </c>
      <c r="AN72" s="163">
        <v>4</v>
      </c>
      <c r="AO72" s="163" t="s">
        <v>351</v>
      </c>
      <c r="AP72" s="163" t="s">
        <v>344</v>
      </c>
      <c r="AQ72" s="163"/>
      <c r="AR72" s="164" t="s">
        <v>352</v>
      </c>
      <c r="AS72" s="163" t="s">
        <v>337</v>
      </c>
      <c r="AT72" s="163">
        <v>466</v>
      </c>
      <c r="AU72" s="171" t="s">
        <v>353</v>
      </c>
      <c r="AV72" s="171">
        <v>2.75</v>
      </c>
      <c r="AW72" s="163" t="s">
        <v>354</v>
      </c>
      <c r="AX72" s="168"/>
      <c r="AY72" s="166">
        <v>1</v>
      </c>
      <c r="AZ72" s="166" t="s">
        <v>338</v>
      </c>
      <c r="CH72" s="22">
        <f t="shared" si="28"/>
        <v>225</v>
      </c>
      <c r="CI72" s="22">
        <v>15</v>
      </c>
      <c r="CJ72" s="152">
        <v>58</v>
      </c>
      <c r="CK72" s="22">
        <f t="shared" si="22"/>
        <v>1.1634545033280965</v>
      </c>
      <c r="CL72" s="108">
        <f t="shared" si="23"/>
        <v>0</v>
      </c>
      <c r="CM72" s="108">
        <f t="shared" si="24"/>
        <v>0</v>
      </c>
      <c r="FM72" s="22">
        <f>7/8</f>
        <v>0.875</v>
      </c>
      <c r="FO72" s="22" t="s">
        <v>227</v>
      </c>
      <c r="FP72" s="22">
        <v>150</v>
      </c>
      <c r="FQ72" s="92">
        <v>6.75</v>
      </c>
      <c r="FR72" s="92">
        <v>7.375</v>
      </c>
      <c r="FS72" s="22">
        <v>16000</v>
      </c>
      <c r="FT72" s="22">
        <v>4000</v>
      </c>
      <c r="FU72" s="22">
        <f t="shared" si="29"/>
        <v>4000</v>
      </c>
      <c r="FV72" s="22">
        <v>5000</v>
      </c>
      <c r="FW72" s="22">
        <v>8000</v>
      </c>
      <c r="FX72" s="22">
        <v>11000</v>
      </c>
      <c r="FY72" s="22">
        <f t="shared" si="30"/>
        <v>11000</v>
      </c>
      <c r="FZ72" s="22">
        <v>17000</v>
      </c>
      <c r="GA72" s="22">
        <v>23000</v>
      </c>
      <c r="GE72" s="1">
        <f t="shared" si="31"/>
        <v>0</v>
      </c>
      <c r="GF72" s="1">
        <f t="shared" si="32"/>
        <v>0</v>
      </c>
      <c r="GG72" s="1">
        <f t="shared" si="33"/>
        <v>17000</v>
      </c>
      <c r="GH72" s="1">
        <f t="shared" si="37"/>
        <v>0</v>
      </c>
      <c r="GI72" s="1">
        <f t="shared" si="34"/>
        <v>0</v>
      </c>
      <c r="GJ72" s="1">
        <f t="shared" si="35"/>
        <v>0</v>
      </c>
      <c r="GK72" s="1" t="str">
        <f t="shared" si="36"/>
        <v/>
      </c>
    </row>
    <row r="73" spans="38:193" x14ac:dyDescent="0.25">
      <c r="AL73" s="15" t="s">
        <v>355</v>
      </c>
      <c r="AM73" s="15" t="s">
        <v>320</v>
      </c>
      <c r="AN73" s="163">
        <v>4</v>
      </c>
      <c r="AO73" s="163"/>
      <c r="AP73" s="163" t="s">
        <v>344</v>
      </c>
      <c r="AQ73" s="163"/>
      <c r="AR73" s="164" t="s">
        <v>352</v>
      </c>
      <c r="AS73" s="163" t="s">
        <v>356</v>
      </c>
      <c r="AT73" s="163">
        <v>190</v>
      </c>
      <c r="AU73" s="171" t="s">
        <v>353</v>
      </c>
      <c r="AV73" s="171">
        <v>2.75</v>
      </c>
      <c r="AW73" s="163" t="s">
        <v>354</v>
      </c>
      <c r="AX73" s="168"/>
      <c r="AY73" s="166">
        <v>1</v>
      </c>
      <c r="AZ73" s="166" t="s">
        <v>357</v>
      </c>
      <c r="BZ73" s="36">
        <f t="shared" ref="BZ73:BZ78" si="38">BZ42/25.4</f>
        <v>3.5433070866141736</v>
      </c>
      <c r="CH73" s="22">
        <f t="shared" si="28"/>
        <v>200</v>
      </c>
      <c r="CI73" s="22">
        <v>16</v>
      </c>
      <c r="CJ73" s="152">
        <v>60</v>
      </c>
      <c r="CK73" s="22">
        <f t="shared" si="22"/>
        <v>1.1954406247375462</v>
      </c>
      <c r="CL73" s="108">
        <f t="shared" si="23"/>
        <v>0</v>
      </c>
      <c r="CM73" s="108">
        <f t="shared" si="24"/>
        <v>0</v>
      </c>
      <c r="FO73" s="22" t="s">
        <v>228</v>
      </c>
      <c r="FP73" s="22">
        <v>150</v>
      </c>
      <c r="FQ73" s="92">
        <v>7.875</v>
      </c>
      <c r="FR73" s="92">
        <v>9</v>
      </c>
      <c r="FS73" s="22">
        <v>24000</v>
      </c>
      <c r="FT73" s="22">
        <v>4000</v>
      </c>
      <c r="FU73" s="22">
        <f t="shared" si="29"/>
        <v>4000</v>
      </c>
      <c r="FV73" s="22">
        <v>5000</v>
      </c>
      <c r="FW73" s="22">
        <v>8000</v>
      </c>
      <c r="FX73" s="22">
        <v>11000</v>
      </c>
      <c r="FY73" s="22">
        <f t="shared" si="30"/>
        <v>11000</v>
      </c>
      <c r="FZ73" s="22">
        <v>17000</v>
      </c>
      <c r="GA73" s="22">
        <v>23000</v>
      </c>
      <c r="GE73" s="1">
        <f t="shared" si="31"/>
        <v>0</v>
      </c>
      <c r="GF73" s="1">
        <f t="shared" si="32"/>
        <v>0</v>
      </c>
      <c r="GG73" s="1">
        <f t="shared" si="33"/>
        <v>17000</v>
      </c>
      <c r="GH73" s="1">
        <f t="shared" si="37"/>
        <v>0</v>
      </c>
      <c r="GI73" s="1">
        <f t="shared" si="34"/>
        <v>0</v>
      </c>
      <c r="GJ73" s="1">
        <f t="shared" si="35"/>
        <v>0</v>
      </c>
      <c r="GK73" s="1" t="str">
        <f t="shared" si="36"/>
        <v/>
      </c>
    </row>
    <row r="74" spans="38:193" x14ac:dyDescent="0.25">
      <c r="AL74" s="15" t="s">
        <v>358</v>
      </c>
      <c r="AM74" s="15" t="s">
        <v>320</v>
      </c>
      <c r="AN74" s="163">
        <v>4</v>
      </c>
      <c r="AO74" s="163"/>
      <c r="AP74" s="163" t="s">
        <v>344</v>
      </c>
      <c r="AQ74" s="163"/>
      <c r="AR74" s="164" t="s">
        <v>352</v>
      </c>
      <c r="AS74" s="163" t="s">
        <v>340</v>
      </c>
      <c r="AT74" s="163">
        <v>328</v>
      </c>
      <c r="AU74" s="171" t="s">
        <v>353</v>
      </c>
      <c r="AV74" s="171">
        <v>2.75</v>
      </c>
      <c r="AW74" s="163" t="s">
        <v>354</v>
      </c>
      <c r="AX74" s="168"/>
      <c r="AY74" s="166">
        <v>1</v>
      </c>
      <c r="AZ74" s="166" t="s">
        <v>338</v>
      </c>
      <c r="BZ74" s="36">
        <f t="shared" si="38"/>
        <v>3.6220472440944884</v>
      </c>
      <c r="CI74" s="22">
        <v>17</v>
      </c>
      <c r="CJ74" s="152">
        <v>62</v>
      </c>
      <c r="CK74" s="22">
        <f t="shared" si="22"/>
        <v>1.2272141713933764</v>
      </c>
      <c r="CL74" s="108">
        <f t="shared" si="23"/>
        <v>0</v>
      </c>
      <c r="CM74" s="108">
        <f t="shared" si="24"/>
        <v>0</v>
      </c>
      <c r="FO74" s="22" t="s">
        <v>229</v>
      </c>
      <c r="FP74" s="22">
        <v>150</v>
      </c>
      <c r="FQ74" s="92">
        <v>9.875</v>
      </c>
      <c r="FR74" s="92">
        <v>11</v>
      </c>
      <c r="FS74" s="22">
        <v>27000</v>
      </c>
      <c r="FT74" s="22">
        <v>4000</v>
      </c>
      <c r="FU74" s="22">
        <f t="shared" si="29"/>
        <v>4000</v>
      </c>
      <c r="FV74" s="22">
        <v>5000</v>
      </c>
      <c r="FW74" s="22">
        <v>8000</v>
      </c>
      <c r="FX74" s="22">
        <v>11000</v>
      </c>
      <c r="FY74" s="22">
        <f t="shared" si="30"/>
        <v>11000</v>
      </c>
      <c r="FZ74" s="22">
        <v>17000</v>
      </c>
      <c r="GA74" s="22">
        <v>23000</v>
      </c>
      <c r="GE74" s="1">
        <f t="shared" si="31"/>
        <v>0</v>
      </c>
      <c r="GF74" s="1">
        <f t="shared" si="32"/>
        <v>0</v>
      </c>
      <c r="GG74" s="1">
        <f t="shared" si="33"/>
        <v>17000</v>
      </c>
      <c r="GH74" s="1">
        <f t="shared" si="37"/>
        <v>0</v>
      </c>
      <c r="GI74" s="1">
        <f t="shared" si="34"/>
        <v>0</v>
      </c>
      <c r="GJ74" s="1">
        <f t="shared" si="35"/>
        <v>0</v>
      </c>
      <c r="GK74" s="1" t="str">
        <f t="shared" si="36"/>
        <v/>
      </c>
    </row>
    <row r="75" spans="38:193" x14ac:dyDescent="0.25">
      <c r="AL75" s="15" t="s">
        <v>359</v>
      </c>
      <c r="AM75" s="15" t="s">
        <v>320</v>
      </c>
      <c r="AN75" s="163">
        <v>4</v>
      </c>
      <c r="AO75" s="163"/>
      <c r="AP75" s="163" t="s">
        <v>344</v>
      </c>
      <c r="AQ75" s="163"/>
      <c r="AR75" s="164" t="s">
        <v>352</v>
      </c>
      <c r="AS75" s="163" t="s">
        <v>323</v>
      </c>
      <c r="AT75" s="163">
        <v>397</v>
      </c>
      <c r="AU75" s="171" t="s">
        <v>353</v>
      </c>
      <c r="AV75" s="171">
        <v>2.75</v>
      </c>
      <c r="AW75" s="163" t="s">
        <v>354</v>
      </c>
      <c r="AX75" s="168"/>
      <c r="AY75" s="166">
        <v>1</v>
      </c>
      <c r="AZ75" s="166" t="s">
        <v>357</v>
      </c>
      <c r="BZ75" s="36">
        <f t="shared" si="38"/>
        <v>3.7401574803149606</v>
      </c>
      <c r="CG75" s="23">
        <v>1</v>
      </c>
      <c r="CH75" s="23">
        <f>LOOKUP(CG75,CG76:CH88)</f>
        <v>350</v>
      </c>
      <c r="CI75" s="22">
        <v>18</v>
      </c>
      <c r="CJ75" s="152">
        <v>64</v>
      </c>
      <c r="CK75" s="22">
        <f t="shared" si="22"/>
        <v>1.2587833483932025</v>
      </c>
      <c r="CL75" s="108">
        <f t="shared" si="23"/>
        <v>0</v>
      </c>
      <c r="CM75" s="108">
        <f t="shared" si="24"/>
        <v>0</v>
      </c>
      <c r="FO75" s="22" t="s">
        <v>230</v>
      </c>
      <c r="FP75" s="22">
        <v>150</v>
      </c>
      <c r="FQ75" s="92">
        <v>12.25</v>
      </c>
      <c r="FR75" s="92">
        <v>13.75</v>
      </c>
      <c r="FS75" s="22">
        <v>38000</v>
      </c>
      <c r="FT75" s="22">
        <v>4000</v>
      </c>
      <c r="FU75" s="22">
        <f t="shared" si="29"/>
        <v>4000</v>
      </c>
      <c r="FV75" s="22">
        <v>5000</v>
      </c>
      <c r="FW75" s="22">
        <v>8000</v>
      </c>
      <c r="FX75" s="22">
        <v>11000</v>
      </c>
      <c r="FY75" s="22">
        <f t="shared" si="30"/>
        <v>11000</v>
      </c>
      <c r="FZ75" s="22">
        <v>17000</v>
      </c>
      <c r="GA75" s="22">
        <v>23000</v>
      </c>
      <c r="GE75" s="1">
        <f t="shared" si="31"/>
        <v>1</v>
      </c>
      <c r="GF75" s="1">
        <f t="shared" si="32"/>
        <v>1</v>
      </c>
      <c r="GG75" s="1">
        <f t="shared" si="33"/>
        <v>17000</v>
      </c>
      <c r="GH75" s="1">
        <f t="shared" si="37"/>
        <v>1</v>
      </c>
      <c r="GI75" s="1">
        <f t="shared" si="34"/>
        <v>0</v>
      </c>
      <c r="GJ75" s="1">
        <f t="shared" si="35"/>
        <v>1</v>
      </c>
      <c r="GK75" s="1" t="str">
        <f t="shared" si="36"/>
        <v/>
      </c>
    </row>
    <row r="76" spans="38:193" x14ac:dyDescent="0.25">
      <c r="AL76" s="166" t="s">
        <v>360</v>
      </c>
      <c r="AM76" s="166" t="s">
        <v>320</v>
      </c>
      <c r="AN76" s="165">
        <v>4</v>
      </c>
      <c r="AO76" s="165"/>
      <c r="AP76" s="165" t="s">
        <v>361</v>
      </c>
      <c r="AQ76" s="165"/>
      <c r="AR76" s="167" t="s">
        <v>362</v>
      </c>
      <c r="AS76" s="165" t="s">
        <v>337</v>
      </c>
      <c r="AT76" s="165">
        <v>512</v>
      </c>
      <c r="AU76" s="165" t="s">
        <v>363</v>
      </c>
      <c r="AV76" s="172">
        <v>2.75</v>
      </c>
      <c r="AW76" s="165"/>
      <c r="AX76" s="168"/>
      <c r="AY76" s="166">
        <v>1</v>
      </c>
      <c r="AZ76" s="166" t="s">
        <v>326</v>
      </c>
      <c r="BZ76" s="36">
        <f t="shared" si="38"/>
        <v>3.9370078740157481</v>
      </c>
      <c r="CG76" s="22">
        <v>1</v>
      </c>
      <c r="CH76" s="22">
        <f t="shared" ref="CH76:CH88" si="39">IF($BS$40=500,CH61,CG61)</f>
        <v>350</v>
      </c>
      <c r="CI76" s="22">
        <v>19</v>
      </c>
      <c r="CJ76" s="152">
        <v>66</v>
      </c>
      <c r="CK76" s="22">
        <f t="shared" si="22"/>
        <v>1.2901557982198237</v>
      </c>
      <c r="CL76" s="108">
        <f t="shared" si="23"/>
        <v>0</v>
      </c>
      <c r="CM76" s="108">
        <f t="shared" si="24"/>
        <v>0</v>
      </c>
      <c r="FO76" s="22" t="s">
        <v>231</v>
      </c>
      <c r="FP76" s="22">
        <v>150</v>
      </c>
      <c r="FQ76" s="92">
        <v>7.875</v>
      </c>
      <c r="FR76" s="92">
        <v>9</v>
      </c>
      <c r="FS76" s="22">
        <v>33000</v>
      </c>
      <c r="FT76" s="22">
        <v>5000</v>
      </c>
      <c r="FU76" s="22">
        <f t="shared" ref="FU76:FU103" si="40">FT76</f>
        <v>5000</v>
      </c>
      <c r="FV76" s="22">
        <v>8000</v>
      </c>
      <c r="FW76" s="22">
        <v>13000</v>
      </c>
      <c r="FX76" s="22">
        <v>10500</v>
      </c>
      <c r="FY76" s="22">
        <f t="shared" si="30"/>
        <v>10500</v>
      </c>
      <c r="FZ76" s="22">
        <v>18000</v>
      </c>
      <c r="GA76" s="22">
        <v>25000</v>
      </c>
      <c r="GE76" s="1">
        <f t="shared" si="31"/>
        <v>0</v>
      </c>
      <c r="GF76" s="1">
        <f t="shared" si="32"/>
        <v>0</v>
      </c>
      <c r="GG76" s="1">
        <f t="shared" si="33"/>
        <v>18000</v>
      </c>
      <c r="GH76" s="1">
        <f t="shared" si="37"/>
        <v>0</v>
      </c>
      <c r="GI76" s="1">
        <f t="shared" si="34"/>
        <v>0</v>
      </c>
      <c r="GJ76" s="1">
        <f t="shared" si="35"/>
        <v>0</v>
      </c>
      <c r="GK76" s="1" t="str">
        <f t="shared" si="36"/>
        <v/>
      </c>
    </row>
    <row r="77" spans="38:193" x14ac:dyDescent="0.25">
      <c r="AL77" s="166" t="s">
        <v>364</v>
      </c>
      <c r="AM77" s="166" t="s">
        <v>320</v>
      </c>
      <c r="AN77" s="165">
        <v>4</v>
      </c>
      <c r="AO77" s="165"/>
      <c r="AP77" s="165" t="s">
        <v>361</v>
      </c>
      <c r="AQ77" s="165"/>
      <c r="AR77" s="167" t="s">
        <v>362</v>
      </c>
      <c r="AS77" s="165" t="s">
        <v>323</v>
      </c>
      <c r="AT77" s="165">
        <v>419</v>
      </c>
      <c r="AU77" s="165" t="s">
        <v>363</v>
      </c>
      <c r="AV77" s="172">
        <v>2.75</v>
      </c>
      <c r="AW77" s="165" t="s">
        <v>365</v>
      </c>
      <c r="AX77" s="168"/>
      <c r="AY77" s="166">
        <v>1</v>
      </c>
      <c r="AZ77" s="166" t="s">
        <v>326</v>
      </c>
      <c r="BZ77" s="36">
        <f t="shared" si="38"/>
        <v>4.1338582677165361</v>
      </c>
      <c r="CG77" s="22">
        <v>2</v>
      </c>
      <c r="CH77" s="22">
        <f t="shared" si="39"/>
        <v>325</v>
      </c>
      <c r="CI77" s="22">
        <v>20</v>
      </c>
      <c r="CJ77" s="152">
        <v>68</v>
      </c>
      <c r="CK77" s="22">
        <f t="shared" si="22"/>
        <v>1.3213386551659256</v>
      </c>
      <c r="CL77" s="108">
        <f t="shared" si="23"/>
        <v>0</v>
      </c>
      <c r="CM77" s="108">
        <f t="shared" si="24"/>
        <v>0</v>
      </c>
      <c r="FO77" s="22" t="s">
        <v>232</v>
      </c>
      <c r="FP77" s="22">
        <v>140</v>
      </c>
      <c r="FQ77" s="92">
        <v>9.875</v>
      </c>
      <c r="FR77" s="92">
        <v>11</v>
      </c>
      <c r="FS77" s="22">
        <v>33000</v>
      </c>
      <c r="FT77" s="22">
        <v>5000</v>
      </c>
      <c r="FU77" s="22">
        <f t="shared" si="40"/>
        <v>5000</v>
      </c>
      <c r="FV77" s="22">
        <v>8000</v>
      </c>
      <c r="FW77" s="22">
        <v>13000</v>
      </c>
      <c r="FX77" s="22">
        <v>10500</v>
      </c>
      <c r="FY77" s="22">
        <f t="shared" si="30"/>
        <v>10500</v>
      </c>
      <c r="FZ77" s="22">
        <v>18000</v>
      </c>
      <c r="GA77" s="22">
        <v>25000</v>
      </c>
      <c r="GE77" s="1">
        <f t="shared" si="31"/>
        <v>0</v>
      </c>
      <c r="GF77" s="1">
        <f t="shared" si="32"/>
        <v>0</v>
      </c>
      <c r="GG77" s="1">
        <f t="shared" si="33"/>
        <v>18000</v>
      </c>
      <c r="GH77" s="1">
        <f t="shared" si="37"/>
        <v>0</v>
      </c>
      <c r="GI77" s="1">
        <f t="shared" si="34"/>
        <v>0</v>
      </c>
      <c r="GJ77" s="1">
        <f t="shared" si="35"/>
        <v>0</v>
      </c>
      <c r="GK77" s="1" t="str">
        <f t="shared" si="36"/>
        <v/>
      </c>
    </row>
    <row r="78" spans="38:193" x14ac:dyDescent="0.25">
      <c r="AL78" s="15" t="s">
        <v>366</v>
      </c>
      <c r="AM78" s="15" t="s">
        <v>320</v>
      </c>
      <c r="AN78" s="163">
        <v>4</v>
      </c>
      <c r="AO78" s="163"/>
      <c r="AP78" s="163" t="s">
        <v>361</v>
      </c>
      <c r="AQ78" s="163"/>
      <c r="AR78" s="164" t="s">
        <v>362</v>
      </c>
      <c r="AS78" s="163" t="s">
        <v>367</v>
      </c>
      <c r="AT78" s="163">
        <v>494</v>
      </c>
      <c r="AU78" s="163" t="s">
        <v>363</v>
      </c>
      <c r="AV78" s="171">
        <v>2.75</v>
      </c>
      <c r="AW78" s="163" t="s">
        <v>368</v>
      </c>
      <c r="AX78" s="168"/>
      <c r="AY78" s="166">
        <v>1</v>
      </c>
      <c r="AZ78" s="166" t="s">
        <v>338</v>
      </c>
      <c r="BZ78" s="36">
        <f t="shared" si="38"/>
        <v>0</v>
      </c>
      <c r="CG78" s="22">
        <v>3</v>
      </c>
      <c r="CH78" s="22">
        <f t="shared" si="39"/>
        <v>300</v>
      </c>
      <c r="CI78" s="22">
        <v>21</v>
      </c>
      <c r="CJ78" s="152">
        <v>70</v>
      </c>
      <c r="CK78" s="22">
        <f t="shared" si="22"/>
        <v>1.3523385930506429</v>
      </c>
      <c r="CL78" s="108">
        <f t="shared" si="23"/>
        <v>0</v>
      </c>
      <c r="CM78" s="108">
        <f t="shared" si="24"/>
        <v>0</v>
      </c>
      <c r="FO78" s="22" t="s">
        <v>224</v>
      </c>
      <c r="FP78" s="22">
        <v>150</v>
      </c>
      <c r="FQ78" s="92">
        <v>7.875</v>
      </c>
      <c r="FR78" s="92">
        <v>9</v>
      </c>
      <c r="FS78" s="22">
        <v>33000</v>
      </c>
      <c r="FT78" s="22">
        <v>7000</v>
      </c>
      <c r="FU78" s="22">
        <f t="shared" si="40"/>
        <v>7000</v>
      </c>
      <c r="FV78" s="22">
        <v>13000</v>
      </c>
      <c r="FW78" s="22">
        <v>16500</v>
      </c>
      <c r="FX78" s="22">
        <v>14500</v>
      </c>
      <c r="FY78" s="22">
        <f t="shared" si="30"/>
        <v>14500</v>
      </c>
      <c r="FZ78" s="22">
        <v>20000</v>
      </c>
      <c r="GA78" s="22">
        <v>30000</v>
      </c>
      <c r="GE78" s="1">
        <f t="shared" si="31"/>
        <v>0</v>
      </c>
      <c r="GF78" s="1">
        <f t="shared" si="32"/>
        <v>0</v>
      </c>
      <c r="GG78" s="1">
        <f t="shared" si="33"/>
        <v>20000</v>
      </c>
      <c r="GH78" s="1">
        <f t="shared" si="37"/>
        <v>0</v>
      </c>
      <c r="GI78" s="1">
        <f t="shared" si="34"/>
        <v>0</v>
      </c>
      <c r="GJ78" s="1">
        <f t="shared" si="35"/>
        <v>0</v>
      </c>
      <c r="GK78" s="1" t="str">
        <f t="shared" si="36"/>
        <v/>
      </c>
    </row>
    <row r="79" spans="38:193" x14ac:dyDescent="0.25">
      <c r="AL79" s="15" t="s">
        <v>369</v>
      </c>
      <c r="AM79" s="15" t="s">
        <v>320</v>
      </c>
      <c r="AN79" s="163">
        <v>4</v>
      </c>
      <c r="AO79" s="163"/>
      <c r="AP79" s="163" t="s">
        <v>361</v>
      </c>
      <c r="AQ79" s="163"/>
      <c r="AR79" s="164" t="s">
        <v>362</v>
      </c>
      <c r="AS79" s="163" t="s">
        <v>337</v>
      </c>
      <c r="AT79" s="163">
        <v>512</v>
      </c>
      <c r="AU79" s="163" t="s">
        <v>363</v>
      </c>
      <c r="AV79" s="171">
        <v>2.75</v>
      </c>
      <c r="AW79" s="163" t="s">
        <v>368</v>
      </c>
      <c r="AX79" s="168"/>
      <c r="AY79" s="166">
        <v>1</v>
      </c>
      <c r="AZ79" s="166" t="s">
        <v>338</v>
      </c>
      <c r="CG79" s="22">
        <v>4</v>
      </c>
      <c r="CH79" s="22">
        <f t="shared" si="39"/>
        <v>275</v>
      </c>
      <c r="CI79" s="22">
        <v>22</v>
      </c>
      <c r="CJ79" s="152">
        <v>72</v>
      </c>
      <c r="CK79" s="22">
        <f t="shared" si="22"/>
        <v>1.3831618672225916</v>
      </c>
      <c r="CL79" s="108">
        <f t="shared" si="23"/>
        <v>0</v>
      </c>
      <c r="CM79" s="108">
        <f t="shared" si="24"/>
        <v>0</v>
      </c>
      <c r="FO79" s="22" t="s">
        <v>233</v>
      </c>
      <c r="FP79" s="22">
        <v>150</v>
      </c>
      <c r="FQ79" s="92">
        <v>7.875</v>
      </c>
      <c r="FR79" s="92">
        <v>9</v>
      </c>
      <c r="FS79" s="22">
        <v>33000</v>
      </c>
      <c r="FT79" s="22">
        <v>10000</v>
      </c>
      <c r="FU79" s="22">
        <f t="shared" si="40"/>
        <v>10000</v>
      </c>
      <c r="FV79" s="22">
        <v>15000</v>
      </c>
      <c r="FW79" s="22">
        <v>2000</v>
      </c>
      <c r="FX79" s="22">
        <v>15000</v>
      </c>
      <c r="FY79" s="22">
        <f t="shared" si="30"/>
        <v>15000</v>
      </c>
      <c r="FZ79" s="22">
        <v>22500</v>
      </c>
      <c r="GA79" s="22">
        <v>32000</v>
      </c>
      <c r="GE79" s="1">
        <f t="shared" si="31"/>
        <v>0</v>
      </c>
      <c r="GF79" s="1">
        <f t="shared" si="32"/>
        <v>0</v>
      </c>
      <c r="GG79" s="1">
        <f t="shared" si="33"/>
        <v>22500</v>
      </c>
      <c r="GH79" s="1">
        <f t="shared" si="37"/>
        <v>0</v>
      </c>
      <c r="GI79" s="1">
        <f t="shared" si="34"/>
        <v>0</v>
      </c>
      <c r="GJ79" s="1">
        <f t="shared" si="35"/>
        <v>0</v>
      </c>
      <c r="GK79" s="1" t="str">
        <f t="shared" si="36"/>
        <v/>
      </c>
    </row>
    <row r="80" spans="38:193" x14ac:dyDescent="0.25">
      <c r="AL80" s="166" t="s">
        <v>370</v>
      </c>
      <c r="AM80" s="166" t="s">
        <v>320</v>
      </c>
      <c r="AN80" s="165">
        <v>4</v>
      </c>
      <c r="AO80" s="165"/>
      <c r="AP80" s="165" t="s">
        <v>344</v>
      </c>
      <c r="AQ80" s="165"/>
      <c r="AR80" s="167" t="s">
        <v>362</v>
      </c>
      <c r="AS80" s="165" t="s">
        <v>323</v>
      </c>
      <c r="AT80" s="165">
        <v>519</v>
      </c>
      <c r="AU80" s="165" t="s">
        <v>353</v>
      </c>
      <c r="AV80" s="172">
        <v>2.75</v>
      </c>
      <c r="AW80" s="165" t="s">
        <v>354</v>
      </c>
      <c r="AX80" s="168"/>
      <c r="AY80" s="166">
        <v>1</v>
      </c>
      <c r="AZ80" s="166" t="s">
        <v>338</v>
      </c>
      <c r="CG80" s="22">
        <v>5</v>
      </c>
      <c r="CH80" s="22">
        <f t="shared" si="39"/>
        <v>250</v>
      </c>
      <c r="CI80" s="22">
        <v>23</v>
      </c>
      <c r="CJ80" s="152">
        <v>74</v>
      </c>
      <c r="CK80" s="22">
        <f t="shared" si="22"/>
        <v>1.4138143516730073</v>
      </c>
      <c r="CL80" s="108">
        <f t="shared" si="23"/>
        <v>0</v>
      </c>
      <c r="CM80" s="108">
        <f t="shared" si="24"/>
        <v>0</v>
      </c>
      <c r="FO80" s="22" t="s">
        <v>234</v>
      </c>
      <c r="FP80" s="22">
        <v>130</v>
      </c>
      <c r="FQ80" s="92">
        <v>9.7850000000000001</v>
      </c>
      <c r="FR80" s="92">
        <v>11</v>
      </c>
      <c r="FS80" s="22">
        <v>45000</v>
      </c>
      <c r="FT80" s="22">
        <v>10000</v>
      </c>
      <c r="FU80" s="22">
        <f t="shared" si="40"/>
        <v>10000</v>
      </c>
      <c r="FV80" s="22">
        <v>15000</v>
      </c>
      <c r="FW80" s="22">
        <v>2000</v>
      </c>
      <c r="FX80" s="22">
        <v>15000</v>
      </c>
      <c r="FY80" s="22">
        <f t="shared" si="30"/>
        <v>15000</v>
      </c>
      <c r="FZ80" s="22">
        <v>22500</v>
      </c>
      <c r="GA80" s="22">
        <v>32000</v>
      </c>
      <c r="GE80" s="1">
        <f t="shared" si="31"/>
        <v>0</v>
      </c>
      <c r="GF80" s="1">
        <f t="shared" si="32"/>
        <v>0</v>
      </c>
      <c r="GG80" s="1">
        <f t="shared" si="33"/>
        <v>22500</v>
      </c>
      <c r="GH80" s="1">
        <f t="shared" si="37"/>
        <v>0</v>
      </c>
      <c r="GI80" s="1">
        <f t="shared" si="34"/>
        <v>0</v>
      </c>
      <c r="GJ80" s="1">
        <f t="shared" si="35"/>
        <v>0</v>
      </c>
      <c r="GK80" s="1" t="str">
        <f t="shared" si="36"/>
        <v/>
      </c>
    </row>
    <row r="81" spans="38:193" x14ac:dyDescent="0.25">
      <c r="AL81" s="15" t="s">
        <v>371</v>
      </c>
      <c r="AM81" s="15" t="s">
        <v>320</v>
      </c>
      <c r="AN81" s="163">
        <v>4</v>
      </c>
      <c r="AO81" s="163"/>
      <c r="AP81" s="163" t="s">
        <v>344</v>
      </c>
      <c r="AQ81" s="163"/>
      <c r="AR81" s="164" t="s">
        <v>362</v>
      </c>
      <c r="AS81" s="163" t="s">
        <v>337</v>
      </c>
      <c r="AT81" s="163">
        <v>623</v>
      </c>
      <c r="AU81" s="171" t="s">
        <v>353</v>
      </c>
      <c r="AV81" s="171">
        <v>2.75</v>
      </c>
      <c r="AW81" s="163" t="s">
        <v>354</v>
      </c>
      <c r="AX81" s="168"/>
      <c r="AY81" s="166">
        <v>1</v>
      </c>
      <c r="AZ81" s="166" t="s">
        <v>338</v>
      </c>
      <c r="CG81" s="22">
        <v>6</v>
      </c>
      <c r="CH81" s="22">
        <f t="shared" si="39"/>
        <v>225</v>
      </c>
      <c r="CI81" s="22">
        <v>24</v>
      </c>
      <c r="CJ81" s="152">
        <v>76</v>
      </c>
      <c r="CK81" s="22">
        <f t="shared" si="22"/>
        <v>1.444301571944866</v>
      </c>
      <c r="CL81" s="108">
        <f t="shared" si="23"/>
        <v>0</v>
      </c>
      <c r="CM81" s="108">
        <f t="shared" si="24"/>
        <v>0</v>
      </c>
      <c r="FO81" s="22" t="s">
        <v>235</v>
      </c>
      <c r="FP81" s="22">
        <v>120</v>
      </c>
      <c r="FQ81" s="92">
        <v>12.25</v>
      </c>
      <c r="FR81" s="92">
        <v>13.75</v>
      </c>
      <c r="FS81" s="22">
        <v>80000</v>
      </c>
      <c r="FT81" s="22">
        <v>10000</v>
      </c>
      <c r="FU81" s="22">
        <f t="shared" si="40"/>
        <v>10000</v>
      </c>
      <c r="FV81" s="22">
        <v>15000</v>
      </c>
      <c r="FW81" s="22">
        <v>2000</v>
      </c>
      <c r="FX81" s="22">
        <v>15000</v>
      </c>
      <c r="FY81" s="22">
        <f t="shared" si="30"/>
        <v>15000</v>
      </c>
      <c r="FZ81" s="22">
        <v>22500</v>
      </c>
      <c r="GA81" s="22">
        <v>32000</v>
      </c>
      <c r="GE81" s="1">
        <f t="shared" si="31"/>
        <v>1</v>
      </c>
      <c r="GF81" s="1">
        <f t="shared" si="32"/>
        <v>1</v>
      </c>
      <c r="GG81" s="1">
        <f t="shared" si="33"/>
        <v>22500</v>
      </c>
      <c r="GH81" s="1">
        <f t="shared" si="37"/>
        <v>1</v>
      </c>
      <c r="GI81" s="1">
        <f t="shared" si="34"/>
        <v>0</v>
      </c>
      <c r="GJ81" s="1">
        <f t="shared" si="35"/>
        <v>1</v>
      </c>
      <c r="GK81" s="1" t="str">
        <f t="shared" si="36"/>
        <v/>
      </c>
    </row>
    <row r="82" spans="38:193" x14ac:dyDescent="0.25">
      <c r="AL82" s="15" t="s">
        <v>372</v>
      </c>
      <c r="AM82" s="15" t="s">
        <v>320</v>
      </c>
      <c r="AN82" s="163">
        <v>4</v>
      </c>
      <c r="AO82" s="163"/>
      <c r="AP82" s="163" t="s">
        <v>344</v>
      </c>
      <c r="AQ82" s="163"/>
      <c r="AR82" s="164" t="s">
        <v>373</v>
      </c>
      <c r="AS82" s="163" t="s">
        <v>340</v>
      </c>
      <c r="AT82" s="163">
        <v>553</v>
      </c>
      <c r="AU82" s="171" t="s">
        <v>353</v>
      </c>
      <c r="AV82" s="171">
        <v>2.75</v>
      </c>
      <c r="AW82" s="163" t="s">
        <v>354</v>
      </c>
      <c r="AX82" s="168"/>
      <c r="AY82" s="166">
        <v>1</v>
      </c>
      <c r="AZ82" s="166" t="s">
        <v>338</v>
      </c>
      <c r="CG82" s="22">
        <v>7</v>
      </c>
      <c r="CH82" s="22">
        <f t="shared" si="39"/>
        <v>200</v>
      </c>
      <c r="CI82" s="22">
        <v>25</v>
      </c>
      <c r="CJ82" s="152">
        <v>78</v>
      </c>
      <c r="CK82" s="22">
        <f t="shared" si="22"/>
        <v>1.4746287344121609</v>
      </c>
      <c r="CL82" s="108">
        <f t="shared" si="23"/>
        <v>0</v>
      </c>
      <c r="CM82" s="108">
        <f t="shared" si="24"/>
        <v>0</v>
      </c>
      <c r="FO82" s="22" t="s">
        <v>236</v>
      </c>
      <c r="FP82" s="22">
        <v>120</v>
      </c>
      <c r="FQ82" s="92">
        <v>6.75</v>
      </c>
      <c r="FR82" s="92">
        <v>7.375</v>
      </c>
      <c r="FS82" s="22">
        <v>33000</v>
      </c>
      <c r="FT82" s="22">
        <v>15000</v>
      </c>
      <c r="FU82" s="22">
        <f t="shared" si="40"/>
        <v>15000</v>
      </c>
      <c r="FV82" s="22">
        <v>22500</v>
      </c>
      <c r="FW82" s="22">
        <v>32000</v>
      </c>
      <c r="FX82" s="22">
        <v>22000</v>
      </c>
      <c r="FY82" s="22">
        <f t="shared" si="30"/>
        <v>22000</v>
      </c>
      <c r="FZ82" s="22">
        <v>33000</v>
      </c>
      <c r="GA82" s="22">
        <v>46000</v>
      </c>
      <c r="GE82" s="1">
        <f t="shared" si="31"/>
        <v>0</v>
      </c>
      <c r="GF82" s="1">
        <f t="shared" si="32"/>
        <v>0</v>
      </c>
      <c r="GG82" s="1">
        <f t="shared" si="33"/>
        <v>33000</v>
      </c>
      <c r="GH82" s="1">
        <f t="shared" si="37"/>
        <v>0</v>
      </c>
      <c r="GI82" s="1">
        <f t="shared" si="34"/>
        <v>0</v>
      </c>
      <c r="GJ82" s="1">
        <f t="shared" si="35"/>
        <v>0</v>
      </c>
      <c r="GK82" s="1" t="str">
        <f t="shared" si="36"/>
        <v/>
      </c>
    </row>
    <row r="83" spans="38:193" ht="14.25" thickBot="1" x14ac:dyDescent="0.3">
      <c r="AL83" s="15" t="s">
        <v>374</v>
      </c>
      <c r="AM83" s="15" t="s">
        <v>320</v>
      </c>
      <c r="AN83" s="163">
        <v>4</v>
      </c>
      <c r="AO83" s="163"/>
      <c r="AP83" s="163" t="s">
        <v>344</v>
      </c>
      <c r="AQ83" s="163"/>
      <c r="AR83" s="164" t="s">
        <v>373</v>
      </c>
      <c r="AS83" s="163" t="s">
        <v>323</v>
      </c>
      <c r="AT83" s="163">
        <v>687</v>
      </c>
      <c r="AU83" s="171" t="s">
        <v>353</v>
      </c>
      <c r="AV83" s="171">
        <v>2.75</v>
      </c>
      <c r="AW83" s="163" t="s">
        <v>354</v>
      </c>
      <c r="AX83" s="168"/>
      <c r="AY83" s="166">
        <v>1</v>
      </c>
      <c r="AZ83" s="166" t="s">
        <v>338</v>
      </c>
      <c r="CG83" s="22">
        <v>8</v>
      </c>
      <c r="CH83" s="22">
        <f t="shared" si="39"/>
        <v>0</v>
      </c>
      <c r="CI83" s="22">
        <v>26</v>
      </c>
      <c r="CJ83" s="153">
        <v>80</v>
      </c>
      <c r="CK83" s="22">
        <f t="shared" si="22"/>
        <v>1.5048007524123905</v>
      </c>
      <c r="CL83" s="108">
        <f t="shared" si="23"/>
        <v>0</v>
      </c>
      <c r="CM83" s="108">
        <f t="shared" si="24"/>
        <v>0</v>
      </c>
      <c r="FO83" s="22" t="s">
        <v>237</v>
      </c>
      <c r="FP83" s="22">
        <v>120</v>
      </c>
      <c r="FQ83" s="92">
        <v>7.875</v>
      </c>
      <c r="FR83" s="92">
        <v>9</v>
      </c>
      <c r="FS83" s="22">
        <v>35000</v>
      </c>
      <c r="FT83" s="22">
        <v>15000</v>
      </c>
      <c r="FU83" s="22">
        <f t="shared" si="40"/>
        <v>15000</v>
      </c>
      <c r="FV83" s="22">
        <v>22500</v>
      </c>
      <c r="FW83" s="22">
        <v>32000</v>
      </c>
      <c r="FX83" s="22">
        <v>22000</v>
      </c>
      <c r="FY83" s="22">
        <f t="shared" si="30"/>
        <v>22000</v>
      </c>
      <c r="FZ83" s="22">
        <v>33000</v>
      </c>
      <c r="GA83" s="22">
        <v>46000</v>
      </c>
      <c r="GE83" s="1">
        <f t="shared" si="31"/>
        <v>0</v>
      </c>
      <c r="GF83" s="1">
        <f t="shared" si="32"/>
        <v>0</v>
      </c>
      <c r="GG83" s="1">
        <f t="shared" si="33"/>
        <v>33000</v>
      </c>
      <c r="GH83" s="1">
        <f t="shared" si="37"/>
        <v>0</v>
      </c>
      <c r="GI83" s="1">
        <f t="shared" si="34"/>
        <v>0</v>
      </c>
      <c r="GJ83" s="1">
        <f t="shared" si="35"/>
        <v>0</v>
      </c>
      <c r="GK83" s="1" t="str">
        <f t="shared" si="36"/>
        <v/>
      </c>
    </row>
    <row r="84" spans="38:193" x14ac:dyDescent="0.25">
      <c r="AL84" s="15" t="s">
        <v>375</v>
      </c>
      <c r="AM84" s="15" t="s">
        <v>320</v>
      </c>
      <c r="AN84" s="163">
        <v>4</v>
      </c>
      <c r="AO84" s="163"/>
      <c r="AP84" s="163" t="s">
        <v>376</v>
      </c>
      <c r="AQ84" s="163"/>
      <c r="AR84" s="164" t="s">
        <v>377</v>
      </c>
      <c r="AS84" s="163" t="s">
        <v>337</v>
      </c>
      <c r="AT84" s="163">
        <v>625</v>
      </c>
      <c r="AU84" s="171" t="s">
        <v>353</v>
      </c>
      <c r="AV84" s="171">
        <v>2.75</v>
      </c>
      <c r="AW84" s="163" t="s">
        <v>354</v>
      </c>
      <c r="AX84" s="168" t="s">
        <v>378</v>
      </c>
      <c r="AY84" s="166">
        <v>1</v>
      </c>
      <c r="AZ84" s="166" t="s">
        <v>338</v>
      </c>
      <c r="CG84" s="22">
        <v>10</v>
      </c>
      <c r="CH84" s="22">
        <f t="shared" si="39"/>
        <v>0</v>
      </c>
      <c r="FO84" s="22" t="s">
        <v>238</v>
      </c>
      <c r="FP84" s="22">
        <v>120</v>
      </c>
      <c r="FQ84" s="92">
        <v>9.875</v>
      </c>
      <c r="FR84" s="92">
        <v>11</v>
      </c>
      <c r="FS84" s="22">
        <v>50000</v>
      </c>
      <c r="FT84" s="22">
        <v>15000</v>
      </c>
      <c r="FU84" s="22">
        <f t="shared" si="40"/>
        <v>15000</v>
      </c>
      <c r="FV84" s="22">
        <v>22500</v>
      </c>
      <c r="FW84" s="22">
        <v>32000</v>
      </c>
      <c r="FX84" s="22">
        <v>22000</v>
      </c>
      <c r="FY84" s="22">
        <f t="shared" si="30"/>
        <v>22000</v>
      </c>
      <c r="FZ84" s="22">
        <v>33000</v>
      </c>
      <c r="GA84" s="22">
        <v>46000</v>
      </c>
      <c r="GE84" s="1">
        <f t="shared" si="31"/>
        <v>0</v>
      </c>
      <c r="GF84" s="1">
        <f t="shared" si="32"/>
        <v>0</v>
      </c>
      <c r="GG84" s="1">
        <f t="shared" si="33"/>
        <v>33000</v>
      </c>
      <c r="GH84" s="1">
        <f t="shared" si="37"/>
        <v>0</v>
      </c>
      <c r="GI84" s="1">
        <f t="shared" si="34"/>
        <v>0</v>
      </c>
      <c r="GJ84" s="1">
        <f t="shared" si="35"/>
        <v>0</v>
      </c>
      <c r="GK84" s="1" t="str">
        <f t="shared" si="36"/>
        <v/>
      </c>
    </row>
    <row r="85" spans="38:193" x14ac:dyDescent="0.25">
      <c r="AL85" s="166" t="s">
        <v>379</v>
      </c>
      <c r="AM85" s="166" t="s">
        <v>320</v>
      </c>
      <c r="AN85" s="165">
        <v>4</v>
      </c>
      <c r="AO85" s="165"/>
      <c r="AP85" s="165" t="s">
        <v>361</v>
      </c>
      <c r="AQ85" s="165"/>
      <c r="AR85" s="167"/>
      <c r="AS85" s="165" t="s">
        <v>329</v>
      </c>
      <c r="AT85" s="165">
        <v>198</v>
      </c>
      <c r="AU85" s="165" t="s">
        <v>363</v>
      </c>
      <c r="AV85" s="172">
        <v>2.75</v>
      </c>
      <c r="AW85" s="165"/>
      <c r="AX85" s="168" t="s">
        <v>331</v>
      </c>
      <c r="AY85" s="166">
        <v>1</v>
      </c>
      <c r="AZ85" s="166" t="s">
        <v>326</v>
      </c>
      <c r="CG85" s="22">
        <v>11</v>
      </c>
      <c r="CH85" s="22">
        <f t="shared" si="39"/>
        <v>0</v>
      </c>
      <c r="FO85" s="22" t="s">
        <v>239</v>
      </c>
      <c r="FP85" s="22">
        <v>120</v>
      </c>
      <c r="FQ85" s="92">
        <v>12.25</v>
      </c>
      <c r="FR85" s="92">
        <v>13.75</v>
      </c>
      <c r="FS85" s="22">
        <v>80000</v>
      </c>
      <c r="FT85" s="22">
        <v>15000</v>
      </c>
      <c r="FU85" s="22">
        <f t="shared" si="40"/>
        <v>15000</v>
      </c>
      <c r="FV85" s="22">
        <v>22500</v>
      </c>
      <c r="FW85" s="22">
        <v>32000</v>
      </c>
      <c r="FX85" s="22">
        <v>22000</v>
      </c>
      <c r="FY85" s="22">
        <f t="shared" si="30"/>
        <v>22000</v>
      </c>
      <c r="FZ85" s="22">
        <v>33000</v>
      </c>
      <c r="GA85" s="22">
        <v>46000</v>
      </c>
      <c r="GE85" s="1">
        <f t="shared" si="31"/>
        <v>1</v>
      </c>
      <c r="GF85" s="1">
        <f t="shared" si="32"/>
        <v>1</v>
      </c>
      <c r="GG85" s="1">
        <f t="shared" si="33"/>
        <v>33000</v>
      </c>
      <c r="GH85" s="1">
        <f t="shared" si="37"/>
        <v>1</v>
      </c>
      <c r="GI85" s="1">
        <f t="shared" si="34"/>
        <v>0</v>
      </c>
      <c r="GJ85" s="1">
        <f t="shared" si="35"/>
        <v>1</v>
      </c>
      <c r="GK85" s="1" t="str">
        <f t="shared" si="36"/>
        <v/>
      </c>
    </row>
    <row r="86" spans="38:193" x14ac:dyDescent="0.25">
      <c r="AL86" s="166" t="s">
        <v>380</v>
      </c>
      <c r="AM86" s="166" t="s">
        <v>320</v>
      </c>
      <c r="AN86" s="165">
        <v>4</v>
      </c>
      <c r="AO86" s="165"/>
      <c r="AP86" s="165" t="s">
        <v>361</v>
      </c>
      <c r="AQ86" s="165"/>
      <c r="AR86" s="167"/>
      <c r="AS86" s="165" t="s">
        <v>333</v>
      </c>
      <c r="AT86" s="165">
        <v>250</v>
      </c>
      <c r="AU86" s="165" t="s">
        <v>363</v>
      </c>
      <c r="AV86" s="172">
        <v>2.75</v>
      </c>
      <c r="AW86" s="165"/>
      <c r="AX86" s="168" t="s">
        <v>331</v>
      </c>
      <c r="AY86" s="166">
        <v>1</v>
      </c>
      <c r="AZ86" s="166" t="s">
        <v>326</v>
      </c>
      <c r="CG86" s="22">
        <v>12</v>
      </c>
      <c r="CH86" s="22">
        <f t="shared" si="39"/>
        <v>0</v>
      </c>
      <c r="FO86" s="22" t="s">
        <v>240</v>
      </c>
      <c r="FP86" s="22">
        <v>110</v>
      </c>
      <c r="FQ86" s="92">
        <v>7.875</v>
      </c>
      <c r="FR86" s="92">
        <v>9</v>
      </c>
      <c r="FS86" s="22">
        <v>40000</v>
      </c>
      <c r="FT86" s="22">
        <v>15000</v>
      </c>
      <c r="FU86" s="22">
        <f t="shared" si="40"/>
        <v>15000</v>
      </c>
      <c r="FV86" s="22">
        <v>22500</v>
      </c>
      <c r="FW86" s="22">
        <v>32000</v>
      </c>
      <c r="FX86" s="22">
        <v>25000</v>
      </c>
      <c r="FY86" s="22">
        <f t="shared" si="30"/>
        <v>25000</v>
      </c>
      <c r="FZ86" s="22">
        <v>36000</v>
      </c>
      <c r="GA86" s="22">
        <v>51500</v>
      </c>
      <c r="GE86" s="1">
        <f t="shared" si="31"/>
        <v>0</v>
      </c>
      <c r="GF86" s="1">
        <f t="shared" si="32"/>
        <v>0</v>
      </c>
      <c r="GG86" s="1">
        <f t="shared" si="33"/>
        <v>36000</v>
      </c>
      <c r="GH86" s="1">
        <f t="shared" si="37"/>
        <v>0</v>
      </c>
      <c r="GI86" s="1">
        <f t="shared" si="34"/>
        <v>0</v>
      </c>
      <c r="GJ86" s="1">
        <f t="shared" si="35"/>
        <v>0</v>
      </c>
      <c r="GK86" s="1" t="str">
        <f t="shared" si="36"/>
        <v/>
      </c>
    </row>
    <row r="87" spans="38:193" x14ac:dyDescent="0.25">
      <c r="AL87" s="166" t="s">
        <v>381</v>
      </c>
      <c r="AM87" s="166" t="s">
        <v>320</v>
      </c>
      <c r="AN87" s="169">
        <v>4.5625</v>
      </c>
      <c r="AO87" s="165"/>
      <c r="AP87" s="165" t="s">
        <v>382</v>
      </c>
      <c r="AQ87" s="165"/>
      <c r="AR87" s="167"/>
      <c r="AS87" s="165" t="s">
        <v>356</v>
      </c>
      <c r="AT87" s="165">
        <v>228</v>
      </c>
      <c r="AU87" s="165"/>
      <c r="AV87" s="172">
        <v>3.875</v>
      </c>
      <c r="AW87" s="165" t="s">
        <v>383</v>
      </c>
      <c r="AX87" s="168" t="s">
        <v>384</v>
      </c>
      <c r="AY87" s="166">
        <v>1</v>
      </c>
      <c r="AZ87" s="166" t="s">
        <v>326</v>
      </c>
      <c r="CG87" s="22">
        <v>13</v>
      </c>
      <c r="CH87" s="22">
        <f t="shared" si="39"/>
        <v>0</v>
      </c>
      <c r="FO87" s="22" t="s">
        <v>241</v>
      </c>
      <c r="FP87" s="22">
        <v>110</v>
      </c>
      <c r="FQ87" s="92">
        <v>9.875</v>
      </c>
      <c r="FR87" s="92">
        <v>11</v>
      </c>
      <c r="FS87" s="22">
        <v>57000</v>
      </c>
      <c r="FT87" s="22">
        <v>15000</v>
      </c>
      <c r="FU87" s="22">
        <f t="shared" si="40"/>
        <v>15000</v>
      </c>
      <c r="FV87" s="22">
        <v>22500</v>
      </c>
      <c r="FW87" s="22">
        <v>32000</v>
      </c>
      <c r="FX87" s="22">
        <v>25000</v>
      </c>
      <c r="FY87" s="22">
        <f t="shared" si="30"/>
        <v>25000</v>
      </c>
      <c r="FZ87" s="22">
        <v>36000</v>
      </c>
      <c r="GA87" s="22">
        <v>51500</v>
      </c>
      <c r="GE87" s="1">
        <f t="shared" si="31"/>
        <v>0</v>
      </c>
      <c r="GF87" s="1">
        <f t="shared" si="32"/>
        <v>0</v>
      </c>
      <c r="GG87" s="1">
        <f t="shared" si="33"/>
        <v>36000</v>
      </c>
      <c r="GH87" s="1">
        <f t="shared" si="37"/>
        <v>0</v>
      </c>
      <c r="GI87" s="1">
        <f t="shared" si="34"/>
        <v>0</v>
      </c>
      <c r="GJ87" s="1">
        <f t="shared" si="35"/>
        <v>0</v>
      </c>
      <c r="GK87" s="1" t="str">
        <f t="shared" si="36"/>
        <v/>
      </c>
    </row>
    <row r="88" spans="38:193" x14ac:dyDescent="0.25">
      <c r="AL88" s="166" t="s">
        <v>385</v>
      </c>
      <c r="AM88" s="166" t="s">
        <v>320</v>
      </c>
      <c r="AN88" s="169">
        <v>4.5625</v>
      </c>
      <c r="AO88" s="165"/>
      <c r="AP88" s="165" t="s">
        <v>382</v>
      </c>
      <c r="AQ88" s="165"/>
      <c r="AR88" s="167"/>
      <c r="AS88" s="165" t="s">
        <v>340</v>
      </c>
      <c r="AT88" s="165">
        <v>456</v>
      </c>
      <c r="AU88" s="165"/>
      <c r="AV88" s="172">
        <v>3.875</v>
      </c>
      <c r="AW88" s="165" t="s">
        <v>383</v>
      </c>
      <c r="AX88" s="168" t="s">
        <v>384</v>
      </c>
      <c r="AY88" s="166">
        <v>1</v>
      </c>
      <c r="AZ88" s="166" t="s">
        <v>326</v>
      </c>
      <c r="CG88" s="22">
        <v>14</v>
      </c>
      <c r="CH88" s="22">
        <f t="shared" si="39"/>
        <v>0</v>
      </c>
      <c r="FO88" s="22" t="s">
        <v>242</v>
      </c>
      <c r="FP88" s="22">
        <v>110</v>
      </c>
      <c r="FQ88" s="92">
        <v>12.25</v>
      </c>
      <c r="FR88" s="92">
        <v>13.75</v>
      </c>
      <c r="FS88" s="22">
        <v>85000</v>
      </c>
      <c r="FT88" s="22">
        <v>15000</v>
      </c>
      <c r="FU88" s="22">
        <f t="shared" si="40"/>
        <v>15000</v>
      </c>
      <c r="FV88" s="22">
        <v>22500</v>
      </c>
      <c r="FW88" s="22">
        <v>32000</v>
      </c>
      <c r="FX88" s="22">
        <v>25000</v>
      </c>
      <c r="FY88" s="22">
        <f t="shared" si="30"/>
        <v>25000</v>
      </c>
      <c r="FZ88" s="22">
        <v>36000</v>
      </c>
      <c r="GA88" s="22">
        <v>51500</v>
      </c>
      <c r="GE88" s="1">
        <f t="shared" si="31"/>
        <v>1</v>
      </c>
      <c r="GF88" s="1">
        <f t="shared" si="32"/>
        <v>1</v>
      </c>
      <c r="GG88" s="1">
        <f t="shared" si="33"/>
        <v>36000</v>
      </c>
      <c r="GH88" s="1">
        <f t="shared" si="37"/>
        <v>1</v>
      </c>
      <c r="GI88" s="1">
        <f t="shared" si="34"/>
        <v>1</v>
      </c>
      <c r="GJ88" s="1">
        <f t="shared" si="35"/>
        <v>2</v>
      </c>
      <c r="GK88" s="1">
        <f t="shared" si="36"/>
        <v>110</v>
      </c>
    </row>
    <row r="89" spans="38:193" x14ac:dyDescent="0.25">
      <c r="AL89" s="15" t="s">
        <v>386</v>
      </c>
      <c r="AM89" s="15" t="s">
        <v>320</v>
      </c>
      <c r="AN89" s="163">
        <v>5</v>
      </c>
      <c r="AO89" s="163"/>
      <c r="AP89" s="163" t="s">
        <v>387</v>
      </c>
      <c r="AQ89" s="163"/>
      <c r="AR89" s="164">
        <v>0.36199999999999999</v>
      </c>
      <c r="AS89" s="163" t="s">
        <v>388</v>
      </c>
      <c r="AT89" s="163">
        <v>339</v>
      </c>
      <c r="AU89" s="163" t="s">
        <v>324</v>
      </c>
      <c r="AV89" s="163">
        <v>3</v>
      </c>
      <c r="AW89" s="163">
        <v>4</v>
      </c>
      <c r="AX89" s="168" t="s">
        <v>389</v>
      </c>
      <c r="AY89" s="166">
        <v>1</v>
      </c>
      <c r="AZ89" s="166" t="s">
        <v>338</v>
      </c>
      <c r="FO89" s="22" t="s">
        <v>243</v>
      </c>
      <c r="FP89" s="22">
        <v>100</v>
      </c>
      <c r="FQ89" s="92">
        <v>15</v>
      </c>
      <c r="FR89" s="92">
        <v>16</v>
      </c>
      <c r="FS89" s="22">
        <v>100000</v>
      </c>
      <c r="FT89" s="22">
        <v>15000</v>
      </c>
      <c r="FU89" s="22">
        <f t="shared" si="40"/>
        <v>15000</v>
      </c>
      <c r="FV89" s="22">
        <v>22500</v>
      </c>
      <c r="FW89" s="22">
        <v>32000</v>
      </c>
      <c r="FX89" s="22">
        <v>25000</v>
      </c>
      <c r="FY89" s="22">
        <f t="shared" si="30"/>
        <v>25000</v>
      </c>
      <c r="FZ89" s="22">
        <v>36000</v>
      </c>
      <c r="GA89" s="22">
        <v>51500</v>
      </c>
      <c r="GE89" s="1">
        <f t="shared" si="31"/>
        <v>1</v>
      </c>
      <c r="GF89" s="1">
        <f t="shared" si="32"/>
        <v>1</v>
      </c>
      <c r="GG89" s="1">
        <f t="shared" si="33"/>
        <v>36000</v>
      </c>
      <c r="GH89" s="1">
        <f t="shared" si="37"/>
        <v>1</v>
      </c>
      <c r="GI89" s="1">
        <f t="shared" si="34"/>
        <v>1</v>
      </c>
      <c r="GJ89" s="1">
        <f t="shared" si="35"/>
        <v>2</v>
      </c>
      <c r="GK89" s="1">
        <f t="shared" si="36"/>
        <v>100</v>
      </c>
    </row>
    <row r="90" spans="38:193" x14ac:dyDescent="0.25">
      <c r="AL90" s="15" t="s">
        <v>390</v>
      </c>
      <c r="AM90" s="15" t="s">
        <v>320</v>
      </c>
      <c r="AN90" s="163">
        <v>5</v>
      </c>
      <c r="AO90" s="163"/>
      <c r="AP90" s="163" t="s">
        <v>391</v>
      </c>
      <c r="AQ90" s="163"/>
      <c r="AR90" s="164">
        <v>0.36199999999999999</v>
      </c>
      <c r="AS90" s="163" t="s">
        <v>340</v>
      </c>
      <c r="AT90" s="163">
        <v>452</v>
      </c>
      <c r="AU90" s="163" t="s">
        <v>324</v>
      </c>
      <c r="AV90" s="163">
        <v>3</v>
      </c>
      <c r="AW90" s="163">
        <v>4</v>
      </c>
      <c r="AX90" s="168" t="s">
        <v>389</v>
      </c>
      <c r="AY90" s="166">
        <v>1</v>
      </c>
      <c r="AZ90" s="166" t="s">
        <v>338</v>
      </c>
      <c r="FO90" s="22" t="s">
        <v>244</v>
      </c>
      <c r="FP90" s="22">
        <v>110</v>
      </c>
      <c r="FQ90" s="92">
        <v>6.75</v>
      </c>
      <c r="FR90" s="92">
        <v>7.375</v>
      </c>
      <c r="FS90" s="22">
        <v>42000</v>
      </c>
      <c r="FT90" s="22">
        <v>15000</v>
      </c>
      <c r="FU90" s="22">
        <f t="shared" si="40"/>
        <v>15000</v>
      </c>
      <c r="FV90" s="22">
        <v>22500</v>
      </c>
      <c r="FW90" s="22">
        <v>32000</v>
      </c>
      <c r="FX90" s="22">
        <v>27000</v>
      </c>
      <c r="FY90" s="22">
        <f t="shared" si="30"/>
        <v>27000</v>
      </c>
      <c r="FZ90" s="22">
        <v>49500</v>
      </c>
      <c r="GA90" s="22">
        <v>55000</v>
      </c>
      <c r="GE90" s="1">
        <f t="shared" si="31"/>
        <v>0</v>
      </c>
      <c r="GF90" s="1">
        <f t="shared" si="32"/>
        <v>0</v>
      </c>
      <c r="GG90" s="1">
        <f t="shared" si="33"/>
        <v>49500</v>
      </c>
      <c r="GH90" s="1">
        <f t="shared" si="37"/>
        <v>0</v>
      </c>
      <c r="GI90" s="1">
        <f t="shared" si="34"/>
        <v>0</v>
      </c>
      <c r="GJ90" s="1">
        <f t="shared" si="35"/>
        <v>0</v>
      </c>
      <c r="GK90" s="1" t="str">
        <f t="shared" si="36"/>
        <v/>
      </c>
    </row>
    <row r="91" spans="38:193" x14ac:dyDescent="0.25">
      <c r="AL91" s="15" t="s">
        <v>392</v>
      </c>
      <c r="AM91" s="15" t="s">
        <v>320</v>
      </c>
      <c r="AN91" s="163">
        <v>5</v>
      </c>
      <c r="AO91" s="163"/>
      <c r="AP91" s="163" t="s">
        <v>391</v>
      </c>
      <c r="AQ91" s="163"/>
      <c r="AR91" s="164">
        <v>0.36199999999999999</v>
      </c>
      <c r="AS91" s="163" t="s">
        <v>323</v>
      </c>
      <c r="AT91" s="163">
        <v>565</v>
      </c>
      <c r="AU91" s="163" t="s">
        <v>324</v>
      </c>
      <c r="AV91" s="163">
        <v>3</v>
      </c>
      <c r="AW91" s="163">
        <v>4</v>
      </c>
      <c r="AX91" s="168" t="s">
        <v>389</v>
      </c>
      <c r="AY91" s="166">
        <v>1</v>
      </c>
      <c r="AZ91" s="166" t="s">
        <v>338</v>
      </c>
      <c r="FO91" s="22" t="s">
        <v>245</v>
      </c>
      <c r="FP91" s="22">
        <v>110</v>
      </c>
      <c r="FQ91" s="92">
        <v>7.875</v>
      </c>
      <c r="FR91" s="92">
        <v>9</v>
      </c>
      <c r="FS91" s="22">
        <v>40000</v>
      </c>
      <c r="FT91" s="22">
        <v>15000</v>
      </c>
      <c r="FU91" s="22">
        <f t="shared" si="40"/>
        <v>15000</v>
      </c>
      <c r="FV91" s="22">
        <v>22500</v>
      </c>
      <c r="FW91" s="22">
        <v>32000</v>
      </c>
      <c r="FX91" s="22">
        <v>27000</v>
      </c>
      <c r="FY91" s="22">
        <f t="shared" si="30"/>
        <v>27000</v>
      </c>
      <c r="FZ91" s="22">
        <v>49500</v>
      </c>
      <c r="GA91" s="22">
        <v>55000</v>
      </c>
      <c r="GE91" s="1">
        <f t="shared" si="31"/>
        <v>0</v>
      </c>
      <c r="GF91" s="1">
        <f t="shared" si="32"/>
        <v>0</v>
      </c>
      <c r="GG91" s="1">
        <f t="shared" si="33"/>
        <v>49500</v>
      </c>
      <c r="GH91" s="1">
        <f t="shared" si="37"/>
        <v>0</v>
      </c>
      <c r="GI91" s="1">
        <f t="shared" si="34"/>
        <v>0</v>
      </c>
      <c r="GJ91" s="1">
        <f t="shared" si="35"/>
        <v>0</v>
      </c>
      <c r="GK91" s="1" t="str">
        <f t="shared" si="36"/>
        <v/>
      </c>
    </row>
    <row r="92" spans="38:193" x14ac:dyDescent="0.25">
      <c r="AL92" s="166" t="s">
        <v>393</v>
      </c>
      <c r="AM92" s="166" t="s">
        <v>320</v>
      </c>
      <c r="AN92" s="165">
        <v>5</v>
      </c>
      <c r="AO92" s="165" t="s">
        <v>394</v>
      </c>
      <c r="AP92" s="165" t="s">
        <v>395</v>
      </c>
      <c r="AQ92" s="173" t="s">
        <v>361</v>
      </c>
      <c r="AR92" s="174">
        <v>0.75</v>
      </c>
      <c r="AS92" s="165" t="s">
        <v>396</v>
      </c>
      <c r="AT92" s="165">
        <v>631</v>
      </c>
      <c r="AU92" s="165" t="s">
        <v>324</v>
      </c>
      <c r="AV92" s="165">
        <v>3</v>
      </c>
      <c r="AW92" s="165"/>
      <c r="AX92" s="168" t="s">
        <v>397</v>
      </c>
      <c r="AY92" s="166"/>
      <c r="AZ92" s="166"/>
      <c r="FO92" s="22" t="s">
        <v>246</v>
      </c>
      <c r="FP92" s="22">
        <v>110</v>
      </c>
      <c r="FQ92" s="92">
        <v>12.25</v>
      </c>
      <c r="FR92" s="92">
        <v>13.75</v>
      </c>
      <c r="FS92" s="22">
        <v>85000</v>
      </c>
      <c r="FT92" s="22">
        <v>15000</v>
      </c>
      <c r="FU92" s="22">
        <f t="shared" si="40"/>
        <v>15000</v>
      </c>
      <c r="FV92" s="22">
        <v>22500</v>
      </c>
      <c r="FW92" s="22">
        <v>32000</v>
      </c>
      <c r="FX92" s="22">
        <v>27000</v>
      </c>
      <c r="FY92" s="22">
        <f t="shared" si="30"/>
        <v>27000</v>
      </c>
      <c r="FZ92" s="22">
        <v>49500</v>
      </c>
      <c r="GA92" s="22">
        <v>55000</v>
      </c>
      <c r="GE92" s="1">
        <f t="shared" si="31"/>
        <v>1</v>
      </c>
      <c r="GF92" s="1">
        <f t="shared" si="32"/>
        <v>1</v>
      </c>
      <c r="GG92" s="1">
        <f t="shared" si="33"/>
        <v>49500</v>
      </c>
      <c r="GH92" s="1">
        <f t="shared" si="37"/>
        <v>1</v>
      </c>
      <c r="GI92" s="1">
        <f t="shared" si="34"/>
        <v>1</v>
      </c>
      <c r="GJ92" s="1">
        <f t="shared" si="35"/>
        <v>2</v>
      </c>
      <c r="GK92" s="1">
        <f t="shared" si="36"/>
        <v>110</v>
      </c>
    </row>
    <row r="93" spans="38:193" x14ac:dyDescent="0.25">
      <c r="AL93" s="15" t="s">
        <v>398</v>
      </c>
      <c r="AM93" s="15" t="s">
        <v>320</v>
      </c>
      <c r="AN93" s="163">
        <v>5</v>
      </c>
      <c r="AO93" s="163"/>
      <c r="AP93" s="163" t="s">
        <v>376</v>
      </c>
      <c r="AQ93" s="163"/>
      <c r="AR93" s="164" t="s">
        <v>399</v>
      </c>
      <c r="AS93" s="163" t="s">
        <v>340</v>
      </c>
      <c r="AT93" s="165">
        <v>452</v>
      </c>
      <c r="AU93" s="163" t="s">
        <v>324</v>
      </c>
      <c r="AV93" s="163">
        <v>3</v>
      </c>
      <c r="AW93" s="163" t="s">
        <v>394</v>
      </c>
      <c r="AX93" s="168"/>
      <c r="AY93" s="166">
        <v>1</v>
      </c>
      <c r="AZ93" s="166" t="s">
        <v>326</v>
      </c>
      <c r="FO93" s="22" t="s">
        <v>247</v>
      </c>
      <c r="FP93" s="22">
        <v>100</v>
      </c>
      <c r="FQ93" s="92">
        <v>6.75</v>
      </c>
      <c r="FR93" s="92">
        <v>7.375</v>
      </c>
      <c r="FS93" s="22">
        <v>42000</v>
      </c>
      <c r="FT93" s="22">
        <v>17000</v>
      </c>
      <c r="FU93" s="22">
        <f t="shared" si="40"/>
        <v>17000</v>
      </c>
      <c r="FV93" s="22">
        <v>25000</v>
      </c>
      <c r="FW93" s="22">
        <v>35000</v>
      </c>
      <c r="FX93" s="22">
        <v>31000</v>
      </c>
      <c r="FY93" s="22">
        <f t="shared" si="30"/>
        <v>31000</v>
      </c>
      <c r="FZ93" s="22">
        <v>46000</v>
      </c>
      <c r="GA93" s="22">
        <v>65000</v>
      </c>
      <c r="GE93" s="1">
        <f t="shared" si="31"/>
        <v>0</v>
      </c>
      <c r="GF93" s="1">
        <f t="shared" si="32"/>
        <v>0</v>
      </c>
      <c r="GG93" s="1">
        <f t="shared" si="33"/>
        <v>46000</v>
      </c>
      <c r="GH93" s="1">
        <f t="shared" si="37"/>
        <v>0</v>
      </c>
      <c r="GI93" s="1">
        <f t="shared" si="34"/>
        <v>0</v>
      </c>
      <c r="GJ93" s="1">
        <f t="shared" si="35"/>
        <v>0</v>
      </c>
      <c r="GK93" s="1" t="str">
        <f t="shared" si="36"/>
        <v/>
      </c>
    </row>
    <row r="94" spans="38:193" x14ac:dyDescent="0.25">
      <c r="AL94" s="15" t="s">
        <v>400</v>
      </c>
      <c r="AM94" s="15" t="s">
        <v>320</v>
      </c>
      <c r="AN94" s="163">
        <v>5</v>
      </c>
      <c r="AO94" s="163"/>
      <c r="AP94" s="163" t="s">
        <v>401</v>
      </c>
      <c r="AQ94" s="163"/>
      <c r="AR94" s="164" t="s">
        <v>399</v>
      </c>
      <c r="AS94" s="163" t="s">
        <v>323</v>
      </c>
      <c r="AT94" s="163">
        <v>565</v>
      </c>
      <c r="AU94" s="163" t="s">
        <v>402</v>
      </c>
      <c r="AV94" s="163">
        <v>3</v>
      </c>
      <c r="AW94" s="171">
        <v>4.625</v>
      </c>
      <c r="AX94" s="168" t="s">
        <v>403</v>
      </c>
      <c r="AY94" s="166">
        <v>1</v>
      </c>
      <c r="AZ94" s="166" t="s">
        <v>326</v>
      </c>
      <c r="FO94" s="22" t="s">
        <v>248</v>
      </c>
      <c r="FP94" s="22">
        <v>90</v>
      </c>
      <c r="FQ94" s="92">
        <v>7.875</v>
      </c>
      <c r="FR94" s="92">
        <v>9</v>
      </c>
      <c r="FS94" s="22">
        <v>50000</v>
      </c>
      <c r="FT94" s="22">
        <v>17000</v>
      </c>
      <c r="FU94" s="22">
        <f t="shared" si="40"/>
        <v>17000</v>
      </c>
      <c r="FV94" s="22">
        <v>25000</v>
      </c>
      <c r="FW94" s="22">
        <v>35000</v>
      </c>
      <c r="FX94" s="22">
        <v>31000</v>
      </c>
      <c r="FY94" s="22">
        <f t="shared" si="30"/>
        <v>31000</v>
      </c>
      <c r="FZ94" s="22">
        <v>46000</v>
      </c>
      <c r="GA94" s="22">
        <v>65000</v>
      </c>
      <c r="GE94" s="1">
        <f t="shared" si="31"/>
        <v>0</v>
      </c>
      <c r="GF94" s="1">
        <f t="shared" si="32"/>
        <v>0</v>
      </c>
      <c r="GG94" s="1">
        <f t="shared" si="33"/>
        <v>46000</v>
      </c>
      <c r="GH94" s="1">
        <f t="shared" si="37"/>
        <v>0</v>
      </c>
      <c r="GI94" s="1">
        <f t="shared" si="34"/>
        <v>0</v>
      </c>
      <c r="GJ94" s="1">
        <f t="shared" si="35"/>
        <v>0</v>
      </c>
      <c r="GK94" s="1" t="str">
        <f t="shared" si="36"/>
        <v/>
      </c>
    </row>
    <row r="95" spans="38:193" x14ac:dyDescent="0.25">
      <c r="AL95" s="15" t="s">
        <v>404</v>
      </c>
      <c r="AM95" s="15" t="s">
        <v>320</v>
      </c>
      <c r="AN95" s="163">
        <v>5</v>
      </c>
      <c r="AO95" s="163"/>
      <c r="AP95" s="163" t="s">
        <v>395</v>
      </c>
      <c r="AQ95" s="163"/>
      <c r="AR95" s="164" t="s">
        <v>399</v>
      </c>
      <c r="AS95" s="163" t="s">
        <v>323</v>
      </c>
      <c r="AT95" s="163">
        <v>565</v>
      </c>
      <c r="AU95" s="163" t="s">
        <v>324</v>
      </c>
      <c r="AV95" s="163">
        <v>3</v>
      </c>
      <c r="AW95" s="171">
        <v>4.625</v>
      </c>
      <c r="AX95" s="168"/>
      <c r="AY95" s="166">
        <v>1</v>
      </c>
      <c r="AZ95" s="166" t="s">
        <v>405</v>
      </c>
      <c r="FO95" s="22" t="s">
        <v>249</v>
      </c>
      <c r="FP95" s="22">
        <v>90</v>
      </c>
      <c r="FQ95" s="92">
        <v>9.875</v>
      </c>
      <c r="FR95" s="92">
        <v>11</v>
      </c>
      <c r="FS95" s="22">
        <v>65000</v>
      </c>
      <c r="FT95" s="22">
        <v>17000</v>
      </c>
      <c r="FU95" s="22">
        <f t="shared" si="40"/>
        <v>17000</v>
      </c>
      <c r="FV95" s="22">
        <v>25000</v>
      </c>
      <c r="FW95" s="22">
        <v>35000</v>
      </c>
      <c r="FX95" s="22">
        <v>31000</v>
      </c>
      <c r="FY95" s="22">
        <f t="shared" si="30"/>
        <v>31000</v>
      </c>
      <c r="FZ95" s="22">
        <v>46000</v>
      </c>
      <c r="GA95" s="22">
        <v>65000</v>
      </c>
      <c r="GE95" s="1">
        <f t="shared" si="31"/>
        <v>0</v>
      </c>
      <c r="GF95" s="1">
        <f t="shared" si="32"/>
        <v>0</v>
      </c>
      <c r="GG95" s="1">
        <f t="shared" si="33"/>
        <v>46000</v>
      </c>
      <c r="GH95" s="1">
        <f t="shared" si="37"/>
        <v>0</v>
      </c>
      <c r="GI95" s="1">
        <f t="shared" si="34"/>
        <v>0</v>
      </c>
      <c r="GJ95" s="1">
        <f t="shared" si="35"/>
        <v>0</v>
      </c>
      <c r="GK95" s="1" t="str">
        <f t="shared" si="36"/>
        <v/>
      </c>
    </row>
    <row r="96" spans="38:193" x14ac:dyDescent="0.25">
      <c r="AL96" s="15" t="s">
        <v>406</v>
      </c>
      <c r="AM96" s="15" t="s">
        <v>320</v>
      </c>
      <c r="AN96" s="163">
        <v>5</v>
      </c>
      <c r="AO96" s="163"/>
      <c r="AP96" s="163" t="s">
        <v>395</v>
      </c>
      <c r="AQ96" s="163"/>
      <c r="AR96" s="164" t="s">
        <v>407</v>
      </c>
      <c r="AS96" s="163" t="s">
        <v>337</v>
      </c>
      <c r="AT96" s="163">
        <v>700</v>
      </c>
      <c r="AU96" s="163" t="s">
        <v>324</v>
      </c>
      <c r="AV96" s="163">
        <v>3</v>
      </c>
      <c r="AW96" s="171">
        <v>4.625</v>
      </c>
      <c r="AX96" s="168" t="s">
        <v>408</v>
      </c>
      <c r="AY96" s="166">
        <v>1</v>
      </c>
      <c r="AZ96" s="166" t="s">
        <v>338</v>
      </c>
      <c r="FO96" s="22" t="s">
        <v>250</v>
      </c>
      <c r="FP96" s="22">
        <v>80</v>
      </c>
      <c r="FQ96" s="92">
        <v>12.25</v>
      </c>
      <c r="FR96" s="92">
        <v>13.75</v>
      </c>
      <c r="FS96" s="22">
        <v>110000</v>
      </c>
      <c r="FT96" s="22">
        <v>17000</v>
      </c>
      <c r="FU96" s="22">
        <f t="shared" si="40"/>
        <v>17000</v>
      </c>
      <c r="FV96" s="22">
        <v>25000</v>
      </c>
      <c r="FW96" s="22">
        <v>35000</v>
      </c>
      <c r="FX96" s="22">
        <v>31000</v>
      </c>
      <c r="FY96" s="22">
        <f t="shared" si="30"/>
        <v>31000</v>
      </c>
      <c r="FZ96" s="22">
        <v>46000</v>
      </c>
      <c r="GA96" s="22">
        <v>65000</v>
      </c>
      <c r="GE96" s="1">
        <f t="shared" si="31"/>
        <v>1</v>
      </c>
      <c r="GF96" s="1">
        <f t="shared" si="32"/>
        <v>1</v>
      </c>
      <c r="GG96" s="1">
        <f t="shared" si="33"/>
        <v>46000</v>
      </c>
      <c r="GH96" s="1">
        <f t="shared" si="37"/>
        <v>1</v>
      </c>
      <c r="GI96" s="1">
        <f t="shared" si="34"/>
        <v>1</v>
      </c>
      <c r="GJ96" s="1">
        <f t="shared" si="35"/>
        <v>2</v>
      </c>
      <c r="GK96" s="1">
        <f t="shared" si="36"/>
        <v>80</v>
      </c>
    </row>
    <row r="97" spans="38:193" x14ac:dyDescent="0.25">
      <c r="AL97" s="166" t="s">
        <v>409</v>
      </c>
      <c r="AM97" s="166" t="s">
        <v>320</v>
      </c>
      <c r="AN97" s="165">
        <v>5</v>
      </c>
      <c r="AO97" s="165"/>
      <c r="AP97" s="165" t="s">
        <v>376</v>
      </c>
      <c r="AQ97" s="165" t="s">
        <v>376</v>
      </c>
      <c r="AR97" s="167" t="s">
        <v>410</v>
      </c>
      <c r="AS97" s="165" t="s">
        <v>411</v>
      </c>
      <c r="AT97" s="165">
        <v>1180</v>
      </c>
      <c r="AU97" s="165" t="s">
        <v>324</v>
      </c>
      <c r="AV97" s="165">
        <v>3</v>
      </c>
      <c r="AW97" s="165" t="s">
        <v>394</v>
      </c>
      <c r="AX97" s="168" t="s">
        <v>412</v>
      </c>
      <c r="AY97" s="166">
        <v>1</v>
      </c>
      <c r="AZ97" s="166" t="s">
        <v>326</v>
      </c>
      <c r="FO97" s="22" t="s">
        <v>251</v>
      </c>
      <c r="FP97" s="22">
        <v>100</v>
      </c>
      <c r="FQ97" s="92">
        <v>7.875</v>
      </c>
      <c r="FR97" s="92">
        <v>9</v>
      </c>
      <c r="FS97" s="22">
        <v>57000</v>
      </c>
      <c r="FT97" s="22">
        <v>23000</v>
      </c>
      <c r="FU97" s="22">
        <f t="shared" si="40"/>
        <v>23000</v>
      </c>
      <c r="FV97" s="22">
        <v>35000</v>
      </c>
      <c r="FW97" s="22">
        <v>49000</v>
      </c>
      <c r="FX97" s="22">
        <v>44000</v>
      </c>
      <c r="FY97" s="22">
        <f t="shared" si="30"/>
        <v>44000</v>
      </c>
      <c r="FZ97" s="22">
        <v>65000</v>
      </c>
      <c r="GA97" s="22">
        <v>70000</v>
      </c>
      <c r="GE97" s="1">
        <f t="shared" si="31"/>
        <v>0</v>
      </c>
      <c r="GF97" s="1">
        <f t="shared" si="32"/>
        <v>0</v>
      </c>
      <c r="GG97" s="1">
        <f t="shared" si="33"/>
        <v>65000</v>
      </c>
      <c r="GH97" s="1">
        <f t="shared" si="37"/>
        <v>0</v>
      </c>
      <c r="GI97" s="1">
        <f t="shared" si="34"/>
        <v>0</v>
      </c>
      <c r="GJ97" s="1">
        <f t="shared" si="35"/>
        <v>0</v>
      </c>
      <c r="GK97" s="1" t="str">
        <f t="shared" si="36"/>
        <v/>
      </c>
    </row>
    <row r="98" spans="38:193" x14ac:dyDescent="0.25">
      <c r="AL98" s="166" t="s">
        <v>413</v>
      </c>
      <c r="AM98" s="166" t="s">
        <v>320</v>
      </c>
      <c r="AN98" s="165">
        <v>5</v>
      </c>
      <c r="AO98" s="165"/>
      <c r="AP98" s="165" t="s">
        <v>376</v>
      </c>
      <c r="AQ98" s="165"/>
      <c r="AR98" s="167" t="s">
        <v>377</v>
      </c>
      <c r="AS98" s="165" t="s">
        <v>323</v>
      </c>
      <c r="AT98" s="165"/>
      <c r="AU98" s="165" t="s">
        <v>324</v>
      </c>
      <c r="AV98" s="165">
        <v>3</v>
      </c>
      <c r="AW98" s="165"/>
      <c r="AX98" s="168"/>
      <c r="AY98" s="166">
        <v>1</v>
      </c>
      <c r="AZ98" s="166"/>
      <c r="FO98" s="22" t="s">
        <v>252</v>
      </c>
      <c r="FP98" s="22">
        <v>90</v>
      </c>
      <c r="FQ98" s="92">
        <v>9.875</v>
      </c>
      <c r="FR98" s="92">
        <v>11</v>
      </c>
      <c r="FS98" s="22">
        <v>80000</v>
      </c>
      <c r="FT98" s="22">
        <v>23000</v>
      </c>
      <c r="FU98" s="22">
        <f t="shared" si="40"/>
        <v>23000</v>
      </c>
      <c r="FV98" s="22">
        <v>35000</v>
      </c>
      <c r="FW98" s="22">
        <v>49000</v>
      </c>
      <c r="FX98" s="22">
        <v>44000</v>
      </c>
      <c r="FY98" s="22">
        <f t="shared" si="30"/>
        <v>44000</v>
      </c>
      <c r="FZ98" s="22">
        <v>65000</v>
      </c>
      <c r="GA98" s="22">
        <v>70000</v>
      </c>
      <c r="GE98" s="1">
        <f t="shared" si="31"/>
        <v>0</v>
      </c>
      <c r="GF98" s="1">
        <f t="shared" si="32"/>
        <v>0</v>
      </c>
      <c r="GG98" s="1">
        <f t="shared" si="33"/>
        <v>65000</v>
      </c>
      <c r="GH98" s="1">
        <f t="shared" si="37"/>
        <v>0</v>
      </c>
      <c r="GI98" s="1">
        <f t="shared" si="34"/>
        <v>0</v>
      </c>
      <c r="GJ98" s="1">
        <f t="shared" si="35"/>
        <v>0</v>
      </c>
      <c r="GK98" s="1" t="str">
        <f t="shared" si="36"/>
        <v/>
      </c>
    </row>
    <row r="99" spans="38:193" x14ac:dyDescent="0.25">
      <c r="AL99" s="166" t="s">
        <v>414</v>
      </c>
      <c r="AM99" s="166" t="s">
        <v>320</v>
      </c>
      <c r="AN99" s="165">
        <v>5</v>
      </c>
      <c r="AO99" s="165"/>
      <c r="AP99" s="165" t="s">
        <v>376</v>
      </c>
      <c r="AQ99" s="165"/>
      <c r="AR99" s="167" t="s">
        <v>377</v>
      </c>
      <c r="AS99" s="165" t="s">
        <v>337</v>
      </c>
      <c r="AT99" s="165">
        <v>900</v>
      </c>
      <c r="AU99" s="165" t="s">
        <v>324</v>
      </c>
      <c r="AV99" s="165">
        <v>3</v>
      </c>
      <c r="AW99" s="165"/>
      <c r="AX99" s="168"/>
      <c r="AY99" s="166">
        <v>1</v>
      </c>
      <c r="AZ99" s="166" t="s">
        <v>338</v>
      </c>
      <c r="FO99" s="22" t="s">
        <v>253</v>
      </c>
      <c r="FP99" s="22">
        <v>90</v>
      </c>
      <c r="FQ99" s="92">
        <v>12.25</v>
      </c>
      <c r="FR99" s="92">
        <v>13.75</v>
      </c>
      <c r="FS99" s="22">
        <v>110000</v>
      </c>
      <c r="FT99" s="22">
        <v>23000</v>
      </c>
      <c r="FU99" s="22">
        <f t="shared" si="40"/>
        <v>23000</v>
      </c>
      <c r="FV99" s="22">
        <v>35000</v>
      </c>
      <c r="FW99" s="22">
        <v>49000</v>
      </c>
      <c r="FX99" s="22">
        <v>44000</v>
      </c>
      <c r="FY99" s="22">
        <f t="shared" si="30"/>
        <v>44000</v>
      </c>
      <c r="FZ99" s="22">
        <v>65000</v>
      </c>
      <c r="GA99" s="22">
        <v>70000</v>
      </c>
      <c r="GE99" s="1">
        <f t="shared" si="31"/>
        <v>1</v>
      </c>
      <c r="GF99" s="1">
        <f t="shared" si="32"/>
        <v>1</v>
      </c>
      <c r="GG99" s="1">
        <f t="shared" si="33"/>
        <v>65000</v>
      </c>
      <c r="GH99" s="1">
        <f t="shared" si="37"/>
        <v>1</v>
      </c>
      <c r="GI99" s="1">
        <f t="shared" si="34"/>
        <v>1</v>
      </c>
      <c r="GJ99" s="1">
        <f t="shared" si="35"/>
        <v>2</v>
      </c>
      <c r="GK99" s="1">
        <f t="shared" si="36"/>
        <v>90</v>
      </c>
    </row>
    <row r="100" spans="38:193" x14ac:dyDescent="0.25">
      <c r="AL100" s="166" t="s">
        <v>415</v>
      </c>
      <c r="AM100" s="166" t="s">
        <v>320</v>
      </c>
      <c r="AN100" s="165">
        <v>5</v>
      </c>
      <c r="AO100" s="165"/>
      <c r="AP100" s="165" t="s">
        <v>416</v>
      </c>
      <c r="AQ100" s="165" t="s">
        <v>376</v>
      </c>
      <c r="AR100" s="167" t="s">
        <v>377</v>
      </c>
      <c r="AS100" s="165" t="s">
        <v>417</v>
      </c>
      <c r="AT100" s="165">
        <v>1100</v>
      </c>
      <c r="AU100" s="165" t="s">
        <v>324</v>
      </c>
      <c r="AV100" s="165">
        <v>3</v>
      </c>
      <c r="AW100" s="165">
        <v>3</v>
      </c>
      <c r="AX100" s="168"/>
      <c r="AY100" s="166">
        <v>1</v>
      </c>
      <c r="AZ100" s="166" t="s">
        <v>326</v>
      </c>
      <c r="FO100" s="22" t="s">
        <v>254</v>
      </c>
      <c r="FP100" s="22">
        <v>80</v>
      </c>
      <c r="FQ100" s="92">
        <v>15</v>
      </c>
      <c r="FR100" s="92">
        <v>16</v>
      </c>
      <c r="FS100" s="22">
        <v>120000</v>
      </c>
      <c r="FT100" s="22">
        <v>23000</v>
      </c>
      <c r="FU100" s="22">
        <f t="shared" si="40"/>
        <v>23000</v>
      </c>
      <c r="FV100" s="22">
        <v>35000</v>
      </c>
      <c r="FW100" s="22">
        <v>49000</v>
      </c>
      <c r="FX100" s="22">
        <v>44000</v>
      </c>
      <c r="FY100" s="22">
        <f t="shared" si="30"/>
        <v>44000</v>
      </c>
      <c r="FZ100" s="22">
        <v>65000</v>
      </c>
      <c r="GA100" s="22">
        <v>70000</v>
      </c>
      <c r="GE100" s="1">
        <f t="shared" si="31"/>
        <v>1</v>
      </c>
      <c r="GF100" s="1">
        <f t="shared" si="32"/>
        <v>1</v>
      </c>
      <c r="GG100" s="1">
        <f t="shared" si="33"/>
        <v>65000</v>
      </c>
      <c r="GH100" s="1">
        <f t="shared" si="37"/>
        <v>1</v>
      </c>
      <c r="GI100" s="1">
        <f t="shared" si="34"/>
        <v>1</v>
      </c>
      <c r="GJ100" s="1">
        <f t="shared" si="35"/>
        <v>2</v>
      </c>
      <c r="GK100" s="1">
        <f t="shared" si="36"/>
        <v>80</v>
      </c>
    </row>
    <row r="101" spans="38:193" x14ac:dyDescent="0.25">
      <c r="AL101" s="166" t="s">
        <v>418</v>
      </c>
      <c r="AM101" s="166" t="s">
        <v>320</v>
      </c>
      <c r="AN101" s="165">
        <v>5</v>
      </c>
      <c r="AO101" s="165"/>
      <c r="AP101" s="165" t="s">
        <v>416</v>
      </c>
      <c r="AQ101" s="165" t="s">
        <v>376</v>
      </c>
      <c r="AR101" s="167" t="s">
        <v>377</v>
      </c>
      <c r="AS101" s="165" t="s">
        <v>419</v>
      </c>
      <c r="AT101" s="165">
        <v>918</v>
      </c>
      <c r="AU101" s="165" t="s">
        <v>324</v>
      </c>
      <c r="AV101" s="165">
        <v>3</v>
      </c>
      <c r="AW101" s="165">
        <v>3</v>
      </c>
      <c r="AX101" s="168"/>
      <c r="AY101" s="166">
        <v>1</v>
      </c>
      <c r="AZ101" s="166" t="s">
        <v>326</v>
      </c>
      <c r="FO101" s="22" t="s">
        <v>255</v>
      </c>
      <c r="FP101" s="22">
        <v>100</v>
      </c>
      <c r="FQ101" s="92">
        <v>6.75</v>
      </c>
      <c r="FR101" s="92">
        <v>7.375</v>
      </c>
      <c r="FS101" s="22">
        <v>45000</v>
      </c>
      <c r="FT101" s="22">
        <v>27000</v>
      </c>
      <c r="FU101" s="22">
        <f t="shared" si="40"/>
        <v>27000</v>
      </c>
      <c r="FV101" s="22">
        <v>41000</v>
      </c>
      <c r="FW101" s="22">
        <v>57500</v>
      </c>
      <c r="FX101" s="22">
        <v>64500</v>
      </c>
      <c r="FY101" s="22">
        <f t="shared" si="30"/>
        <v>64500</v>
      </c>
      <c r="FZ101" s="22">
        <v>70000</v>
      </c>
      <c r="GA101" s="22">
        <v>70000</v>
      </c>
      <c r="GE101" s="1">
        <f t="shared" si="31"/>
        <v>0</v>
      </c>
      <c r="GF101" s="1">
        <f t="shared" si="32"/>
        <v>0</v>
      </c>
      <c r="GG101" s="1">
        <f t="shared" si="33"/>
        <v>70000</v>
      </c>
      <c r="GH101" s="1">
        <f t="shared" si="37"/>
        <v>0</v>
      </c>
      <c r="GI101" s="1">
        <f t="shared" si="34"/>
        <v>0</v>
      </c>
      <c r="GJ101" s="1">
        <f t="shared" si="35"/>
        <v>0</v>
      </c>
      <c r="GK101" s="1" t="str">
        <f t="shared" si="36"/>
        <v/>
      </c>
    </row>
    <row r="102" spans="38:193" x14ac:dyDescent="0.25">
      <c r="AL102" s="15" t="s">
        <v>420</v>
      </c>
      <c r="AM102" s="15" t="s">
        <v>320</v>
      </c>
      <c r="AN102" s="163">
        <v>5</v>
      </c>
      <c r="AO102" s="163"/>
      <c r="AP102" s="163" t="s">
        <v>395</v>
      </c>
      <c r="AQ102" s="163"/>
      <c r="AR102" s="164" t="s">
        <v>377</v>
      </c>
      <c r="AS102" s="163" t="s">
        <v>340</v>
      </c>
      <c r="AT102" s="163">
        <v>550</v>
      </c>
      <c r="AU102" s="163" t="s">
        <v>324</v>
      </c>
      <c r="AV102" s="163">
        <v>3</v>
      </c>
      <c r="AW102" s="171">
        <v>4.625</v>
      </c>
      <c r="AX102" s="168"/>
      <c r="AY102" s="166">
        <v>1</v>
      </c>
      <c r="AZ102" s="166" t="s">
        <v>338</v>
      </c>
      <c r="FO102" s="22" t="s">
        <v>256</v>
      </c>
      <c r="FP102" s="22">
        <v>100</v>
      </c>
      <c r="FQ102" s="92">
        <v>7.875</v>
      </c>
      <c r="FR102" s="92">
        <v>9</v>
      </c>
      <c r="FS102" s="22">
        <v>57000</v>
      </c>
      <c r="FT102" s="22">
        <v>27000</v>
      </c>
      <c r="FU102" s="22">
        <f t="shared" si="40"/>
        <v>27000</v>
      </c>
      <c r="FV102" s="22">
        <v>41000</v>
      </c>
      <c r="FW102" s="22">
        <v>57500</v>
      </c>
      <c r="FX102" s="22">
        <v>64500</v>
      </c>
      <c r="FY102" s="22">
        <f t="shared" si="30"/>
        <v>64500</v>
      </c>
      <c r="FZ102" s="22">
        <v>70000</v>
      </c>
      <c r="GA102" s="22">
        <v>70000</v>
      </c>
      <c r="GE102" s="1">
        <f t="shared" si="31"/>
        <v>0</v>
      </c>
      <c r="GF102" s="1">
        <f t="shared" si="32"/>
        <v>0</v>
      </c>
      <c r="GG102" s="1">
        <f t="shared" si="33"/>
        <v>70000</v>
      </c>
      <c r="GH102" s="1">
        <f t="shared" si="37"/>
        <v>0</v>
      </c>
      <c r="GI102" s="1">
        <f t="shared" si="34"/>
        <v>0</v>
      </c>
      <c r="GJ102" s="1">
        <f t="shared" si="35"/>
        <v>0</v>
      </c>
      <c r="GK102" s="1" t="str">
        <f t="shared" si="36"/>
        <v/>
      </c>
    </row>
    <row r="103" spans="38:193" x14ac:dyDescent="0.25">
      <c r="AL103" s="15" t="s">
        <v>421</v>
      </c>
      <c r="AM103" s="15" t="s">
        <v>320</v>
      </c>
      <c r="AN103" s="163">
        <v>5</v>
      </c>
      <c r="AO103" s="163"/>
      <c r="AP103" s="163" t="s">
        <v>395</v>
      </c>
      <c r="AQ103" s="163"/>
      <c r="AR103" s="164" t="s">
        <v>377</v>
      </c>
      <c r="AS103" s="163" t="s">
        <v>337</v>
      </c>
      <c r="AT103" s="163">
        <v>825</v>
      </c>
      <c r="AU103" s="163" t="s">
        <v>324</v>
      </c>
      <c r="AV103" s="163">
        <v>3</v>
      </c>
      <c r="AW103" s="171">
        <v>4.625</v>
      </c>
      <c r="AX103" s="168"/>
      <c r="AY103" s="166">
        <v>1</v>
      </c>
      <c r="AZ103" s="166" t="s">
        <v>338</v>
      </c>
      <c r="FO103" s="22" t="s">
        <v>257</v>
      </c>
      <c r="FP103" s="22">
        <v>90</v>
      </c>
      <c r="FQ103" s="92">
        <v>9.875</v>
      </c>
      <c r="FR103" s="92">
        <v>11</v>
      </c>
      <c r="FS103" s="22">
        <v>85000</v>
      </c>
      <c r="FT103" s="22">
        <v>27000</v>
      </c>
      <c r="FU103" s="22">
        <f t="shared" si="40"/>
        <v>27000</v>
      </c>
      <c r="FV103" s="22">
        <v>41000</v>
      </c>
      <c r="FW103" s="22">
        <v>57500</v>
      </c>
      <c r="FX103" s="22">
        <v>64500</v>
      </c>
      <c r="FY103" s="22">
        <f t="shared" si="30"/>
        <v>64500</v>
      </c>
      <c r="FZ103" s="22">
        <v>70000</v>
      </c>
      <c r="GA103" s="22">
        <v>70000</v>
      </c>
      <c r="GE103" s="1">
        <f t="shared" si="31"/>
        <v>0</v>
      </c>
      <c r="GF103" s="1">
        <f t="shared" si="32"/>
        <v>0</v>
      </c>
      <c r="GG103" s="1">
        <f t="shared" si="33"/>
        <v>70000</v>
      </c>
      <c r="GH103" s="1">
        <f t="shared" si="37"/>
        <v>0</v>
      </c>
      <c r="GI103" s="1">
        <f t="shared" si="34"/>
        <v>1</v>
      </c>
      <c r="GJ103" s="1">
        <f t="shared" si="35"/>
        <v>1</v>
      </c>
      <c r="GK103" s="1" t="str">
        <f t="shared" si="36"/>
        <v/>
      </c>
    </row>
    <row r="104" spans="38:193" x14ac:dyDescent="0.25">
      <c r="AL104" s="15" t="s">
        <v>422</v>
      </c>
      <c r="AM104" s="15" t="s">
        <v>320</v>
      </c>
      <c r="AN104" s="163">
        <v>5</v>
      </c>
      <c r="AO104" s="163"/>
      <c r="AP104" s="163" t="s">
        <v>395</v>
      </c>
      <c r="AQ104" s="163"/>
      <c r="AR104" s="164" t="s">
        <v>377</v>
      </c>
      <c r="AS104" s="163" t="s">
        <v>323</v>
      </c>
      <c r="AT104" s="163">
        <v>700</v>
      </c>
      <c r="AU104" s="163" t="s">
        <v>324</v>
      </c>
      <c r="AV104" s="163">
        <v>3</v>
      </c>
      <c r="AW104" s="171">
        <v>4.625</v>
      </c>
      <c r="AX104" s="168"/>
      <c r="AY104" s="166">
        <v>1</v>
      </c>
      <c r="AZ104" s="166" t="s">
        <v>338</v>
      </c>
    </row>
    <row r="105" spans="38:193" x14ac:dyDescent="0.25">
      <c r="AL105" s="15" t="s">
        <v>423</v>
      </c>
      <c r="AM105" s="15" t="s">
        <v>320</v>
      </c>
      <c r="AN105" s="163">
        <v>5</v>
      </c>
      <c r="AO105" s="163"/>
      <c r="AP105" s="163" t="s">
        <v>424</v>
      </c>
      <c r="AQ105" s="163"/>
      <c r="AR105" s="164" t="s">
        <v>377</v>
      </c>
      <c r="AS105" s="163" t="s">
        <v>340</v>
      </c>
      <c r="AT105" s="163">
        <v>450</v>
      </c>
      <c r="AU105" s="170" t="s">
        <v>425</v>
      </c>
      <c r="AV105" s="171">
        <v>3.75</v>
      </c>
      <c r="AW105" s="163" t="s">
        <v>394</v>
      </c>
      <c r="AX105" s="168"/>
      <c r="AY105" s="166">
        <v>1</v>
      </c>
      <c r="AZ105" s="166" t="s">
        <v>338</v>
      </c>
    </row>
    <row r="106" spans="38:193" x14ac:dyDescent="0.25">
      <c r="AL106" s="15" t="s">
        <v>426</v>
      </c>
      <c r="AM106" s="15" t="s">
        <v>320</v>
      </c>
      <c r="AN106" s="163">
        <v>5</v>
      </c>
      <c r="AO106" s="163"/>
      <c r="AP106" s="163" t="s">
        <v>424</v>
      </c>
      <c r="AQ106" s="163"/>
      <c r="AR106" s="164" t="s">
        <v>377</v>
      </c>
      <c r="AS106" s="163" t="s">
        <v>323</v>
      </c>
      <c r="AT106" s="163">
        <v>565</v>
      </c>
      <c r="AU106" s="170" t="s">
        <v>425</v>
      </c>
      <c r="AV106" s="171">
        <v>3.75</v>
      </c>
      <c r="AW106" s="163" t="s">
        <v>394</v>
      </c>
      <c r="AX106" s="168"/>
      <c r="AY106" s="166">
        <v>1</v>
      </c>
      <c r="AZ106" s="166" t="s">
        <v>338</v>
      </c>
    </row>
    <row r="107" spans="38:193" x14ac:dyDescent="0.25">
      <c r="AL107" s="15" t="s">
        <v>427</v>
      </c>
      <c r="AM107" s="15" t="s">
        <v>320</v>
      </c>
      <c r="AN107" s="163">
        <v>5</v>
      </c>
      <c r="AO107" s="163"/>
      <c r="AP107" s="163" t="s">
        <v>376</v>
      </c>
      <c r="AQ107" s="163"/>
      <c r="AR107" s="164" t="s">
        <v>377</v>
      </c>
      <c r="AS107" s="163" t="s">
        <v>337</v>
      </c>
      <c r="AT107" s="163">
        <v>805</v>
      </c>
      <c r="AU107" s="163" t="s">
        <v>324</v>
      </c>
      <c r="AV107" s="163">
        <v>3</v>
      </c>
      <c r="AW107" s="163">
        <v>4</v>
      </c>
      <c r="AX107" s="168"/>
      <c r="AY107" s="166">
        <v>1</v>
      </c>
      <c r="AZ107" s="166" t="s">
        <v>338</v>
      </c>
    </row>
    <row r="108" spans="38:193" x14ac:dyDescent="0.25">
      <c r="AL108" s="15" t="s">
        <v>428</v>
      </c>
      <c r="AM108" s="15" t="s">
        <v>320</v>
      </c>
      <c r="AN108" s="163">
        <v>5</v>
      </c>
      <c r="AO108" s="163"/>
      <c r="AP108" s="163" t="s">
        <v>376</v>
      </c>
      <c r="AQ108" s="163"/>
      <c r="AR108" s="164" t="s">
        <v>377</v>
      </c>
      <c r="AS108" s="163" t="s">
        <v>340</v>
      </c>
      <c r="AT108" s="163">
        <v>450</v>
      </c>
      <c r="AU108" s="163" t="s">
        <v>324</v>
      </c>
      <c r="AV108" s="163">
        <v>3</v>
      </c>
      <c r="AW108" s="163">
        <v>4</v>
      </c>
      <c r="AX108" s="168"/>
      <c r="AY108" s="166">
        <v>1</v>
      </c>
      <c r="AZ108" s="166" t="s">
        <v>338</v>
      </c>
    </row>
    <row r="109" spans="38:193" x14ac:dyDescent="0.25">
      <c r="AL109" s="15" t="s">
        <v>429</v>
      </c>
      <c r="AM109" s="15" t="s">
        <v>320</v>
      </c>
      <c r="AN109" s="163">
        <v>5</v>
      </c>
      <c r="AO109" s="163"/>
      <c r="AP109" s="163" t="s">
        <v>376</v>
      </c>
      <c r="AQ109" s="163"/>
      <c r="AR109" s="164" t="s">
        <v>377</v>
      </c>
      <c r="AS109" s="163" t="s">
        <v>323</v>
      </c>
      <c r="AT109" s="163">
        <v>565</v>
      </c>
      <c r="AU109" s="163" t="s">
        <v>324</v>
      </c>
      <c r="AV109" s="163">
        <v>3</v>
      </c>
      <c r="AW109" s="163">
        <v>4</v>
      </c>
      <c r="AX109" s="168"/>
      <c r="AY109" s="166">
        <v>1</v>
      </c>
      <c r="AZ109" s="166" t="s">
        <v>338</v>
      </c>
    </row>
    <row r="110" spans="38:193" x14ac:dyDescent="0.25">
      <c r="AL110" s="15" t="s">
        <v>430</v>
      </c>
      <c r="AM110" s="15" t="s">
        <v>320</v>
      </c>
      <c r="AN110" s="163">
        <v>5</v>
      </c>
      <c r="AO110" s="163"/>
      <c r="AP110" s="163" t="s">
        <v>387</v>
      </c>
      <c r="AQ110" s="163"/>
      <c r="AR110" s="164" t="s">
        <v>377</v>
      </c>
      <c r="AS110" s="163" t="s">
        <v>337</v>
      </c>
      <c r="AT110" s="163">
        <v>845</v>
      </c>
      <c r="AU110" s="163" t="s">
        <v>324</v>
      </c>
      <c r="AV110" s="163">
        <v>3</v>
      </c>
      <c r="AW110" s="163">
        <v>4</v>
      </c>
      <c r="AX110" s="168" t="s">
        <v>389</v>
      </c>
      <c r="AY110" s="166">
        <v>1</v>
      </c>
      <c r="AZ110" s="166" t="s">
        <v>338</v>
      </c>
    </row>
    <row r="111" spans="38:193" x14ac:dyDescent="0.25">
      <c r="AL111" s="15" t="s">
        <v>431</v>
      </c>
      <c r="AM111" s="15" t="s">
        <v>320</v>
      </c>
      <c r="AN111" s="163">
        <v>5</v>
      </c>
      <c r="AO111" s="163"/>
      <c r="AP111" s="163" t="s">
        <v>387</v>
      </c>
      <c r="AQ111" s="163"/>
      <c r="AR111" s="164" t="s">
        <v>377</v>
      </c>
      <c r="AS111" s="163" t="s">
        <v>340</v>
      </c>
      <c r="AT111" s="163">
        <v>555</v>
      </c>
      <c r="AU111" s="163" t="s">
        <v>324</v>
      </c>
      <c r="AV111" s="163">
        <v>3</v>
      </c>
      <c r="AW111" s="163">
        <v>4</v>
      </c>
      <c r="AX111" s="168" t="s">
        <v>389</v>
      </c>
      <c r="AY111" s="166">
        <v>1</v>
      </c>
      <c r="AZ111" s="166" t="s">
        <v>338</v>
      </c>
    </row>
    <row r="112" spans="38:193" x14ac:dyDescent="0.25">
      <c r="AL112" s="15" t="s">
        <v>432</v>
      </c>
      <c r="AM112" s="15" t="s">
        <v>320</v>
      </c>
      <c r="AN112" s="163">
        <v>5</v>
      </c>
      <c r="AO112" s="163"/>
      <c r="AP112" s="163" t="s">
        <v>433</v>
      </c>
      <c r="AQ112" s="163"/>
      <c r="AR112" s="164" t="s">
        <v>377</v>
      </c>
      <c r="AS112" s="163" t="s">
        <v>323</v>
      </c>
      <c r="AT112" s="163">
        <v>700</v>
      </c>
      <c r="AU112" s="163" t="s">
        <v>324</v>
      </c>
      <c r="AV112" s="163">
        <v>3</v>
      </c>
      <c r="AW112" s="163">
        <v>4</v>
      </c>
      <c r="AX112" s="168" t="s">
        <v>434</v>
      </c>
      <c r="AY112" s="166">
        <v>1</v>
      </c>
      <c r="AZ112" s="166" t="s">
        <v>338</v>
      </c>
    </row>
    <row r="113" spans="38:52" x14ac:dyDescent="0.25">
      <c r="AL113" s="166" t="s">
        <v>435</v>
      </c>
      <c r="AM113" s="166" t="s">
        <v>320</v>
      </c>
      <c r="AN113" s="165">
        <v>5</v>
      </c>
      <c r="AO113" s="169"/>
      <c r="AP113" s="165" t="s">
        <v>395</v>
      </c>
      <c r="AQ113" s="165"/>
      <c r="AR113" s="167" t="s">
        <v>436</v>
      </c>
      <c r="AS113" s="165" t="s">
        <v>437</v>
      </c>
      <c r="AT113" s="165">
        <v>960</v>
      </c>
      <c r="AU113" s="165" t="s">
        <v>324</v>
      </c>
      <c r="AV113" s="165">
        <v>3</v>
      </c>
      <c r="AW113" s="165"/>
      <c r="AX113" s="168" t="s">
        <v>438</v>
      </c>
      <c r="AY113" s="166">
        <v>1</v>
      </c>
      <c r="AZ113" s="166"/>
    </row>
    <row r="114" spans="38:52" x14ac:dyDescent="0.25">
      <c r="AL114" s="166" t="s">
        <v>439</v>
      </c>
      <c r="AM114" s="166" t="s">
        <v>320</v>
      </c>
      <c r="AN114" s="165">
        <v>5</v>
      </c>
      <c r="AO114" s="165"/>
      <c r="AP114" s="165" t="s">
        <v>395</v>
      </c>
      <c r="AQ114" s="165"/>
      <c r="AR114" s="167" t="s">
        <v>436</v>
      </c>
      <c r="AS114" s="165" t="s">
        <v>337</v>
      </c>
      <c r="AT114" s="165">
        <v>1100</v>
      </c>
      <c r="AU114" s="165" t="s">
        <v>324</v>
      </c>
      <c r="AV114" s="165">
        <v>3</v>
      </c>
      <c r="AW114" s="165"/>
      <c r="AX114" s="168" t="s">
        <v>438</v>
      </c>
      <c r="AY114" s="166">
        <v>1</v>
      </c>
      <c r="AZ114" s="166" t="s">
        <v>326</v>
      </c>
    </row>
    <row r="115" spans="38:52" x14ac:dyDescent="0.25">
      <c r="AL115" s="166" t="s">
        <v>440</v>
      </c>
      <c r="AM115" s="166" t="s">
        <v>320</v>
      </c>
      <c r="AN115" s="165">
        <v>5</v>
      </c>
      <c r="AO115" s="165" t="s">
        <v>354</v>
      </c>
      <c r="AP115" s="165" t="s">
        <v>395</v>
      </c>
      <c r="AQ115" s="165" t="s">
        <v>344</v>
      </c>
      <c r="AR115" s="167" t="s">
        <v>436</v>
      </c>
      <c r="AS115" s="165" t="s">
        <v>396</v>
      </c>
      <c r="AT115" s="165">
        <v>630</v>
      </c>
      <c r="AU115" s="165" t="s">
        <v>324</v>
      </c>
      <c r="AV115" s="165">
        <v>3</v>
      </c>
      <c r="AW115" s="165"/>
      <c r="AX115" s="168" t="s">
        <v>438</v>
      </c>
      <c r="AY115" s="166">
        <v>1</v>
      </c>
      <c r="AZ115" s="166" t="s">
        <v>326</v>
      </c>
    </row>
    <row r="116" spans="38:52" x14ac:dyDescent="0.25">
      <c r="AL116" s="15" t="s">
        <v>441</v>
      </c>
      <c r="AM116" s="15" t="s">
        <v>320</v>
      </c>
      <c r="AN116" s="163">
        <v>5</v>
      </c>
      <c r="AO116" s="163"/>
      <c r="AP116" s="163" t="s">
        <v>442</v>
      </c>
      <c r="AQ116" s="163"/>
      <c r="AR116" s="164" t="s">
        <v>436</v>
      </c>
      <c r="AS116" s="163" t="s">
        <v>323</v>
      </c>
      <c r="AT116" s="163">
        <v>897</v>
      </c>
      <c r="AU116" s="163" t="s">
        <v>324</v>
      </c>
      <c r="AV116" s="163" t="s">
        <v>443</v>
      </c>
      <c r="AW116" s="163" t="s">
        <v>443</v>
      </c>
      <c r="AX116" s="168" t="s">
        <v>444</v>
      </c>
      <c r="AY116" s="166">
        <v>1</v>
      </c>
      <c r="AZ116" s="166" t="s">
        <v>326</v>
      </c>
    </row>
    <row r="117" spans="38:52" x14ac:dyDescent="0.25">
      <c r="AL117" s="166" t="s">
        <v>445</v>
      </c>
      <c r="AM117" s="166" t="s">
        <v>320</v>
      </c>
      <c r="AN117" s="165">
        <v>5</v>
      </c>
      <c r="AO117" s="165"/>
      <c r="AP117" s="165" t="s">
        <v>395</v>
      </c>
      <c r="AQ117" s="165"/>
      <c r="AR117" s="167" t="s">
        <v>436</v>
      </c>
      <c r="AS117" s="165">
        <v>30</v>
      </c>
      <c r="AT117" s="165">
        <v>1100</v>
      </c>
      <c r="AU117" s="165" t="s">
        <v>324</v>
      </c>
      <c r="AV117" s="165">
        <v>3</v>
      </c>
      <c r="AW117" s="172">
        <v>4.625</v>
      </c>
      <c r="AX117" s="168"/>
      <c r="AY117" s="166">
        <v>1</v>
      </c>
      <c r="AZ117" s="166" t="s">
        <v>338</v>
      </c>
    </row>
    <row r="118" spans="38:52" x14ac:dyDescent="0.25">
      <c r="AL118" s="15" t="s">
        <v>446</v>
      </c>
      <c r="AM118" s="15" t="s">
        <v>320</v>
      </c>
      <c r="AN118" s="163">
        <v>5</v>
      </c>
      <c r="AO118" s="163"/>
      <c r="AP118" s="163" t="s">
        <v>395</v>
      </c>
      <c r="AQ118" s="163"/>
      <c r="AR118" s="164" t="s">
        <v>436</v>
      </c>
      <c r="AS118" s="163" t="s">
        <v>323</v>
      </c>
      <c r="AT118" s="163">
        <v>920</v>
      </c>
      <c r="AU118" s="163" t="s">
        <v>324</v>
      </c>
      <c r="AV118" s="163">
        <v>3</v>
      </c>
      <c r="AW118" s="171">
        <v>4.625</v>
      </c>
      <c r="AX118" s="168"/>
      <c r="AY118" s="166">
        <v>1</v>
      </c>
      <c r="AZ118" s="166" t="s">
        <v>338</v>
      </c>
    </row>
    <row r="119" spans="38:52" x14ac:dyDescent="0.25">
      <c r="AL119" s="15" t="s">
        <v>447</v>
      </c>
      <c r="AM119" s="15" t="s">
        <v>320</v>
      </c>
      <c r="AN119" s="163">
        <v>5</v>
      </c>
      <c r="AO119" s="163"/>
      <c r="AP119" s="163" t="s">
        <v>376</v>
      </c>
      <c r="AQ119" s="163"/>
      <c r="AR119" s="164" t="s">
        <v>436</v>
      </c>
      <c r="AS119" s="163" t="s">
        <v>337</v>
      </c>
      <c r="AT119" s="163">
        <v>835</v>
      </c>
      <c r="AU119" s="163" t="s">
        <v>324</v>
      </c>
      <c r="AV119" s="163">
        <v>3</v>
      </c>
      <c r="AW119" s="163">
        <v>4</v>
      </c>
      <c r="AX119" s="168"/>
      <c r="AY119" s="166">
        <v>1</v>
      </c>
      <c r="AZ119" s="166" t="s">
        <v>326</v>
      </c>
    </row>
    <row r="120" spans="38:52" x14ac:dyDescent="0.25">
      <c r="AL120" s="15" t="s">
        <v>448</v>
      </c>
      <c r="AM120" s="15" t="s">
        <v>320</v>
      </c>
      <c r="AN120" s="163">
        <v>5</v>
      </c>
      <c r="AO120" s="163"/>
      <c r="AP120" s="163" t="s">
        <v>376</v>
      </c>
      <c r="AQ120" s="163"/>
      <c r="AR120" s="164" t="s">
        <v>436</v>
      </c>
      <c r="AS120" s="163" t="s">
        <v>323</v>
      </c>
      <c r="AT120" s="163">
        <v>785</v>
      </c>
      <c r="AU120" s="163" t="s">
        <v>324</v>
      </c>
      <c r="AV120" s="163">
        <v>3</v>
      </c>
      <c r="AW120" s="163">
        <v>4</v>
      </c>
      <c r="AX120" s="168"/>
      <c r="AY120" s="166">
        <v>1</v>
      </c>
      <c r="AZ120" s="166" t="s">
        <v>326</v>
      </c>
    </row>
    <row r="121" spans="38:52" x14ac:dyDescent="0.25">
      <c r="AL121" s="15" t="s">
        <v>449</v>
      </c>
      <c r="AM121" s="15" t="s">
        <v>320</v>
      </c>
      <c r="AN121" s="163">
        <v>5</v>
      </c>
      <c r="AO121" s="163"/>
      <c r="AP121" s="163" t="s">
        <v>376</v>
      </c>
      <c r="AQ121" s="163"/>
      <c r="AR121" s="164" t="s">
        <v>436</v>
      </c>
      <c r="AS121" s="163" t="s">
        <v>340</v>
      </c>
      <c r="AT121" s="163">
        <v>623</v>
      </c>
      <c r="AU121" s="163" t="s">
        <v>324</v>
      </c>
      <c r="AV121" s="163">
        <v>3</v>
      </c>
      <c r="AW121" s="163">
        <v>4</v>
      </c>
      <c r="AX121" s="168"/>
      <c r="AY121" s="166">
        <v>1</v>
      </c>
      <c r="AZ121" s="166" t="s">
        <v>338</v>
      </c>
    </row>
    <row r="122" spans="38:52" x14ac:dyDescent="0.25">
      <c r="AL122" s="15" t="s">
        <v>450</v>
      </c>
      <c r="AM122" s="15" t="s">
        <v>320</v>
      </c>
      <c r="AN122" s="163">
        <v>5</v>
      </c>
      <c r="AO122" s="163"/>
      <c r="AP122" s="163" t="s">
        <v>391</v>
      </c>
      <c r="AQ122" s="163"/>
      <c r="AR122" s="164" t="s">
        <v>436</v>
      </c>
      <c r="AS122" s="163" t="s">
        <v>323</v>
      </c>
      <c r="AT122" s="163">
        <v>920</v>
      </c>
      <c r="AU122" s="163" t="s">
        <v>324</v>
      </c>
      <c r="AV122" s="163">
        <v>3</v>
      </c>
      <c r="AW122" s="163">
        <v>4</v>
      </c>
      <c r="AX122" s="168" t="s">
        <v>389</v>
      </c>
      <c r="AY122" s="166">
        <v>1</v>
      </c>
      <c r="AZ122" s="166" t="s">
        <v>326</v>
      </c>
    </row>
    <row r="123" spans="38:52" x14ac:dyDescent="0.25">
      <c r="AL123" s="15" t="s">
        <v>451</v>
      </c>
      <c r="AM123" s="166" t="s">
        <v>320</v>
      </c>
      <c r="AN123" s="163">
        <v>6</v>
      </c>
      <c r="AO123" s="163"/>
      <c r="AP123" s="163" t="s">
        <v>452</v>
      </c>
      <c r="AQ123" s="163"/>
      <c r="AR123" s="164" t="s">
        <v>377</v>
      </c>
      <c r="AS123" s="163" t="s">
        <v>340</v>
      </c>
      <c r="AT123" s="163">
        <v>650</v>
      </c>
      <c r="AU123" s="163" t="s">
        <v>453</v>
      </c>
      <c r="AV123" s="163">
        <v>4</v>
      </c>
      <c r="AW123" s="163" t="s">
        <v>454</v>
      </c>
      <c r="AX123" s="168"/>
      <c r="AY123" s="166">
        <v>1</v>
      </c>
      <c r="AZ123" s="166" t="s">
        <v>326</v>
      </c>
    </row>
    <row r="124" spans="38:52" x14ac:dyDescent="0.25">
      <c r="AL124" s="15" t="s">
        <v>455</v>
      </c>
      <c r="AM124" s="166" t="s">
        <v>320</v>
      </c>
      <c r="AN124" s="163">
        <v>6</v>
      </c>
      <c r="AO124" s="163"/>
      <c r="AP124" s="163" t="s">
        <v>456</v>
      </c>
      <c r="AQ124" s="163"/>
      <c r="AR124" s="164" t="s">
        <v>377</v>
      </c>
      <c r="AS124" s="163" t="s">
        <v>323</v>
      </c>
      <c r="AT124" s="163">
        <v>805</v>
      </c>
      <c r="AU124" s="163" t="s">
        <v>453</v>
      </c>
      <c r="AV124" s="163">
        <v>4</v>
      </c>
      <c r="AW124" s="163" t="s">
        <v>454</v>
      </c>
      <c r="AX124" s="168"/>
      <c r="AY124" s="166">
        <v>1</v>
      </c>
      <c r="AZ124" s="166" t="s">
        <v>326</v>
      </c>
    </row>
    <row r="125" spans="38:52" x14ac:dyDescent="0.25">
      <c r="AL125" s="15" t="s">
        <v>457</v>
      </c>
      <c r="AM125" s="166" t="s">
        <v>320</v>
      </c>
      <c r="AN125" s="163">
        <v>6</v>
      </c>
      <c r="AO125" s="163"/>
      <c r="AP125" s="163" t="s">
        <v>456</v>
      </c>
      <c r="AQ125" s="163"/>
      <c r="AR125" s="164" t="s">
        <v>377</v>
      </c>
      <c r="AS125" s="163" t="s">
        <v>340</v>
      </c>
      <c r="AT125" s="163">
        <v>645</v>
      </c>
      <c r="AU125" s="163" t="s">
        <v>453</v>
      </c>
      <c r="AV125" s="163">
        <v>4</v>
      </c>
      <c r="AW125" s="163" t="s">
        <v>454</v>
      </c>
      <c r="AX125" s="168"/>
      <c r="AY125" s="166">
        <v>1</v>
      </c>
      <c r="AZ125" s="166" t="s">
        <v>326</v>
      </c>
    </row>
    <row r="126" spans="38:52" x14ac:dyDescent="0.25">
      <c r="AL126" s="15" t="s">
        <v>458</v>
      </c>
      <c r="AM126" s="15" t="s">
        <v>320</v>
      </c>
      <c r="AN126" s="163">
        <v>6</v>
      </c>
      <c r="AO126" s="163"/>
      <c r="AP126" s="163" t="s">
        <v>452</v>
      </c>
      <c r="AQ126" s="163"/>
      <c r="AR126" s="164" t="s">
        <v>377</v>
      </c>
      <c r="AS126" s="163" t="s">
        <v>337</v>
      </c>
      <c r="AT126" s="163">
        <v>954</v>
      </c>
      <c r="AU126" s="163" t="s">
        <v>453</v>
      </c>
      <c r="AV126" s="163">
        <v>4</v>
      </c>
      <c r="AW126" s="163" t="s">
        <v>454</v>
      </c>
      <c r="AX126" s="168"/>
      <c r="AY126" s="166">
        <v>1</v>
      </c>
      <c r="AZ126" s="166" t="s">
        <v>338</v>
      </c>
    </row>
    <row r="127" spans="38:52" x14ac:dyDescent="0.25">
      <c r="AL127" s="15" t="s">
        <v>459</v>
      </c>
      <c r="AM127" s="15" t="s">
        <v>320</v>
      </c>
      <c r="AN127" s="163">
        <v>6</v>
      </c>
      <c r="AO127" s="163"/>
      <c r="AP127" s="163" t="s">
        <v>452</v>
      </c>
      <c r="AQ127" s="163"/>
      <c r="AR127" s="164" t="s">
        <v>377</v>
      </c>
      <c r="AS127" s="163" t="s">
        <v>323</v>
      </c>
      <c r="AT127" s="163">
        <v>805</v>
      </c>
      <c r="AU127" s="163" t="s">
        <v>453</v>
      </c>
      <c r="AV127" s="163">
        <v>4</v>
      </c>
      <c r="AW127" s="163" t="s">
        <v>454</v>
      </c>
      <c r="AX127" s="168"/>
      <c r="AY127" s="166">
        <v>1</v>
      </c>
      <c r="AZ127" s="166" t="s">
        <v>326</v>
      </c>
    </row>
    <row r="128" spans="38:52" x14ac:dyDescent="0.25">
      <c r="AL128" s="15" t="s">
        <v>460</v>
      </c>
      <c r="AM128" s="15" t="s">
        <v>320</v>
      </c>
      <c r="AN128" s="163">
        <v>6</v>
      </c>
      <c r="AO128" s="163"/>
      <c r="AP128" s="163" t="s">
        <v>376</v>
      </c>
      <c r="AQ128" s="163"/>
      <c r="AR128" s="164" t="s">
        <v>377</v>
      </c>
      <c r="AS128" s="163" t="s">
        <v>337</v>
      </c>
      <c r="AT128" s="163">
        <v>970</v>
      </c>
      <c r="AU128" s="171" t="s">
        <v>353</v>
      </c>
      <c r="AV128" s="163">
        <v>3</v>
      </c>
      <c r="AW128" s="163">
        <v>4</v>
      </c>
      <c r="AX128" s="168" t="s">
        <v>378</v>
      </c>
      <c r="AY128" s="166">
        <v>1</v>
      </c>
      <c r="AZ128" s="166" t="s">
        <v>338</v>
      </c>
    </row>
    <row r="129" spans="38:52" x14ac:dyDescent="0.25">
      <c r="AL129" s="15" t="s">
        <v>461</v>
      </c>
      <c r="AM129" s="15" t="s">
        <v>320</v>
      </c>
      <c r="AN129" s="163">
        <v>6</v>
      </c>
      <c r="AO129" s="163"/>
      <c r="AP129" s="163" t="s">
        <v>462</v>
      </c>
      <c r="AQ129" s="163"/>
      <c r="AR129" s="164" t="s">
        <v>377</v>
      </c>
      <c r="AS129" s="163" t="s">
        <v>356</v>
      </c>
      <c r="AT129" s="163">
        <v>320</v>
      </c>
      <c r="AU129" s="171" t="s">
        <v>463</v>
      </c>
      <c r="AV129" s="171">
        <v>4.625</v>
      </c>
      <c r="AW129" s="171">
        <v>5.625</v>
      </c>
      <c r="AX129" s="168" t="s">
        <v>464</v>
      </c>
      <c r="AY129" s="166"/>
      <c r="AZ129" s="166"/>
    </row>
    <row r="130" spans="38:52" x14ac:dyDescent="0.25">
      <c r="AL130" s="15" t="s">
        <v>465</v>
      </c>
      <c r="AM130" s="15" t="s">
        <v>320</v>
      </c>
      <c r="AN130" s="163">
        <v>6</v>
      </c>
      <c r="AO130" s="163"/>
      <c r="AP130" s="163" t="s">
        <v>462</v>
      </c>
      <c r="AQ130" s="163"/>
      <c r="AR130" s="164" t="s">
        <v>377</v>
      </c>
      <c r="AS130" s="163" t="s">
        <v>323</v>
      </c>
      <c r="AT130" s="163">
        <v>760</v>
      </c>
      <c r="AU130" s="171" t="s">
        <v>463</v>
      </c>
      <c r="AV130" s="171">
        <v>4.625</v>
      </c>
      <c r="AW130" s="171">
        <v>5.625</v>
      </c>
      <c r="AX130" s="168" t="s">
        <v>464</v>
      </c>
      <c r="AY130" s="166">
        <v>1</v>
      </c>
      <c r="AZ130" s="166" t="s">
        <v>338</v>
      </c>
    </row>
    <row r="131" spans="38:52" x14ac:dyDescent="0.25">
      <c r="AL131" s="166" t="s">
        <v>466</v>
      </c>
      <c r="AM131" s="166" t="s">
        <v>320</v>
      </c>
      <c r="AN131" s="165">
        <v>6</v>
      </c>
      <c r="AO131" s="165"/>
      <c r="AP131" s="165" t="s">
        <v>452</v>
      </c>
      <c r="AQ131" s="165"/>
      <c r="AR131" s="167" t="s">
        <v>330</v>
      </c>
      <c r="AS131" s="165" t="s">
        <v>323</v>
      </c>
      <c r="AT131" s="165">
        <v>1360</v>
      </c>
      <c r="AU131" s="165" t="s">
        <v>453</v>
      </c>
      <c r="AV131" s="165">
        <v>4</v>
      </c>
      <c r="AW131" s="165"/>
      <c r="AX131" s="168" t="s">
        <v>6</v>
      </c>
      <c r="AY131" s="166">
        <v>1</v>
      </c>
      <c r="AZ131" s="166" t="s">
        <v>326</v>
      </c>
    </row>
    <row r="132" spans="38:52" x14ac:dyDescent="0.25">
      <c r="AL132" s="166" t="s">
        <v>467</v>
      </c>
      <c r="AM132" s="166" t="s">
        <v>320</v>
      </c>
      <c r="AN132" s="165">
        <v>6</v>
      </c>
      <c r="AO132" s="165"/>
      <c r="AP132" s="165" t="s">
        <v>468</v>
      </c>
      <c r="AQ132" s="165" t="s">
        <v>452</v>
      </c>
      <c r="AR132" s="167" t="s">
        <v>436</v>
      </c>
      <c r="AS132" s="165" t="s">
        <v>469</v>
      </c>
      <c r="AT132" s="165"/>
      <c r="AU132" s="165" t="s">
        <v>453</v>
      </c>
      <c r="AV132" s="165">
        <v>4</v>
      </c>
      <c r="AW132" s="165"/>
      <c r="AX132" s="168"/>
      <c r="AY132" s="166">
        <v>1</v>
      </c>
      <c r="AZ132" s="166" t="s">
        <v>326</v>
      </c>
    </row>
    <row r="133" spans="38:52" x14ac:dyDescent="0.25">
      <c r="AL133" s="15" t="s">
        <v>470</v>
      </c>
      <c r="AM133" s="15" t="s">
        <v>320</v>
      </c>
      <c r="AN133" s="163">
        <v>6</v>
      </c>
      <c r="AO133" s="163"/>
      <c r="AP133" s="163" t="s">
        <v>452</v>
      </c>
      <c r="AQ133" s="163"/>
      <c r="AR133" s="164" t="s">
        <v>436</v>
      </c>
      <c r="AS133" s="163" t="s">
        <v>337</v>
      </c>
      <c r="AT133" s="163">
        <v>1381</v>
      </c>
      <c r="AU133" s="163" t="s">
        <v>453</v>
      </c>
      <c r="AV133" s="163">
        <v>4</v>
      </c>
      <c r="AW133" s="163" t="s">
        <v>454</v>
      </c>
      <c r="AX133" s="168"/>
      <c r="AY133" s="166">
        <v>1</v>
      </c>
      <c r="AZ133" s="166" t="s">
        <v>338</v>
      </c>
    </row>
    <row r="134" spans="38:52" x14ac:dyDescent="0.25">
      <c r="AL134" s="166" t="s">
        <v>471</v>
      </c>
      <c r="AM134" s="166" t="s">
        <v>320</v>
      </c>
      <c r="AN134" s="165">
        <v>7</v>
      </c>
      <c r="AO134" s="165"/>
      <c r="AP134" s="165" t="s">
        <v>395</v>
      </c>
      <c r="AQ134" s="165"/>
      <c r="AR134" s="167" t="s">
        <v>472</v>
      </c>
      <c r="AS134" s="165">
        <v>25</v>
      </c>
      <c r="AT134" s="165">
        <v>900</v>
      </c>
      <c r="AU134" s="165" t="s">
        <v>353</v>
      </c>
      <c r="AV134" s="165">
        <v>4</v>
      </c>
      <c r="AW134" s="165" t="s">
        <v>454</v>
      </c>
      <c r="AX134" s="168"/>
      <c r="AY134" s="166">
        <v>1</v>
      </c>
      <c r="AZ134" s="166" t="s">
        <v>326</v>
      </c>
    </row>
    <row r="135" spans="38:52" x14ac:dyDescent="0.25">
      <c r="AL135" s="15" t="s">
        <v>473</v>
      </c>
      <c r="AM135" s="15" t="s">
        <v>320</v>
      </c>
      <c r="AN135" s="163">
        <v>7</v>
      </c>
      <c r="AO135" s="163"/>
      <c r="AP135" s="163" t="s">
        <v>474</v>
      </c>
      <c r="AQ135" s="163"/>
      <c r="AR135" s="164" t="s">
        <v>407</v>
      </c>
      <c r="AS135" s="163" t="s">
        <v>323</v>
      </c>
      <c r="AT135" s="163">
        <v>1060</v>
      </c>
      <c r="AU135" s="163" t="s">
        <v>475</v>
      </c>
      <c r="AV135" s="163">
        <v>4</v>
      </c>
      <c r="AW135" s="163" t="s">
        <v>454</v>
      </c>
      <c r="AX135" s="168"/>
      <c r="AY135" s="166">
        <v>1</v>
      </c>
      <c r="AZ135" s="166" t="s">
        <v>338</v>
      </c>
    </row>
    <row r="136" spans="38:52" x14ac:dyDescent="0.25">
      <c r="AL136" s="166" t="s">
        <v>476</v>
      </c>
      <c r="AM136" s="166" t="s">
        <v>320</v>
      </c>
      <c r="AN136" s="165">
        <v>7</v>
      </c>
      <c r="AO136" s="165"/>
      <c r="AP136" s="165" t="s">
        <v>452</v>
      </c>
      <c r="AQ136" s="165"/>
      <c r="AR136" s="167" t="s">
        <v>477</v>
      </c>
      <c r="AS136" s="165" t="s">
        <v>411</v>
      </c>
      <c r="AT136" s="165">
        <v>1500</v>
      </c>
      <c r="AU136" s="165" t="s">
        <v>453</v>
      </c>
      <c r="AV136" s="165">
        <v>5</v>
      </c>
      <c r="AW136" s="165">
        <v>5.5</v>
      </c>
      <c r="AX136" s="168" t="s">
        <v>478</v>
      </c>
      <c r="AY136" s="166">
        <v>1</v>
      </c>
      <c r="AZ136" s="166" t="s">
        <v>326</v>
      </c>
    </row>
    <row r="137" spans="38:52" x14ac:dyDescent="0.25">
      <c r="AL137" s="166" t="s">
        <v>479</v>
      </c>
      <c r="AM137" s="166" t="s">
        <v>320</v>
      </c>
      <c r="AN137" s="165">
        <v>7</v>
      </c>
      <c r="AO137" s="165"/>
      <c r="AP137" s="165" t="s">
        <v>452</v>
      </c>
      <c r="AQ137" s="165"/>
      <c r="AR137" s="167" t="s">
        <v>480</v>
      </c>
      <c r="AS137" s="165" t="s">
        <v>411</v>
      </c>
      <c r="AT137" s="165">
        <v>1950</v>
      </c>
      <c r="AU137" s="165" t="s">
        <v>453</v>
      </c>
      <c r="AV137" s="165">
        <v>5</v>
      </c>
      <c r="AW137" s="165">
        <v>5.5</v>
      </c>
      <c r="AX137" s="168" t="s">
        <v>478</v>
      </c>
      <c r="AY137" s="166">
        <v>1</v>
      </c>
      <c r="AZ137" s="166" t="s">
        <v>326</v>
      </c>
    </row>
    <row r="138" spans="38:52" x14ac:dyDescent="0.25">
      <c r="AL138" s="166" t="s">
        <v>481</v>
      </c>
      <c r="AM138" s="166" t="s">
        <v>320</v>
      </c>
      <c r="AN138" s="165">
        <v>7</v>
      </c>
      <c r="AO138" s="165"/>
      <c r="AP138" s="165" t="s">
        <v>452</v>
      </c>
      <c r="AQ138" s="165"/>
      <c r="AR138" s="167" t="s">
        <v>377</v>
      </c>
      <c r="AS138" s="165" t="s">
        <v>337</v>
      </c>
      <c r="AT138" s="165">
        <v>1275</v>
      </c>
      <c r="AU138" s="165" t="s">
        <v>453</v>
      </c>
      <c r="AV138" s="165">
        <v>5</v>
      </c>
      <c r="AW138" s="165"/>
      <c r="AX138" s="168" t="s">
        <v>482</v>
      </c>
      <c r="AY138" s="166">
        <v>1</v>
      </c>
      <c r="AZ138" s="166" t="s">
        <v>326</v>
      </c>
    </row>
    <row r="139" spans="38:52" x14ac:dyDescent="0.25">
      <c r="AL139" s="166" t="s">
        <v>483</v>
      </c>
      <c r="AM139" s="166" t="s">
        <v>320</v>
      </c>
      <c r="AN139" s="165">
        <v>7</v>
      </c>
      <c r="AO139" s="165"/>
      <c r="AP139" s="165" t="s">
        <v>452</v>
      </c>
      <c r="AQ139" s="165"/>
      <c r="AR139" s="167" t="s">
        <v>377</v>
      </c>
      <c r="AS139" s="165" t="s">
        <v>323</v>
      </c>
      <c r="AT139" s="165">
        <v>1200</v>
      </c>
      <c r="AU139" s="165" t="s">
        <v>453</v>
      </c>
      <c r="AV139" s="165">
        <v>5</v>
      </c>
      <c r="AW139" s="165"/>
      <c r="AX139" s="168"/>
      <c r="AY139" s="166">
        <v>1</v>
      </c>
      <c r="AZ139" s="166" t="s">
        <v>326</v>
      </c>
    </row>
    <row r="140" spans="38:52" x14ac:dyDescent="0.25">
      <c r="AL140" s="166" t="s">
        <v>484</v>
      </c>
      <c r="AM140" s="166" t="s">
        <v>320</v>
      </c>
      <c r="AN140" s="165">
        <v>7</v>
      </c>
      <c r="AO140" s="165"/>
      <c r="AP140" s="165" t="s">
        <v>452</v>
      </c>
      <c r="AQ140" s="165"/>
      <c r="AR140" s="167" t="s">
        <v>377</v>
      </c>
      <c r="AS140" s="165" t="s">
        <v>337</v>
      </c>
      <c r="AT140" s="165">
        <v>1350</v>
      </c>
      <c r="AU140" s="165" t="s">
        <v>453</v>
      </c>
      <c r="AV140" s="165">
        <v>5</v>
      </c>
      <c r="AW140" s="165"/>
      <c r="AX140" s="168"/>
      <c r="AY140" s="166">
        <v>1</v>
      </c>
      <c r="AZ140" s="166" t="s">
        <v>326</v>
      </c>
    </row>
    <row r="141" spans="38:52" x14ac:dyDescent="0.25">
      <c r="AL141" s="15" t="s">
        <v>485</v>
      </c>
      <c r="AM141" s="15" t="s">
        <v>320</v>
      </c>
      <c r="AN141" s="163">
        <v>7</v>
      </c>
      <c r="AO141" s="163"/>
      <c r="AP141" s="163" t="s">
        <v>452</v>
      </c>
      <c r="AQ141" s="163"/>
      <c r="AR141" s="164" t="s">
        <v>377</v>
      </c>
      <c r="AS141" s="163" t="s">
        <v>337</v>
      </c>
      <c r="AT141" s="163">
        <v>1275</v>
      </c>
      <c r="AU141" s="163" t="s">
        <v>453</v>
      </c>
      <c r="AV141" s="163">
        <v>5</v>
      </c>
      <c r="AW141" s="163" t="s">
        <v>454</v>
      </c>
      <c r="AX141" s="168" t="s">
        <v>486</v>
      </c>
      <c r="AY141" s="166">
        <v>1</v>
      </c>
      <c r="AZ141" s="166" t="s">
        <v>326</v>
      </c>
    </row>
    <row r="142" spans="38:52" x14ac:dyDescent="0.25">
      <c r="AL142" s="15" t="s">
        <v>487</v>
      </c>
      <c r="AM142" s="15" t="s">
        <v>320</v>
      </c>
      <c r="AN142" s="163">
        <v>7</v>
      </c>
      <c r="AO142" s="163"/>
      <c r="AP142" s="163" t="s">
        <v>452</v>
      </c>
      <c r="AQ142" s="163"/>
      <c r="AR142" s="164" t="s">
        <v>377</v>
      </c>
      <c r="AS142" s="163" t="s">
        <v>323</v>
      </c>
      <c r="AT142" s="163">
        <v>950</v>
      </c>
      <c r="AU142" s="163" t="s">
        <v>453</v>
      </c>
      <c r="AV142" s="163">
        <v>4</v>
      </c>
      <c r="AW142" s="163" t="s">
        <v>454</v>
      </c>
      <c r="AX142" s="168"/>
      <c r="AY142" s="166">
        <v>1</v>
      </c>
      <c r="AZ142" s="166" t="s">
        <v>338</v>
      </c>
    </row>
    <row r="143" spans="38:52" x14ac:dyDescent="0.25">
      <c r="AL143" s="166" t="s">
        <v>488</v>
      </c>
      <c r="AM143" s="166" t="s">
        <v>320</v>
      </c>
      <c r="AN143" s="165">
        <v>7</v>
      </c>
      <c r="AO143" s="165"/>
      <c r="AP143" s="165" t="s">
        <v>452</v>
      </c>
      <c r="AQ143" s="165"/>
      <c r="AR143" s="167" t="s">
        <v>330</v>
      </c>
      <c r="AS143" s="165" t="s">
        <v>337</v>
      </c>
      <c r="AT143" s="165">
        <v>2720</v>
      </c>
      <c r="AU143" s="165" t="s">
        <v>453</v>
      </c>
      <c r="AV143" s="165">
        <v>5</v>
      </c>
      <c r="AW143" s="165"/>
      <c r="AX143" s="168"/>
      <c r="AY143" s="166">
        <v>1</v>
      </c>
      <c r="AZ143" s="166" t="s">
        <v>326</v>
      </c>
    </row>
    <row r="144" spans="38:52" x14ac:dyDescent="0.25">
      <c r="AL144" s="166" t="s">
        <v>489</v>
      </c>
      <c r="AM144" s="166" t="s">
        <v>320</v>
      </c>
      <c r="AN144" s="165">
        <v>7</v>
      </c>
      <c r="AO144" s="165"/>
      <c r="AP144" s="165" t="s">
        <v>452</v>
      </c>
      <c r="AQ144" s="165"/>
      <c r="AR144" s="167" t="s">
        <v>330</v>
      </c>
      <c r="AS144" s="165" t="s">
        <v>323</v>
      </c>
      <c r="AT144" s="165">
        <v>2400</v>
      </c>
      <c r="AU144" s="165" t="s">
        <v>453</v>
      </c>
      <c r="AV144" s="165">
        <v>5</v>
      </c>
      <c r="AW144" s="165"/>
      <c r="AX144" s="168" t="s">
        <v>490</v>
      </c>
      <c r="AY144" s="166">
        <v>1</v>
      </c>
      <c r="AZ144" s="166" t="s">
        <v>326</v>
      </c>
    </row>
    <row r="145" spans="38:52" x14ac:dyDescent="0.25">
      <c r="AL145" s="15" t="s">
        <v>491</v>
      </c>
      <c r="AM145" s="15" t="s">
        <v>320</v>
      </c>
      <c r="AN145" s="163">
        <v>7</v>
      </c>
      <c r="AO145" s="163"/>
      <c r="AP145" s="163" t="s">
        <v>452</v>
      </c>
      <c r="AQ145" s="163"/>
      <c r="AR145" s="164" t="s">
        <v>330</v>
      </c>
      <c r="AS145" s="163" t="s">
        <v>411</v>
      </c>
      <c r="AT145" s="163">
        <v>2400</v>
      </c>
      <c r="AU145" s="163" t="s">
        <v>453</v>
      </c>
      <c r="AV145" s="163">
        <v>5</v>
      </c>
      <c r="AW145" s="163">
        <v>5.5</v>
      </c>
      <c r="AX145" s="168" t="s">
        <v>478</v>
      </c>
      <c r="AY145" s="166">
        <v>1</v>
      </c>
      <c r="AZ145" s="166" t="s">
        <v>326</v>
      </c>
    </row>
    <row r="146" spans="38:52" x14ac:dyDescent="0.25">
      <c r="AL146" s="15" t="s">
        <v>492</v>
      </c>
      <c r="AM146" s="15" t="s">
        <v>320</v>
      </c>
      <c r="AN146" s="163">
        <v>7</v>
      </c>
      <c r="AO146" s="163"/>
      <c r="AP146" s="163" t="s">
        <v>395</v>
      </c>
      <c r="AQ146" s="163"/>
      <c r="AR146" s="164" t="s">
        <v>330</v>
      </c>
      <c r="AS146" s="163" t="s">
        <v>323</v>
      </c>
      <c r="AT146" s="163">
        <v>1600</v>
      </c>
      <c r="AU146" s="163" t="s">
        <v>324</v>
      </c>
      <c r="AV146" s="163">
        <v>4</v>
      </c>
      <c r="AW146" s="163" t="s">
        <v>454</v>
      </c>
      <c r="AX146" s="168"/>
      <c r="AY146" s="166">
        <v>1</v>
      </c>
      <c r="AZ146" s="166" t="s">
        <v>338</v>
      </c>
    </row>
    <row r="147" spans="38:52" x14ac:dyDescent="0.25">
      <c r="AL147" s="15" t="s">
        <v>493</v>
      </c>
      <c r="AM147" s="15" t="s">
        <v>320</v>
      </c>
      <c r="AN147" s="163">
        <v>7</v>
      </c>
      <c r="AO147" s="163"/>
      <c r="AP147" s="163" t="s">
        <v>494</v>
      </c>
      <c r="AQ147" s="163"/>
      <c r="AR147" s="164" t="s">
        <v>330</v>
      </c>
      <c r="AS147" s="163" t="s">
        <v>337</v>
      </c>
      <c r="AT147" s="163">
        <v>2060</v>
      </c>
      <c r="AU147" s="163" t="s">
        <v>453</v>
      </c>
      <c r="AV147" s="163">
        <v>5</v>
      </c>
      <c r="AW147" s="163" t="s">
        <v>454</v>
      </c>
      <c r="AX147" s="168" t="s">
        <v>486</v>
      </c>
      <c r="AY147" s="166">
        <v>1</v>
      </c>
      <c r="AZ147" s="166" t="s">
        <v>338</v>
      </c>
    </row>
    <row r="148" spans="38:52" x14ac:dyDescent="0.25">
      <c r="AL148" s="166" t="s">
        <v>495</v>
      </c>
      <c r="AM148" s="166" t="s">
        <v>320</v>
      </c>
      <c r="AN148" s="165">
        <v>7</v>
      </c>
      <c r="AO148" s="165"/>
      <c r="AP148" s="165" t="s">
        <v>452</v>
      </c>
      <c r="AQ148" s="165"/>
      <c r="AR148" s="167" t="s">
        <v>330</v>
      </c>
      <c r="AS148" s="165">
        <v>30</v>
      </c>
      <c r="AT148" s="165">
        <v>1920</v>
      </c>
      <c r="AU148" s="165" t="s">
        <v>453</v>
      </c>
      <c r="AV148" s="165">
        <v>4</v>
      </c>
      <c r="AW148" s="165" t="s">
        <v>454</v>
      </c>
      <c r="AX148" s="168"/>
      <c r="AY148" s="166">
        <v>1</v>
      </c>
      <c r="AZ148" s="166" t="s">
        <v>326</v>
      </c>
    </row>
    <row r="149" spans="38:52" x14ac:dyDescent="0.25">
      <c r="AL149" s="15" t="s">
        <v>496</v>
      </c>
      <c r="AM149" s="15" t="s">
        <v>320</v>
      </c>
      <c r="AN149" s="163">
        <v>7</v>
      </c>
      <c r="AO149" s="163"/>
      <c r="AP149" s="163" t="s">
        <v>452</v>
      </c>
      <c r="AQ149" s="163"/>
      <c r="AR149" s="164" t="s">
        <v>330</v>
      </c>
      <c r="AS149" s="163" t="s">
        <v>323</v>
      </c>
      <c r="AT149" s="163">
        <v>1600</v>
      </c>
      <c r="AU149" s="163" t="s">
        <v>453</v>
      </c>
      <c r="AV149" s="163">
        <v>4</v>
      </c>
      <c r="AW149" s="163" t="s">
        <v>454</v>
      </c>
      <c r="AX149" s="168"/>
      <c r="AY149" s="166">
        <v>1</v>
      </c>
      <c r="AZ149" s="166" t="s">
        <v>338</v>
      </c>
    </row>
    <row r="150" spans="38:52" x14ac:dyDescent="0.25">
      <c r="AL150" s="166" t="s">
        <v>497</v>
      </c>
      <c r="AM150" s="166" t="s">
        <v>320</v>
      </c>
      <c r="AN150" s="165">
        <v>7</v>
      </c>
      <c r="AO150" s="165"/>
      <c r="AP150" s="165" t="s">
        <v>452</v>
      </c>
      <c r="AQ150" s="165"/>
      <c r="AR150" s="167" t="s">
        <v>436</v>
      </c>
      <c r="AS150" s="165" t="s">
        <v>337</v>
      </c>
      <c r="AT150" s="165">
        <v>1775</v>
      </c>
      <c r="AU150" s="165" t="s">
        <v>453</v>
      </c>
      <c r="AV150" s="165">
        <v>5</v>
      </c>
      <c r="AW150" s="165"/>
      <c r="AX150" s="168" t="s">
        <v>482</v>
      </c>
      <c r="AY150" s="166">
        <v>1</v>
      </c>
      <c r="AZ150" s="166" t="s">
        <v>338</v>
      </c>
    </row>
    <row r="151" spans="38:52" x14ac:dyDescent="0.25">
      <c r="AL151" s="166" t="s">
        <v>498</v>
      </c>
      <c r="AM151" s="166" t="s">
        <v>320</v>
      </c>
      <c r="AN151" s="165">
        <v>7</v>
      </c>
      <c r="AO151" s="165"/>
      <c r="AP151" s="165" t="s">
        <v>395</v>
      </c>
      <c r="AQ151" s="165"/>
      <c r="AR151" s="167" t="s">
        <v>436</v>
      </c>
      <c r="AS151" s="165" t="s">
        <v>411</v>
      </c>
      <c r="AT151" s="165">
        <v>1575</v>
      </c>
      <c r="AU151" s="165" t="s">
        <v>324</v>
      </c>
      <c r="AV151" s="165">
        <v>5</v>
      </c>
      <c r="AW151" s="165"/>
      <c r="AX151" s="168"/>
      <c r="AY151" s="166">
        <v>1</v>
      </c>
      <c r="AZ151" s="166" t="s">
        <v>326</v>
      </c>
    </row>
    <row r="152" spans="38:52" x14ac:dyDescent="0.25">
      <c r="AL152" s="166" t="s">
        <v>499</v>
      </c>
      <c r="AM152" s="166" t="s">
        <v>320</v>
      </c>
      <c r="AN152" s="165">
        <v>7</v>
      </c>
      <c r="AO152" s="165"/>
      <c r="AP152" s="165" t="s">
        <v>452</v>
      </c>
      <c r="AQ152" s="165"/>
      <c r="AR152" s="167" t="s">
        <v>436</v>
      </c>
      <c r="AS152" s="165" t="s">
        <v>411</v>
      </c>
      <c r="AT152" s="165">
        <v>1575</v>
      </c>
      <c r="AU152" s="165" t="s">
        <v>453</v>
      </c>
      <c r="AV152" s="165">
        <v>5</v>
      </c>
      <c r="AW152" s="165"/>
      <c r="AX152" s="168"/>
      <c r="AY152" s="166">
        <v>1</v>
      </c>
      <c r="AZ152" s="166" t="s">
        <v>326</v>
      </c>
    </row>
    <row r="153" spans="38:52" x14ac:dyDescent="0.25">
      <c r="AL153" s="166" t="s">
        <v>500</v>
      </c>
      <c r="AM153" s="166" t="s">
        <v>320</v>
      </c>
      <c r="AN153" s="165">
        <v>7</v>
      </c>
      <c r="AO153" s="165"/>
      <c r="AP153" s="165" t="s">
        <v>452</v>
      </c>
      <c r="AQ153" s="165"/>
      <c r="AR153" s="167" t="s">
        <v>436</v>
      </c>
      <c r="AS153" s="165">
        <v>25</v>
      </c>
      <c r="AT153" s="165">
        <v>1500</v>
      </c>
      <c r="AU153" s="165" t="s">
        <v>453</v>
      </c>
      <c r="AV153" s="165">
        <v>4</v>
      </c>
      <c r="AW153" s="165" t="s">
        <v>454</v>
      </c>
      <c r="AX153" s="168"/>
      <c r="AY153" s="166">
        <v>1</v>
      </c>
      <c r="AZ153" s="166" t="s">
        <v>326</v>
      </c>
    </row>
    <row r="154" spans="38:52" x14ac:dyDescent="0.25">
      <c r="AL154" s="15" t="s">
        <v>501</v>
      </c>
      <c r="AM154" s="15" t="s">
        <v>320</v>
      </c>
      <c r="AN154" s="163">
        <v>7</v>
      </c>
      <c r="AO154" s="163"/>
      <c r="AP154" s="163" t="s">
        <v>452</v>
      </c>
      <c r="AQ154" s="163"/>
      <c r="AR154" s="164" t="s">
        <v>436</v>
      </c>
      <c r="AS154" s="163" t="s">
        <v>337</v>
      </c>
      <c r="AT154" s="163">
        <v>1747</v>
      </c>
      <c r="AU154" s="163" t="s">
        <v>453</v>
      </c>
      <c r="AV154" s="163">
        <v>4</v>
      </c>
      <c r="AW154" s="163" t="s">
        <v>454</v>
      </c>
      <c r="AX154" s="168"/>
      <c r="AY154" s="166">
        <v>1</v>
      </c>
      <c r="AZ154" s="166" t="s">
        <v>338</v>
      </c>
    </row>
    <row r="155" spans="38:52" x14ac:dyDescent="0.25">
      <c r="AL155" s="166" t="s">
        <v>502</v>
      </c>
      <c r="AM155" s="166" t="s">
        <v>320</v>
      </c>
      <c r="AN155" s="165">
        <v>7</v>
      </c>
      <c r="AO155" s="165" t="s">
        <v>454</v>
      </c>
      <c r="AP155" s="165" t="s">
        <v>452</v>
      </c>
      <c r="AQ155" s="165" t="s">
        <v>376</v>
      </c>
      <c r="AR155" s="167"/>
      <c r="AS155" s="165" t="s">
        <v>411</v>
      </c>
      <c r="AT155" s="165">
        <v>1550</v>
      </c>
      <c r="AU155" s="165" t="s">
        <v>453</v>
      </c>
      <c r="AV155" s="165">
        <v>5</v>
      </c>
      <c r="AW155" s="165" t="s">
        <v>394</v>
      </c>
      <c r="AX155" s="168"/>
      <c r="AY155" s="166">
        <v>1</v>
      </c>
      <c r="AZ155" s="166" t="s">
        <v>326</v>
      </c>
    </row>
    <row r="156" spans="38:52" x14ac:dyDescent="0.25">
      <c r="AL156" s="15" t="s">
        <v>503</v>
      </c>
      <c r="AM156" s="166" t="s">
        <v>320</v>
      </c>
      <c r="AN156" s="171">
        <v>7.625</v>
      </c>
      <c r="AO156" s="163"/>
      <c r="AP156" s="163" t="s">
        <v>504</v>
      </c>
      <c r="AQ156" s="163"/>
      <c r="AR156" s="164" t="s">
        <v>407</v>
      </c>
      <c r="AS156" s="163" t="s">
        <v>505</v>
      </c>
      <c r="AT156" s="163">
        <v>1200</v>
      </c>
      <c r="AU156" s="163" t="s">
        <v>453</v>
      </c>
      <c r="AV156" s="163">
        <v>6</v>
      </c>
      <c r="AW156" s="163"/>
      <c r="AX156" s="168" t="s">
        <v>506</v>
      </c>
      <c r="AY156" s="166"/>
      <c r="AZ156" s="166"/>
    </row>
    <row r="157" spans="38:52" x14ac:dyDescent="0.25">
      <c r="AL157" s="15" t="s">
        <v>507</v>
      </c>
      <c r="AM157" s="15" t="s">
        <v>320</v>
      </c>
      <c r="AN157" s="171">
        <v>7.625</v>
      </c>
      <c r="AO157" s="163"/>
      <c r="AP157" s="163" t="s">
        <v>504</v>
      </c>
      <c r="AQ157" s="163"/>
      <c r="AR157" s="164" t="s">
        <v>407</v>
      </c>
      <c r="AS157" s="163" t="s">
        <v>505</v>
      </c>
      <c r="AT157" s="163">
        <v>1200</v>
      </c>
      <c r="AU157" s="163" t="s">
        <v>453</v>
      </c>
      <c r="AV157" s="163">
        <v>6</v>
      </c>
      <c r="AW157" s="163"/>
      <c r="AX157" s="168" t="s">
        <v>506</v>
      </c>
      <c r="AY157" s="166">
        <v>1</v>
      </c>
      <c r="AZ157" s="166" t="s">
        <v>326</v>
      </c>
    </row>
    <row r="158" spans="38:52" x14ac:dyDescent="0.25">
      <c r="AL158" s="166" t="s">
        <v>508</v>
      </c>
      <c r="AM158" s="166" t="s">
        <v>320</v>
      </c>
      <c r="AN158" s="172">
        <v>7.625</v>
      </c>
      <c r="AO158" s="165"/>
      <c r="AP158" s="165" t="s">
        <v>504</v>
      </c>
      <c r="AQ158" s="165"/>
      <c r="AR158" s="167" t="s">
        <v>477</v>
      </c>
      <c r="AS158" s="165" t="s">
        <v>323</v>
      </c>
      <c r="AT158" s="165">
        <v>2060</v>
      </c>
      <c r="AU158" s="165" t="s">
        <v>509</v>
      </c>
      <c r="AV158" s="165">
        <v>5</v>
      </c>
      <c r="AW158" s="165"/>
      <c r="AX158" s="168"/>
      <c r="AY158" s="166">
        <v>1</v>
      </c>
      <c r="AZ158" s="166"/>
    </row>
    <row r="159" spans="38:52" x14ac:dyDescent="0.25">
      <c r="AL159" s="166" t="s">
        <v>510</v>
      </c>
      <c r="AM159" s="166" t="s">
        <v>320</v>
      </c>
      <c r="AN159" s="172">
        <v>7.625</v>
      </c>
      <c r="AO159" s="165"/>
      <c r="AP159" s="165" t="s">
        <v>504</v>
      </c>
      <c r="AQ159" s="165"/>
      <c r="AR159" s="167" t="s">
        <v>477</v>
      </c>
      <c r="AS159" s="165" t="s">
        <v>337</v>
      </c>
      <c r="AT159" s="165">
        <v>1550</v>
      </c>
      <c r="AU159" s="165" t="s">
        <v>509</v>
      </c>
      <c r="AV159" s="165">
        <v>5</v>
      </c>
      <c r="AW159" s="165"/>
      <c r="AX159" s="168"/>
      <c r="AY159" s="166">
        <v>1</v>
      </c>
      <c r="AZ159" s="166" t="s">
        <v>338</v>
      </c>
    </row>
    <row r="160" spans="38:52" x14ac:dyDescent="0.25">
      <c r="AL160" s="166" t="s">
        <v>511</v>
      </c>
      <c r="AM160" s="166" t="s">
        <v>320</v>
      </c>
      <c r="AN160" s="172">
        <v>7.625</v>
      </c>
      <c r="AO160" s="165"/>
      <c r="AP160" s="165" t="s">
        <v>504</v>
      </c>
      <c r="AQ160" s="165"/>
      <c r="AR160" s="167" t="s">
        <v>477</v>
      </c>
      <c r="AS160" s="165" t="s">
        <v>323</v>
      </c>
      <c r="AT160" s="165">
        <v>1360</v>
      </c>
      <c r="AU160" s="172" t="s">
        <v>509</v>
      </c>
      <c r="AV160" s="165">
        <v>5</v>
      </c>
      <c r="AW160" s="165"/>
      <c r="AX160" s="168" t="s">
        <v>490</v>
      </c>
      <c r="AY160" s="166">
        <v>1</v>
      </c>
      <c r="AZ160" s="166" t="s">
        <v>326</v>
      </c>
    </row>
    <row r="161" spans="38:52" x14ac:dyDescent="0.25">
      <c r="AL161" s="166" t="s">
        <v>512</v>
      </c>
      <c r="AM161" s="166" t="s">
        <v>320</v>
      </c>
      <c r="AN161" s="172">
        <v>7.625</v>
      </c>
      <c r="AO161" s="165"/>
      <c r="AP161" s="165" t="s">
        <v>513</v>
      </c>
      <c r="AQ161" s="165"/>
      <c r="AR161" s="167" t="s">
        <v>377</v>
      </c>
      <c r="AS161" s="165" t="s">
        <v>323</v>
      </c>
      <c r="AT161" s="165">
        <v>1240</v>
      </c>
      <c r="AU161" s="165" t="s">
        <v>509</v>
      </c>
      <c r="AV161" s="165">
        <v>5</v>
      </c>
      <c r="AW161" s="165"/>
      <c r="AX161" s="168"/>
      <c r="AY161" s="166">
        <v>1</v>
      </c>
      <c r="AZ161" s="166" t="s">
        <v>326</v>
      </c>
    </row>
    <row r="162" spans="38:52" x14ac:dyDescent="0.25">
      <c r="AL162" s="15" t="s">
        <v>514</v>
      </c>
      <c r="AM162" s="15" t="s">
        <v>320</v>
      </c>
      <c r="AN162" s="171">
        <v>7.625</v>
      </c>
      <c r="AO162" s="163"/>
      <c r="AP162" s="163" t="s">
        <v>504</v>
      </c>
      <c r="AQ162" s="163"/>
      <c r="AR162" s="164" t="s">
        <v>377</v>
      </c>
      <c r="AS162" s="163" t="s">
        <v>411</v>
      </c>
      <c r="AT162" s="163">
        <v>1675</v>
      </c>
      <c r="AU162" s="163" t="s">
        <v>515</v>
      </c>
      <c r="AV162" s="163">
        <v>6</v>
      </c>
      <c r="AW162" s="163">
        <v>7</v>
      </c>
      <c r="AX162" s="168"/>
      <c r="AY162" s="166">
        <v>1</v>
      </c>
      <c r="AZ162" s="166" t="s">
        <v>357</v>
      </c>
    </row>
    <row r="163" spans="38:52" x14ac:dyDescent="0.25">
      <c r="AL163" s="15" t="s">
        <v>516</v>
      </c>
      <c r="AM163" s="15" t="s">
        <v>320</v>
      </c>
      <c r="AN163" s="171">
        <v>7.625</v>
      </c>
      <c r="AO163" s="163"/>
      <c r="AP163" s="163" t="s">
        <v>517</v>
      </c>
      <c r="AQ163" s="163"/>
      <c r="AR163" s="164" t="s">
        <v>377</v>
      </c>
      <c r="AS163" s="163" t="s">
        <v>337</v>
      </c>
      <c r="AT163" s="163">
        <v>1435</v>
      </c>
      <c r="AU163" s="163" t="s">
        <v>453</v>
      </c>
      <c r="AV163" s="163">
        <v>6</v>
      </c>
      <c r="AW163" s="163">
        <v>7</v>
      </c>
      <c r="AX163" s="168"/>
      <c r="AY163" s="166">
        <v>1</v>
      </c>
      <c r="AZ163" s="166" t="s">
        <v>338</v>
      </c>
    </row>
    <row r="164" spans="38:52" x14ac:dyDescent="0.25">
      <c r="AL164" s="15" t="s">
        <v>518</v>
      </c>
      <c r="AM164" s="15" t="s">
        <v>320</v>
      </c>
      <c r="AN164" s="171">
        <v>7.625</v>
      </c>
      <c r="AO164" s="163"/>
      <c r="AP164" s="163" t="s">
        <v>504</v>
      </c>
      <c r="AQ164" s="163"/>
      <c r="AR164" s="164" t="s">
        <v>377</v>
      </c>
      <c r="AS164" s="163" t="s">
        <v>337</v>
      </c>
      <c r="AT164" s="163">
        <v>1435</v>
      </c>
      <c r="AU164" s="163" t="s">
        <v>515</v>
      </c>
      <c r="AV164" s="163">
        <v>6</v>
      </c>
      <c r="AW164" s="163">
        <v>7</v>
      </c>
      <c r="AX164" s="168"/>
      <c r="AY164" s="166">
        <v>1</v>
      </c>
      <c r="AZ164" s="166" t="s">
        <v>338</v>
      </c>
    </row>
    <row r="165" spans="38:52" x14ac:dyDescent="0.25">
      <c r="AL165" s="15" t="s">
        <v>519</v>
      </c>
      <c r="AM165" s="15" t="s">
        <v>320</v>
      </c>
      <c r="AN165" s="171">
        <v>7.625</v>
      </c>
      <c r="AO165" s="163"/>
      <c r="AP165" s="163" t="s">
        <v>504</v>
      </c>
      <c r="AQ165" s="163"/>
      <c r="AR165" s="164" t="s">
        <v>377</v>
      </c>
      <c r="AS165" s="163" t="s">
        <v>323</v>
      </c>
      <c r="AT165" s="163">
        <v>1247</v>
      </c>
      <c r="AU165" s="163" t="s">
        <v>515</v>
      </c>
      <c r="AV165" s="163">
        <v>6</v>
      </c>
      <c r="AW165" s="163">
        <v>7</v>
      </c>
      <c r="AX165" s="168"/>
      <c r="AY165" s="166">
        <v>1</v>
      </c>
      <c r="AZ165" s="166" t="s">
        <v>338</v>
      </c>
    </row>
    <row r="166" spans="38:52" x14ac:dyDescent="0.25">
      <c r="AL166" s="15" t="s">
        <v>520</v>
      </c>
      <c r="AM166" s="15" t="s">
        <v>320</v>
      </c>
      <c r="AN166" s="171">
        <v>7.625</v>
      </c>
      <c r="AO166" s="163"/>
      <c r="AP166" s="163" t="s">
        <v>521</v>
      </c>
      <c r="AQ166" s="163"/>
      <c r="AR166" s="164" t="s">
        <v>330</v>
      </c>
      <c r="AS166" s="163" t="s">
        <v>522</v>
      </c>
      <c r="AT166" s="163">
        <v>3429</v>
      </c>
      <c r="AU166" s="163" t="s">
        <v>515</v>
      </c>
      <c r="AV166" s="163">
        <v>6</v>
      </c>
      <c r="AW166" s="163"/>
      <c r="AX166" s="168" t="s">
        <v>523</v>
      </c>
      <c r="AY166" s="166">
        <v>1</v>
      </c>
      <c r="AZ166" s="166" t="s">
        <v>326</v>
      </c>
    </row>
    <row r="167" spans="38:52" x14ac:dyDescent="0.25">
      <c r="AL167" s="15" t="s">
        <v>524</v>
      </c>
      <c r="AM167" s="15" t="s">
        <v>320</v>
      </c>
      <c r="AN167" s="171">
        <v>7.625</v>
      </c>
      <c r="AO167" s="163"/>
      <c r="AP167" s="163" t="s">
        <v>504</v>
      </c>
      <c r="AQ167" s="163"/>
      <c r="AR167" s="164" t="s">
        <v>330</v>
      </c>
      <c r="AS167" s="163" t="s">
        <v>525</v>
      </c>
      <c r="AT167" s="163">
        <v>2062</v>
      </c>
      <c r="AU167" s="163" t="s">
        <v>515</v>
      </c>
      <c r="AV167" s="163">
        <v>6</v>
      </c>
      <c r="AW167" s="163">
        <v>7</v>
      </c>
      <c r="AX167" s="168"/>
      <c r="AY167" s="166">
        <v>1</v>
      </c>
      <c r="AZ167" s="166" t="s">
        <v>338</v>
      </c>
    </row>
    <row r="168" spans="38:52" x14ac:dyDescent="0.25">
      <c r="AL168" s="15" t="s">
        <v>526</v>
      </c>
      <c r="AM168" s="15" t="s">
        <v>320</v>
      </c>
      <c r="AN168" s="171">
        <v>7.625</v>
      </c>
      <c r="AO168" s="163"/>
      <c r="AP168" s="163" t="s">
        <v>504</v>
      </c>
      <c r="AQ168" s="163"/>
      <c r="AR168" s="164" t="s">
        <v>330</v>
      </c>
      <c r="AS168" s="163" t="s">
        <v>411</v>
      </c>
      <c r="AT168" s="163">
        <v>2713</v>
      </c>
      <c r="AU168" s="163" t="s">
        <v>515</v>
      </c>
      <c r="AV168" s="163">
        <v>6</v>
      </c>
      <c r="AW168" s="163">
        <v>7</v>
      </c>
      <c r="AX168" s="168"/>
      <c r="AY168" s="166">
        <v>1</v>
      </c>
      <c r="AZ168" s="166" t="s">
        <v>338</v>
      </c>
    </row>
    <row r="169" spans="38:52" x14ac:dyDescent="0.25">
      <c r="AL169" s="15" t="s">
        <v>527</v>
      </c>
      <c r="AM169" s="15" t="s">
        <v>320</v>
      </c>
      <c r="AN169" s="171">
        <v>7.625</v>
      </c>
      <c r="AO169" s="163"/>
      <c r="AP169" s="163" t="s">
        <v>504</v>
      </c>
      <c r="AQ169" s="163"/>
      <c r="AR169" s="164" t="s">
        <v>330</v>
      </c>
      <c r="AS169" s="163" t="s">
        <v>337</v>
      </c>
      <c r="AT169" s="163">
        <v>2326</v>
      </c>
      <c r="AU169" s="163" t="s">
        <v>515</v>
      </c>
      <c r="AV169" s="163">
        <v>6</v>
      </c>
      <c r="AW169" s="163">
        <v>7</v>
      </c>
      <c r="AX169" s="168"/>
      <c r="AY169" s="166">
        <v>1</v>
      </c>
      <c r="AZ169" s="166" t="s">
        <v>338</v>
      </c>
    </row>
    <row r="170" spans="38:52" x14ac:dyDescent="0.25">
      <c r="AL170" s="15" t="s">
        <v>528</v>
      </c>
      <c r="AM170" s="15" t="s">
        <v>320</v>
      </c>
      <c r="AN170" s="171">
        <v>7.625</v>
      </c>
      <c r="AO170" s="163"/>
      <c r="AP170" s="163" t="s">
        <v>504</v>
      </c>
      <c r="AQ170" s="163"/>
      <c r="AR170" s="164" t="s">
        <v>330</v>
      </c>
      <c r="AS170" s="163" t="s">
        <v>529</v>
      </c>
      <c r="AT170" s="163">
        <v>2150</v>
      </c>
      <c r="AU170" s="163" t="s">
        <v>515</v>
      </c>
      <c r="AV170" s="163">
        <v>6</v>
      </c>
      <c r="AW170" s="163">
        <v>7</v>
      </c>
      <c r="AX170" s="168"/>
      <c r="AY170" s="166">
        <v>1</v>
      </c>
      <c r="AZ170" s="166" t="s">
        <v>326</v>
      </c>
    </row>
    <row r="171" spans="38:52" x14ac:dyDescent="0.25">
      <c r="AL171" s="166" t="s">
        <v>530</v>
      </c>
      <c r="AM171" s="166" t="s">
        <v>320</v>
      </c>
      <c r="AN171" s="172">
        <v>7.875</v>
      </c>
      <c r="AO171" s="165"/>
      <c r="AP171" s="165" t="s">
        <v>504</v>
      </c>
      <c r="AQ171" s="165"/>
      <c r="AR171" s="167" t="s">
        <v>531</v>
      </c>
      <c r="AS171" s="165" t="s">
        <v>411</v>
      </c>
      <c r="AT171" s="165">
        <v>1940</v>
      </c>
      <c r="AU171" s="165" t="s">
        <v>515</v>
      </c>
      <c r="AV171" s="165">
        <v>6</v>
      </c>
      <c r="AW171" s="165"/>
      <c r="AX171" s="168" t="s">
        <v>532</v>
      </c>
      <c r="AY171" s="166">
        <v>1</v>
      </c>
      <c r="AZ171" s="166" t="s">
        <v>326</v>
      </c>
    </row>
    <row r="172" spans="38:52" x14ac:dyDescent="0.25">
      <c r="AL172" s="15" t="s">
        <v>533</v>
      </c>
      <c r="AM172" s="166" t="s">
        <v>320</v>
      </c>
      <c r="AN172" s="163">
        <v>8</v>
      </c>
      <c r="AO172" s="163"/>
      <c r="AP172" s="163" t="s">
        <v>534</v>
      </c>
      <c r="AQ172" s="163"/>
      <c r="AR172" s="164" t="s">
        <v>362</v>
      </c>
      <c r="AS172" s="163" t="s">
        <v>411</v>
      </c>
      <c r="AT172" s="163">
        <v>1675</v>
      </c>
      <c r="AU172" s="163" t="s">
        <v>515</v>
      </c>
      <c r="AV172" s="163">
        <v>6</v>
      </c>
      <c r="AW172" s="163">
        <v>7</v>
      </c>
      <c r="AX172" s="168" t="s">
        <v>535</v>
      </c>
      <c r="AY172" s="166">
        <v>1</v>
      </c>
      <c r="AZ172" s="166" t="s">
        <v>536</v>
      </c>
    </row>
    <row r="173" spans="38:52" x14ac:dyDescent="0.25">
      <c r="AL173" s="15" t="s">
        <v>537</v>
      </c>
      <c r="AM173" s="15" t="s">
        <v>320</v>
      </c>
      <c r="AN173" s="163">
        <v>8</v>
      </c>
      <c r="AO173" s="163"/>
      <c r="AP173" s="163" t="s">
        <v>534</v>
      </c>
      <c r="AQ173" s="163"/>
      <c r="AR173" s="164" t="s">
        <v>362</v>
      </c>
      <c r="AS173" s="163" t="s">
        <v>411</v>
      </c>
      <c r="AT173" s="163">
        <v>1675</v>
      </c>
      <c r="AU173" s="163" t="s">
        <v>515</v>
      </c>
      <c r="AV173" s="163">
        <v>6</v>
      </c>
      <c r="AW173" s="163">
        <v>7</v>
      </c>
      <c r="AX173" s="168" t="s">
        <v>538</v>
      </c>
      <c r="AY173" s="166">
        <v>1</v>
      </c>
      <c r="AZ173" s="166" t="s">
        <v>338</v>
      </c>
    </row>
    <row r="174" spans="38:52" x14ac:dyDescent="0.25">
      <c r="AL174" s="15" t="s">
        <v>539</v>
      </c>
      <c r="AM174" s="15" t="s">
        <v>320</v>
      </c>
      <c r="AN174" s="171">
        <v>8.625</v>
      </c>
      <c r="AO174" s="163"/>
      <c r="AP174" s="163" t="s">
        <v>504</v>
      </c>
      <c r="AQ174" s="163"/>
      <c r="AR174" s="164" t="s">
        <v>540</v>
      </c>
      <c r="AS174" s="163" t="s">
        <v>411</v>
      </c>
      <c r="AT174" s="163">
        <v>2973</v>
      </c>
      <c r="AU174" s="163" t="s">
        <v>515</v>
      </c>
      <c r="AV174" s="163">
        <v>7</v>
      </c>
      <c r="AW174" s="171">
        <v>7.75</v>
      </c>
      <c r="AX174" s="168" t="s">
        <v>541</v>
      </c>
      <c r="AY174" s="166">
        <v>1</v>
      </c>
      <c r="AZ174" s="166" t="s">
        <v>338</v>
      </c>
    </row>
    <row r="175" spans="38:52" x14ac:dyDescent="0.25">
      <c r="AL175" s="166" t="s">
        <v>542</v>
      </c>
      <c r="AM175" s="166" t="s">
        <v>320</v>
      </c>
      <c r="AN175" s="172">
        <v>8.625</v>
      </c>
      <c r="AO175" s="165" t="s">
        <v>543</v>
      </c>
      <c r="AP175" s="165" t="s">
        <v>544</v>
      </c>
      <c r="AQ175" s="165" t="s">
        <v>544</v>
      </c>
      <c r="AR175" s="167" t="s">
        <v>377</v>
      </c>
      <c r="AS175" s="165" t="s">
        <v>323</v>
      </c>
      <c r="AT175" s="165">
        <v>1100</v>
      </c>
      <c r="AU175" s="165" t="s">
        <v>545</v>
      </c>
      <c r="AV175" s="165">
        <v>3</v>
      </c>
      <c r="AW175" s="165">
        <v>4</v>
      </c>
      <c r="AX175" s="168" t="s">
        <v>378</v>
      </c>
      <c r="AY175" s="166"/>
      <c r="AZ175" s="166"/>
    </row>
    <row r="176" spans="38:52" hidden="1" x14ac:dyDescent="0.25">
      <c r="AL176" s="15" t="s">
        <v>546</v>
      </c>
      <c r="AM176" s="15" t="s">
        <v>320</v>
      </c>
      <c r="AN176" s="171">
        <v>8.625</v>
      </c>
      <c r="AO176" s="163"/>
      <c r="AP176" s="163" t="s">
        <v>504</v>
      </c>
      <c r="AQ176" s="163"/>
      <c r="AR176" s="164" t="s">
        <v>377</v>
      </c>
      <c r="AS176" s="163" t="s">
        <v>337</v>
      </c>
      <c r="AT176" s="163">
        <v>1800</v>
      </c>
      <c r="AU176" s="163" t="s">
        <v>515</v>
      </c>
      <c r="AV176" s="163">
        <v>7</v>
      </c>
      <c r="AW176" s="171">
        <v>7.75</v>
      </c>
      <c r="AX176" s="168"/>
      <c r="AY176" s="166">
        <v>1</v>
      </c>
      <c r="AZ176" s="166" t="s">
        <v>326</v>
      </c>
    </row>
    <row r="177" spans="38:52" x14ac:dyDescent="0.25">
      <c r="AL177" s="15" t="s">
        <v>547</v>
      </c>
      <c r="AM177" s="15" t="s">
        <v>320</v>
      </c>
      <c r="AN177" s="171">
        <v>8.625</v>
      </c>
      <c r="AO177" s="163"/>
      <c r="AP177" s="163" t="s">
        <v>504</v>
      </c>
      <c r="AQ177" s="163"/>
      <c r="AR177" s="164" t="s">
        <v>377</v>
      </c>
      <c r="AS177" s="163" t="s">
        <v>323</v>
      </c>
      <c r="AT177" s="163">
        <v>1500</v>
      </c>
      <c r="AU177" s="163" t="s">
        <v>515</v>
      </c>
      <c r="AV177" s="163">
        <v>7</v>
      </c>
      <c r="AW177" s="163">
        <v>8</v>
      </c>
      <c r="AX177" s="168" t="s">
        <v>548</v>
      </c>
      <c r="AY177" s="166">
        <v>1</v>
      </c>
      <c r="AZ177" s="166" t="s">
        <v>338</v>
      </c>
    </row>
    <row r="178" spans="38:52" hidden="1" x14ac:dyDescent="0.25">
      <c r="AL178" s="166" t="s">
        <v>549</v>
      </c>
      <c r="AM178" s="166" t="s">
        <v>320</v>
      </c>
      <c r="AN178" s="172">
        <v>8.625</v>
      </c>
      <c r="AO178" s="165"/>
      <c r="AP178" s="165" t="s">
        <v>550</v>
      </c>
      <c r="AQ178" s="165"/>
      <c r="AR178" s="167" t="s">
        <v>330</v>
      </c>
      <c r="AS178" s="165" t="s">
        <v>337</v>
      </c>
      <c r="AT178" s="165">
        <v>3182</v>
      </c>
      <c r="AU178" s="165" t="s">
        <v>515</v>
      </c>
      <c r="AV178" s="165">
        <v>8</v>
      </c>
      <c r="AW178" s="165" t="s">
        <v>551</v>
      </c>
      <c r="AX178" s="168" t="s">
        <v>552</v>
      </c>
      <c r="AY178" s="166">
        <v>1</v>
      </c>
      <c r="AZ178" s="166" t="s">
        <v>326</v>
      </c>
    </row>
    <row r="179" spans="38:52" hidden="1" x14ac:dyDescent="0.25">
      <c r="AL179" s="166" t="s">
        <v>553</v>
      </c>
      <c r="AM179" s="166" t="s">
        <v>320</v>
      </c>
      <c r="AN179" s="172">
        <v>8.625</v>
      </c>
      <c r="AO179" s="165"/>
      <c r="AP179" s="165" t="s">
        <v>504</v>
      </c>
      <c r="AQ179" s="165"/>
      <c r="AR179" s="167" t="s">
        <v>330</v>
      </c>
      <c r="AS179" s="165" t="s">
        <v>522</v>
      </c>
      <c r="AT179" s="165">
        <v>3429</v>
      </c>
      <c r="AU179" s="165" t="s">
        <v>515</v>
      </c>
      <c r="AV179" s="165">
        <v>7</v>
      </c>
      <c r="AW179" s="165"/>
      <c r="AX179" s="168" t="s">
        <v>523</v>
      </c>
      <c r="AY179" s="166">
        <v>1</v>
      </c>
      <c r="AZ179" s="166" t="s">
        <v>326</v>
      </c>
    </row>
    <row r="180" spans="38:52" hidden="1" x14ac:dyDescent="0.25">
      <c r="AL180" s="15" t="s">
        <v>554</v>
      </c>
      <c r="AM180" s="15" t="s">
        <v>320</v>
      </c>
      <c r="AN180" s="171">
        <v>8.625</v>
      </c>
      <c r="AO180" s="163"/>
      <c r="AP180" s="163" t="s">
        <v>504</v>
      </c>
      <c r="AQ180" s="163"/>
      <c r="AR180" s="164" t="s">
        <v>330</v>
      </c>
      <c r="AS180" s="163" t="s">
        <v>337</v>
      </c>
      <c r="AT180" s="163">
        <v>2300</v>
      </c>
      <c r="AU180" s="163" t="s">
        <v>515</v>
      </c>
      <c r="AV180" s="163">
        <v>7</v>
      </c>
      <c r="AW180" s="171">
        <v>7.75</v>
      </c>
      <c r="AX180" s="168"/>
      <c r="AY180" s="166">
        <v>1</v>
      </c>
      <c r="AZ180" s="166" t="s">
        <v>338</v>
      </c>
    </row>
    <row r="181" spans="38:52" hidden="1" x14ac:dyDescent="0.25">
      <c r="AL181" s="15" t="s">
        <v>555</v>
      </c>
      <c r="AM181" s="15" t="s">
        <v>320</v>
      </c>
      <c r="AN181" s="171">
        <v>8.625</v>
      </c>
      <c r="AO181" s="163"/>
      <c r="AP181" s="163" t="s">
        <v>504</v>
      </c>
      <c r="AQ181" s="163"/>
      <c r="AR181" s="164" t="s">
        <v>330</v>
      </c>
      <c r="AS181" s="163" t="s">
        <v>529</v>
      </c>
      <c r="AT181" s="163">
        <v>2566</v>
      </c>
      <c r="AU181" s="163" t="s">
        <v>515</v>
      </c>
      <c r="AV181" s="163">
        <v>7</v>
      </c>
      <c r="AW181" s="171">
        <v>7.75</v>
      </c>
      <c r="AX181" s="168"/>
      <c r="AY181" s="166">
        <v>1</v>
      </c>
      <c r="AZ181" s="166" t="s">
        <v>405</v>
      </c>
    </row>
    <row r="182" spans="38:52" hidden="1" x14ac:dyDescent="0.25">
      <c r="AL182" s="15" t="s">
        <v>556</v>
      </c>
      <c r="AM182" s="15" t="s">
        <v>320</v>
      </c>
      <c r="AN182" s="171">
        <v>8.625</v>
      </c>
      <c r="AO182" s="163"/>
      <c r="AP182" s="163" t="s">
        <v>504</v>
      </c>
      <c r="AQ182" s="163"/>
      <c r="AR182" s="164" t="s">
        <v>330</v>
      </c>
      <c r="AS182" s="163" t="s">
        <v>337</v>
      </c>
      <c r="AT182" s="163">
        <v>2800</v>
      </c>
      <c r="AU182" s="163" t="s">
        <v>515</v>
      </c>
      <c r="AV182" s="163">
        <v>7</v>
      </c>
      <c r="AW182" s="171">
        <v>7.75</v>
      </c>
      <c r="AX182" s="168"/>
      <c r="AY182" s="166">
        <v>1</v>
      </c>
      <c r="AZ182" s="166" t="s">
        <v>326</v>
      </c>
    </row>
    <row r="183" spans="38:52" hidden="1" x14ac:dyDescent="0.25">
      <c r="AL183" s="15" t="s">
        <v>557</v>
      </c>
      <c r="AM183" s="15" t="s">
        <v>320</v>
      </c>
      <c r="AN183" s="163">
        <v>9</v>
      </c>
      <c r="AO183" s="163"/>
      <c r="AP183" s="163" t="s">
        <v>504</v>
      </c>
      <c r="AQ183" s="163"/>
      <c r="AR183" s="164" t="s">
        <v>362</v>
      </c>
      <c r="AS183" s="163" t="s">
        <v>411</v>
      </c>
      <c r="AT183" s="163">
        <v>1961</v>
      </c>
      <c r="AU183" s="163" t="s">
        <v>515</v>
      </c>
      <c r="AV183" s="163">
        <v>7</v>
      </c>
      <c r="AW183" s="171">
        <v>7.75</v>
      </c>
      <c r="AX183" s="168" t="s">
        <v>535</v>
      </c>
      <c r="AY183" s="166">
        <v>1</v>
      </c>
      <c r="AZ183" s="166" t="s">
        <v>338</v>
      </c>
    </row>
    <row r="184" spans="38:52" hidden="1" x14ac:dyDescent="0.25">
      <c r="AL184" s="15" t="s">
        <v>558</v>
      </c>
      <c r="AM184" s="166" t="s">
        <v>320</v>
      </c>
      <c r="AN184" s="171">
        <v>9.625</v>
      </c>
      <c r="AO184" s="163"/>
      <c r="AP184" s="163" t="s">
        <v>504</v>
      </c>
      <c r="AQ184" s="163"/>
      <c r="AR184" s="164" t="s">
        <v>377</v>
      </c>
      <c r="AS184" s="163" t="s">
        <v>323</v>
      </c>
      <c r="AT184" s="163">
        <v>1500</v>
      </c>
      <c r="AU184" s="163" t="s">
        <v>515</v>
      </c>
      <c r="AV184" s="163">
        <v>7</v>
      </c>
      <c r="AW184" s="171">
        <v>7.75</v>
      </c>
      <c r="AX184" s="168" t="s">
        <v>559</v>
      </c>
      <c r="AY184" s="166">
        <v>1</v>
      </c>
      <c r="AZ184" s="166" t="s">
        <v>326</v>
      </c>
    </row>
    <row r="185" spans="38:52" hidden="1" x14ac:dyDescent="0.25">
      <c r="AL185" s="15" t="s">
        <v>560</v>
      </c>
      <c r="AM185" s="15" t="s">
        <v>320</v>
      </c>
      <c r="AN185" s="171">
        <v>9.625</v>
      </c>
      <c r="AO185" s="163"/>
      <c r="AP185" s="163" t="s">
        <v>504</v>
      </c>
      <c r="AQ185" s="163"/>
      <c r="AR185" s="164" t="s">
        <v>330</v>
      </c>
      <c r="AS185" s="163" t="s">
        <v>522</v>
      </c>
      <c r="AT185" s="163">
        <v>3545</v>
      </c>
      <c r="AU185" s="163" t="s">
        <v>515</v>
      </c>
      <c r="AV185" s="163">
        <v>7</v>
      </c>
      <c r="AW185" s="163">
        <v>7</v>
      </c>
      <c r="AX185" s="168" t="s">
        <v>523</v>
      </c>
      <c r="AY185" s="166">
        <v>1</v>
      </c>
      <c r="AZ185" s="166" t="s">
        <v>338</v>
      </c>
    </row>
    <row r="186" spans="38:52" hidden="1" x14ac:dyDescent="0.25">
      <c r="AL186" s="15" t="s">
        <v>561</v>
      </c>
      <c r="AM186" s="15" t="s">
        <v>320</v>
      </c>
      <c r="AN186" s="171">
        <v>9.625</v>
      </c>
      <c r="AO186" s="163"/>
      <c r="AP186" s="163" t="s">
        <v>504</v>
      </c>
      <c r="AQ186" s="163"/>
      <c r="AR186" s="164" t="s">
        <v>330</v>
      </c>
      <c r="AS186" s="163" t="s">
        <v>522</v>
      </c>
      <c r="AT186" s="163">
        <v>4204</v>
      </c>
      <c r="AU186" s="163" t="s">
        <v>515</v>
      </c>
      <c r="AV186" s="163">
        <v>7</v>
      </c>
      <c r="AW186" s="163"/>
      <c r="AX186" s="168" t="s">
        <v>523</v>
      </c>
      <c r="AY186" s="166">
        <v>1</v>
      </c>
      <c r="AZ186" s="166" t="s">
        <v>562</v>
      </c>
    </row>
    <row r="187" spans="38:52" hidden="1" x14ac:dyDescent="0.25">
      <c r="AL187" s="15" t="s">
        <v>563</v>
      </c>
      <c r="AM187" s="15" t="s">
        <v>320</v>
      </c>
      <c r="AN187" s="171">
        <v>9.625</v>
      </c>
      <c r="AO187" s="163"/>
      <c r="AP187" s="163" t="s">
        <v>504</v>
      </c>
      <c r="AQ187" s="163"/>
      <c r="AR187" s="164" t="s">
        <v>436</v>
      </c>
      <c r="AS187" s="163" t="s">
        <v>411</v>
      </c>
      <c r="AT187" s="163">
        <v>3000</v>
      </c>
      <c r="AU187" s="163" t="s">
        <v>515</v>
      </c>
      <c r="AV187" s="163">
        <v>7</v>
      </c>
      <c r="AW187" s="171">
        <v>7.75</v>
      </c>
      <c r="AX187" s="168" t="s">
        <v>535</v>
      </c>
      <c r="AY187" s="166">
        <v>1</v>
      </c>
      <c r="AZ187" s="166" t="s">
        <v>326</v>
      </c>
    </row>
    <row r="188" spans="38:52" hidden="1" x14ac:dyDescent="0.25">
      <c r="AL188" s="15" t="s">
        <v>564</v>
      </c>
      <c r="AM188" s="15" t="s">
        <v>320</v>
      </c>
      <c r="AN188" s="163">
        <v>10</v>
      </c>
      <c r="AO188" s="163"/>
      <c r="AP188" s="163" t="s">
        <v>565</v>
      </c>
      <c r="AQ188" s="163"/>
      <c r="AR188" s="164" t="s">
        <v>377</v>
      </c>
      <c r="AS188" s="163" t="s">
        <v>525</v>
      </c>
      <c r="AT188" s="163">
        <v>1800</v>
      </c>
      <c r="AU188" s="163" t="s">
        <v>566</v>
      </c>
      <c r="AV188" s="163" t="s">
        <v>567</v>
      </c>
      <c r="AW188" s="163" t="s">
        <v>567</v>
      </c>
      <c r="AX188" s="168" t="s">
        <v>568</v>
      </c>
      <c r="AY188" s="166">
        <v>1</v>
      </c>
      <c r="AZ188" s="166" t="s">
        <v>326</v>
      </c>
    </row>
    <row r="189" spans="38:52" hidden="1" x14ac:dyDescent="0.25">
      <c r="AL189" s="166" t="s">
        <v>569</v>
      </c>
      <c r="AM189" s="166" t="s">
        <v>320</v>
      </c>
      <c r="AN189" s="165">
        <v>10</v>
      </c>
      <c r="AO189" s="165"/>
      <c r="AP189" s="165" t="s">
        <v>570</v>
      </c>
      <c r="AQ189" s="165"/>
      <c r="AR189" s="167" t="s">
        <v>330</v>
      </c>
      <c r="AS189" s="165" t="s">
        <v>337</v>
      </c>
      <c r="AT189" s="165">
        <v>3245</v>
      </c>
      <c r="AU189" s="165" t="s">
        <v>571</v>
      </c>
      <c r="AV189" s="165">
        <v>8</v>
      </c>
      <c r="AW189" s="165"/>
      <c r="AX189" s="168" t="s">
        <v>523</v>
      </c>
      <c r="AY189" s="166">
        <v>1</v>
      </c>
      <c r="AZ189" s="166" t="s">
        <v>326</v>
      </c>
    </row>
    <row r="190" spans="38:52" hidden="1" x14ac:dyDescent="0.25">
      <c r="AL190" s="15" t="s">
        <v>572</v>
      </c>
      <c r="AM190" s="15" t="s">
        <v>320</v>
      </c>
      <c r="AN190" s="163">
        <v>10</v>
      </c>
      <c r="AO190" s="163"/>
      <c r="AP190" s="163" t="s">
        <v>570</v>
      </c>
      <c r="AQ190" s="163"/>
      <c r="AR190" s="164" t="s">
        <v>330</v>
      </c>
      <c r="AS190" s="163" t="s">
        <v>522</v>
      </c>
      <c r="AT190" s="163">
        <v>4204</v>
      </c>
      <c r="AU190" s="163" t="s">
        <v>571</v>
      </c>
      <c r="AV190" s="163">
        <v>8</v>
      </c>
      <c r="AW190" s="163"/>
      <c r="AX190" s="168" t="s">
        <v>523</v>
      </c>
      <c r="AY190" s="166">
        <v>1</v>
      </c>
      <c r="AZ190" s="166" t="s">
        <v>326</v>
      </c>
    </row>
    <row r="191" spans="38:52" hidden="1" x14ac:dyDescent="0.25">
      <c r="AL191" s="15" t="s">
        <v>573</v>
      </c>
      <c r="AM191" s="15" t="s">
        <v>320</v>
      </c>
      <c r="AN191" s="163">
        <v>10</v>
      </c>
      <c r="AO191" s="163"/>
      <c r="AP191" s="163" t="s">
        <v>565</v>
      </c>
      <c r="AQ191" s="163"/>
      <c r="AR191" s="164" t="s">
        <v>330</v>
      </c>
      <c r="AS191" s="163" t="s">
        <v>525</v>
      </c>
      <c r="AT191" s="163">
        <v>2875</v>
      </c>
      <c r="AU191" s="163" t="s">
        <v>566</v>
      </c>
      <c r="AV191" s="163" t="s">
        <v>567</v>
      </c>
      <c r="AW191" s="163" t="s">
        <v>567</v>
      </c>
      <c r="AX191" s="168" t="s">
        <v>568</v>
      </c>
      <c r="AY191" s="166">
        <v>1</v>
      </c>
      <c r="AZ191" s="166" t="s">
        <v>326</v>
      </c>
    </row>
    <row r="192" spans="38:52" hidden="1" x14ac:dyDescent="0.25">
      <c r="AL192" s="15" t="s">
        <v>574</v>
      </c>
      <c r="AM192" s="15" t="s">
        <v>320</v>
      </c>
      <c r="AN192" s="163">
        <v>10</v>
      </c>
      <c r="AO192" s="163"/>
      <c r="AP192" s="163" t="s">
        <v>376</v>
      </c>
      <c r="AQ192" s="163"/>
      <c r="AR192" s="164" t="s">
        <v>336</v>
      </c>
      <c r="AS192" s="163" t="s">
        <v>323</v>
      </c>
      <c r="AT192" s="163">
        <v>1453</v>
      </c>
      <c r="AU192" s="171" t="s">
        <v>353</v>
      </c>
      <c r="AV192" s="163" t="s">
        <v>575</v>
      </c>
      <c r="AW192" s="163"/>
      <c r="AX192" s="168" t="s">
        <v>576</v>
      </c>
      <c r="AY192" s="166">
        <v>1</v>
      </c>
      <c r="AZ192" s="166" t="s">
        <v>338</v>
      </c>
    </row>
    <row r="193" spans="38:52" hidden="1" x14ac:dyDescent="0.25">
      <c r="AL193" s="15" t="s">
        <v>577</v>
      </c>
      <c r="AM193" s="15" t="s">
        <v>320</v>
      </c>
      <c r="AN193" s="171">
        <v>10.75</v>
      </c>
      <c r="AO193" s="163"/>
      <c r="AP193" s="163" t="s">
        <v>578</v>
      </c>
      <c r="AQ193" s="163"/>
      <c r="AR193" s="164" t="s">
        <v>377</v>
      </c>
      <c r="AS193" s="163" t="s">
        <v>323</v>
      </c>
      <c r="AT193" s="163">
        <v>1775</v>
      </c>
      <c r="AU193" s="163" t="s">
        <v>515</v>
      </c>
      <c r="AV193" s="163">
        <v>8</v>
      </c>
      <c r="AW193" s="163"/>
      <c r="AX193" s="168" t="s">
        <v>579</v>
      </c>
      <c r="AY193" s="166">
        <v>1</v>
      </c>
      <c r="AZ193" s="166" t="s">
        <v>326</v>
      </c>
    </row>
    <row r="194" spans="38:52" hidden="1" x14ac:dyDescent="0.25">
      <c r="AL194" s="166" t="s">
        <v>580</v>
      </c>
      <c r="AM194" s="166" t="s">
        <v>320</v>
      </c>
      <c r="AN194" s="172">
        <v>10.75</v>
      </c>
      <c r="AO194" s="165"/>
      <c r="AP194" s="165" t="s">
        <v>581</v>
      </c>
      <c r="AQ194" s="165" t="s">
        <v>581</v>
      </c>
      <c r="AR194" s="167" t="s">
        <v>330</v>
      </c>
      <c r="AS194" s="165" t="s">
        <v>582</v>
      </c>
      <c r="AT194" s="165">
        <v>4000</v>
      </c>
      <c r="AU194" s="165">
        <v>5</v>
      </c>
      <c r="AV194" s="165">
        <v>8</v>
      </c>
      <c r="AW194" s="165" t="s">
        <v>583</v>
      </c>
      <c r="AX194" s="168"/>
      <c r="AY194" s="166">
        <v>1</v>
      </c>
      <c r="AZ194" s="166" t="s">
        <v>326</v>
      </c>
    </row>
    <row r="195" spans="38:52" hidden="1" x14ac:dyDescent="0.25">
      <c r="AL195" s="166" t="s">
        <v>584</v>
      </c>
      <c r="AM195" s="166" t="s">
        <v>320</v>
      </c>
      <c r="AN195" s="172">
        <v>10.75</v>
      </c>
      <c r="AO195" s="165"/>
      <c r="AP195" s="165" t="s">
        <v>570</v>
      </c>
      <c r="AQ195" s="165"/>
      <c r="AR195" s="167" t="s">
        <v>330</v>
      </c>
      <c r="AS195" s="165" t="s">
        <v>585</v>
      </c>
      <c r="AT195" s="165">
        <v>3775</v>
      </c>
      <c r="AU195" s="165" t="s">
        <v>571</v>
      </c>
      <c r="AV195" s="165">
        <v>8</v>
      </c>
      <c r="AW195" s="165"/>
      <c r="AX195" s="168" t="s">
        <v>586</v>
      </c>
      <c r="AY195" s="166">
        <v>1</v>
      </c>
      <c r="AZ195" s="166" t="s">
        <v>326</v>
      </c>
    </row>
    <row r="196" spans="38:52" hidden="1" x14ac:dyDescent="0.25">
      <c r="AL196" s="166" t="s">
        <v>587</v>
      </c>
      <c r="AM196" s="166" t="s">
        <v>320</v>
      </c>
      <c r="AN196" s="172">
        <v>10.75</v>
      </c>
      <c r="AO196" s="165"/>
      <c r="AP196" s="165" t="s">
        <v>570</v>
      </c>
      <c r="AQ196" s="165"/>
      <c r="AR196" s="167" t="s">
        <v>330</v>
      </c>
      <c r="AS196" s="165" t="s">
        <v>337</v>
      </c>
      <c r="AT196" s="165">
        <v>3550</v>
      </c>
      <c r="AU196" s="165" t="s">
        <v>571</v>
      </c>
      <c r="AV196" s="165">
        <v>8</v>
      </c>
      <c r="AW196" s="165"/>
      <c r="AX196" s="168" t="s">
        <v>523</v>
      </c>
      <c r="AY196" s="166">
        <v>1</v>
      </c>
      <c r="AZ196" s="166" t="s">
        <v>326</v>
      </c>
    </row>
    <row r="197" spans="38:52" hidden="1" x14ac:dyDescent="0.25">
      <c r="AL197" s="166" t="s">
        <v>588</v>
      </c>
      <c r="AM197" s="166" t="s">
        <v>320</v>
      </c>
      <c r="AN197" s="172">
        <v>10.75</v>
      </c>
      <c r="AO197" s="165"/>
      <c r="AP197" s="165" t="s">
        <v>570</v>
      </c>
      <c r="AQ197" s="165"/>
      <c r="AR197" s="167" t="s">
        <v>330</v>
      </c>
      <c r="AS197" s="165" t="s">
        <v>522</v>
      </c>
      <c r="AT197" s="165">
        <v>4642</v>
      </c>
      <c r="AU197" s="165" t="s">
        <v>571</v>
      </c>
      <c r="AV197" s="165">
        <v>8</v>
      </c>
      <c r="AW197" s="165"/>
      <c r="AX197" s="168" t="s">
        <v>523</v>
      </c>
      <c r="AY197" s="166">
        <v>1</v>
      </c>
      <c r="AZ197" s="166" t="s">
        <v>326</v>
      </c>
    </row>
    <row r="198" spans="38:52" hidden="1" x14ac:dyDescent="0.25">
      <c r="AL198" s="15" t="s">
        <v>589</v>
      </c>
      <c r="AM198" s="15" t="s">
        <v>320</v>
      </c>
      <c r="AN198" s="171">
        <v>10.75</v>
      </c>
      <c r="AO198" s="163"/>
      <c r="AP198" s="163" t="s">
        <v>570</v>
      </c>
      <c r="AQ198" s="163"/>
      <c r="AR198" s="164" t="s">
        <v>330</v>
      </c>
      <c r="AS198" s="163" t="s">
        <v>529</v>
      </c>
      <c r="AT198" s="163">
        <v>3330</v>
      </c>
      <c r="AU198" s="163" t="s">
        <v>571</v>
      </c>
      <c r="AV198" s="163">
        <v>8</v>
      </c>
      <c r="AW198" s="163">
        <v>10</v>
      </c>
      <c r="AX198" s="168"/>
      <c r="AY198" s="166">
        <v>1</v>
      </c>
      <c r="AZ198" s="166" t="s">
        <v>338</v>
      </c>
    </row>
    <row r="199" spans="38:52" hidden="1" x14ac:dyDescent="0.25">
      <c r="AL199" s="15" t="s">
        <v>590</v>
      </c>
      <c r="AM199" s="15" t="s">
        <v>320</v>
      </c>
      <c r="AN199" s="171">
        <v>10.75</v>
      </c>
      <c r="AO199" s="163"/>
      <c r="AP199" s="163" t="s">
        <v>570</v>
      </c>
      <c r="AQ199" s="163"/>
      <c r="AR199" s="164" t="s">
        <v>531</v>
      </c>
      <c r="AS199" s="163" t="s">
        <v>337</v>
      </c>
      <c r="AT199" s="163">
        <v>2650</v>
      </c>
      <c r="AU199" s="163" t="s">
        <v>571</v>
      </c>
      <c r="AV199" s="163">
        <v>8</v>
      </c>
      <c r="AW199" s="163">
        <v>10</v>
      </c>
      <c r="AX199" s="168"/>
      <c r="AY199" s="166">
        <v>1</v>
      </c>
      <c r="AZ199" s="166" t="s">
        <v>338</v>
      </c>
    </row>
    <row r="200" spans="38:52" hidden="1" x14ac:dyDescent="0.25">
      <c r="AL200" s="15" t="s">
        <v>591</v>
      </c>
      <c r="AM200" s="15" t="s">
        <v>320</v>
      </c>
      <c r="AN200" s="163">
        <v>12</v>
      </c>
      <c r="AO200" s="163"/>
      <c r="AP200" s="163" t="s">
        <v>565</v>
      </c>
      <c r="AQ200" s="163"/>
      <c r="AR200" s="164" t="s">
        <v>377</v>
      </c>
      <c r="AS200" s="163" t="s">
        <v>525</v>
      </c>
      <c r="AT200" s="163">
        <v>2200</v>
      </c>
      <c r="AU200" s="163" t="s">
        <v>566</v>
      </c>
      <c r="AV200" s="163" t="s">
        <v>592</v>
      </c>
      <c r="AW200" s="163" t="s">
        <v>592</v>
      </c>
      <c r="AX200" s="168" t="s">
        <v>568</v>
      </c>
      <c r="AY200" s="166">
        <v>1</v>
      </c>
      <c r="AZ200" s="166" t="s">
        <v>326</v>
      </c>
    </row>
    <row r="201" spans="38:52" hidden="1" x14ac:dyDescent="0.25">
      <c r="AL201" s="15" t="s">
        <v>593</v>
      </c>
      <c r="AM201" s="15" t="s">
        <v>320</v>
      </c>
      <c r="AN201" s="163">
        <v>12</v>
      </c>
      <c r="AO201" s="163"/>
      <c r="AP201" s="163" t="s">
        <v>565</v>
      </c>
      <c r="AQ201" s="163"/>
      <c r="AR201" s="164" t="s">
        <v>330</v>
      </c>
      <c r="AS201" s="163" t="s">
        <v>525</v>
      </c>
      <c r="AT201" s="163">
        <v>3500</v>
      </c>
      <c r="AU201" s="163" t="s">
        <v>566</v>
      </c>
      <c r="AV201" s="163" t="s">
        <v>592</v>
      </c>
      <c r="AW201" s="163" t="s">
        <v>592</v>
      </c>
      <c r="AX201" s="168" t="s">
        <v>568</v>
      </c>
      <c r="AY201" s="166">
        <v>1</v>
      </c>
      <c r="AZ201" s="166" t="s">
        <v>326</v>
      </c>
    </row>
    <row r="202" spans="38:52" hidden="1" x14ac:dyDescent="0.25">
      <c r="AL202" s="15" t="s">
        <v>594</v>
      </c>
      <c r="AM202" s="15" t="s">
        <v>320</v>
      </c>
      <c r="AN202" s="163">
        <v>12</v>
      </c>
      <c r="AO202" s="163"/>
      <c r="AP202" s="163" t="s">
        <v>376</v>
      </c>
      <c r="AQ202" s="163"/>
      <c r="AR202" s="164" t="s">
        <v>336</v>
      </c>
      <c r="AS202" s="163" t="s">
        <v>323</v>
      </c>
      <c r="AT202" s="163">
        <v>1662</v>
      </c>
      <c r="AU202" s="171" t="s">
        <v>353</v>
      </c>
      <c r="AV202" s="163" t="s">
        <v>575</v>
      </c>
      <c r="AW202" s="163"/>
      <c r="AX202" s="168" t="s">
        <v>576</v>
      </c>
      <c r="AY202" s="166">
        <v>1</v>
      </c>
      <c r="AZ202" s="166" t="s">
        <v>338</v>
      </c>
    </row>
    <row r="203" spans="38:52" hidden="1" x14ac:dyDescent="0.25">
      <c r="AL203" s="166" t="s">
        <v>595</v>
      </c>
      <c r="AM203" s="166" t="s">
        <v>320</v>
      </c>
      <c r="AN203" s="165" t="s">
        <v>596</v>
      </c>
      <c r="AO203" s="165"/>
      <c r="AP203" s="165" t="s">
        <v>597</v>
      </c>
      <c r="AQ203" s="165"/>
      <c r="AR203" s="167" t="s">
        <v>330</v>
      </c>
      <c r="AS203" s="165" t="s">
        <v>582</v>
      </c>
      <c r="AT203" s="165">
        <v>3700</v>
      </c>
      <c r="AU203" s="165" t="s">
        <v>571</v>
      </c>
      <c r="AV203" s="165">
        <v>8</v>
      </c>
      <c r="AW203" s="165">
        <v>8</v>
      </c>
      <c r="AX203" s="168" t="s">
        <v>598</v>
      </c>
      <c r="AY203" s="166">
        <v>1</v>
      </c>
      <c r="AZ203" s="166" t="s">
        <v>326</v>
      </c>
    </row>
    <row r="204" spans="38:52" hidden="1" x14ac:dyDescent="0.25">
      <c r="AL204" s="166" t="s">
        <v>599</v>
      </c>
      <c r="AM204" s="166" t="s">
        <v>320</v>
      </c>
      <c r="AN204" s="165" t="s">
        <v>600</v>
      </c>
      <c r="AO204" s="165"/>
      <c r="AP204" s="165" t="s">
        <v>581</v>
      </c>
      <c r="AQ204" s="165" t="s">
        <v>570</v>
      </c>
      <c r="AR204" s="167"/>
      <c r="AS204" s="165" t="s">
        <v>601</v>
      </c>
      <c r="AT204" s="165">
        <v>4000</v>
      </c>
      <c r="AU204" s="165" t="s">
        <v>602</v>
      </c>
      <c r="AV204" s="165">
        <v>9</v>
      </c>
      <c r="AW204" s="165" t="s">
        <v>583</v>
      </c>
      <c r="AX204" s="168" t="s">
        <v>603</v>
      </c>
      <c r="AY204" s="166">
        <v>1</v>
      </c>
      <c r="AZ204" s="166" t="s">
        <v>326</v>
      </c>
    </row>
    <row r="205" spans="38:52" hidden="1" x14ac:dyDescent="0.25">
      <c r="AL205" s="15" t="s">
        <v>604</v>
      </c>
      <c r="AM205" s="15" t="s">
        <v>320</v>
      </c>
      <c r="AN205" s="163" t="s">
        <v>354</v>
      </c>
      <c r="AO205" s="163"/>
      <c r="AP205" s="163" t="s">
        <v>335</v>
      </c>
      <c r="AQ205" s="163"/>
      <c r="AR205" s="164" t="s">
        <v>605</v>
      </c>
      <c r="AS205" s="163" t="s">
        <v>340</v>
      </c>
      <c r="AT205" s="163">
        <v>260</v>
      </c>
      <c r="AU205" s="171" t="s">
        <v>353</v>
      </c>
      <c r="AV205" s="171">
        <v>2.75</v>
      </c>
      <c r="AW205" s="163" t="s">
        <v>368</v>
      </c>
      <c r="AX205" s="168"/>
      <c r="AY205" s="166">
        <v>1</v>
      </c>
      <c r="AZ205" s="166" t="s">
        <v>338</v>
      </c>
    </row>
    <row r="206" spans="38:52" hidden="1" x14ac:dyDescent="0.25">
      <c r="AL206" s="15" t="s">
        <v>606</v>
      </c>
      <c r="AM206" s="15" t="s">
        <v>320</v>
      </c>
      <c r="AN206" s="163" t="s">
        <v>354</v>
      </c>
      <c r="AO206" s="163"/>
      <c r="AP206" s="163" t="s">
        <v>335</v>
      </c>
      <c r="AQ206" s="163"/>
      <c r="AR206" s="164" t="s">
        <v>607</v>
      </c>
      <c r="AS206" s="163" t="s">
        <v>340</v>
      </c>
      <c r="AT206" s="163">
        <v>300</v>
      </c>
      <c r="AU206" s="171" t="s">
        <v>353</v>
      </c>
      <c r="AV206" s="171">
        <v>2.75</v>
      </c>
      <c r="AW206" s="163" t="s">
        <v>368</v>
      </c>
      <c r="AX206" s="168"/>
      <c r="AY206" s="166">
        <v>1</v>
      </c>
      <c r="AZ206" s="166" t="s">
        <v>326</v>
      </c>
    </row>
    <row r="207" spans="38:52" hidden="1" x14ac:dyDescent="0.25">
      <c r="AL207" s="15" t="s">
        <v>608</v>
      </c>
      <c r="AM207" s="15" t="s">
        <v>320</v>
      </c>
      <c r="AN207" s="163" t="s">
        <v>354</v>
      </c>
      <c r="AO207" s="163"/>
      <c r="AP207" s="163" t="s">
        <v>335</v>
      </c>
      <c r="AQ207" s="163"/>
      <c r="AR207" s="164" t="s">
        <v>607</v>
      </c>
      <c r="AS207" s="163" t="s">
        <v>323</v>
      </c>
      <c r="AT207" s="163">
        <v>365</v>
      </c>
      <c r="AU207" s="171" t="s">
        <v>353</v>
      </c>
      <c r="AV207" s="171">
        <v>2.75</v>
      </c>
      <c r="AW207" s="163" t="s">
        <v>368</v>
      </c>
      <c r="AX207" s="168"/>
      <c r="AY207" s="166">
        <v>1</v>
      </c>
      <c r="AZ207" s="166" t="s">
        <v>338</v>
      </c>
    </row>
    <row r="208" spans="38:52" hidden="1" x14ac:dyDescent="0.25">
      <c r="AL208" s="15" t="s">
        <v>609</v>
      </c>
      <c r="AM208" s="15" t="s">
        <v>320</v>
      </c>
      <c r="AN208" s="163" t="s">
        <v>354</v>
      </c>
      <c r="AO208" s="163"/>
      <c r="AP208" s="163" t="s">
        <v>335</v>
      </c>
      <c r="AQ208" s="163"/>
      <c r="AR208" s="164" t="s">
        <v>362</v>
      </c>
      <c r="AS208" s="163" t="s">
        <v>323</v>
      </c>
      <c r="AT208" s="163">
        <v>432</v>
      </c>
      <c r="AU208" s="171" t="s">
        <v>353</v>
      </c>
      <c r="AV208" s="171">
        <v>2.75</v>
      </c>
      <c r="AW208" s="163" t="s">
        <v>368</v>
      </c>
      <c r="AX208" s="168"/>
      <c r="AY208" s="166">
        <v>1</v>
      </c>
      <c r="AZ208" s="166" t="s">
        <v>338</v>
      </c>
    </row>
    <row r="209" spans="38:52" hidden="1" x14ac:dyDescent="0.25">
      <c r="AL209" s="15" t="s">
        <v>610</v>
      </c>
      <c r="AM209" s="15" t="s">
        <v>320</v>
      </c>
      <c r="AN209" s="163" t="s">
        <v>354</v>
      </c>
      <c r="AO209" s="163"/>
      <c r="AP209" s="163" t="s">
        <v>335</v>
      </c>
      <c r="AQ209" s="163"/>
      <c r="AR209" s="164" t="s">
        <v>362</v>
      </c>
      <c r="AS209" s="163" t="s">
        <v>337</v>
      </c>
      <c r="AT209" s="163">
        <v>512</v>
      </c>
      <c r="AU209" s="171" t="s">
        <v>353</v>
      </c>
      <c r="AV209" s="171">
        <v>2.75</v>
      </c>
      <c r="AW209" s="163" t="s">
        <v>368</v>
      </c>
      <c r="AX209" s="168"/>
      <c r="AY209" s="166">
        <v>1</v>
      </c>
      <c r="AZ209" s="166" t="s">
        <v>338</v>
      </c>
    </row>
    <row r="210" spans="38:52" hidden="1" x14ac:dyDescent="0.25">
      <c r="AL210" s="15" t="s">
        <v>611</v>
      </c>
      <c r="AM210" s="15" t="s">
        <v>320</v>
      </c>
      <c r="AN210" s="163" t="s">
        <v>354</v>
      </c>
      <c r="AO210" s="163"/>
      <c r="AP210" s="163" t="s">
        <v>335</v>
      </c>
      <c r="AQ210" s="163"/>
      <c r="AR210" s="164" t="s">
        <v>373</v>
      </c>
      <c r="AS210" s="163" t="s">
        <v>340</v>
      </c>
      <c r="AT210" s="163">
        <v>465</v>
      </c>
      <c r="AU210" s="171" t="s">
        <v>353</v>
      </c>
      <c r="AV210" s="171">
        <v>2.75</v>
      </c>
      <c r="AW210" s="163" t="s">
        <v>368</v>
      </c>
      <c r="AX210" s="168"/>
      <c r="AY210" s="166">
        <v>1</v>
      </c>
      <c r="AZ210" s="166" t="s">
        <v>338</v>
      </c>
    </row>
    <row r="211" spans="38:52" hidden="1" x14ac:dyDescent="0.25">
      <c r="AL211" s="166" t="s">
        <v>612</v>
      </c>
      <c r="AM211" s="166" t="s">
        <v>320</v>
      </c>
      <c r="AN211" s="165" t="s">
        <v>354</v>
      </c>
      <c r="AO211" s="165"/>
      <c r="AP211" s="165" t="s">
        <v>361</v>
      </c>
      <c r="AQ211" s="165"/>
      <c r="AR211" s="167" t="s">
        <v>336</v>
      </c>
      <c r="AS211" s="165" t="s">
        <v>329</v>
      </c>
      <c r="AT211" s="165">
        <v>159</v>
      </c>
      <c r="AU211" s="165" t="s">
        <v>363</v>
      </c>
      <c r="AV211" s="172">
        <v>2.75</v>
      </c>
      <c r="AW211" s="165"/>
      <c r="AX211" s="168"/>
      <c r="AY211" s="166">
        <v>1</v>
      </c>
      <c r="AZ211" s="166" t="s">
        <v>326</v>
      </c>
    </row>
    <row r="212" spans="38:52" hidden="1" x14ac:dyDescent="0.25">
      <c r="AL212" s="166" t="s">
        <v>613</v>
      </c>
      <c r="AM212" s="166" t="s">
        <v>320</v>
      </c>
      <c r="AN212" s="165" t="s">
        <v>354</v>
      </c>
      <c r="AO212" s="165"/>
      <c r="AP212" s="165" t="s">
        <v>361</v>
      </c>
      <c r="AQ212" s="165"/>
      <c r="AR212" s="167" t="s">
        <v>336</v>
      </c>
      <c r="AS212" s="165" t="s">
        <v>614</v>
      </c>
      <c r="AT212" s="165">
        <v>172</v>
      </c>
      <c r="AU212" s="165" t="s">
        <v>363</v>
      </c>
      <c r="AV212" s="172">
        <v>2.75</v>
      </c>
      <c r="AW212" s="165"/>
      <c r="AX212" s="168"/>
      <c r="AY212" s="166">
        <v>1</v>
      </c>
      <c r="AZ212" s="166" t="s">
        <v>326</v>
      </c>
    </row>
    <row r="213" spans="38:52" hidden="1" x14ac:dyDescent="0.25">
      <c r="AL213" s="166" t="s">
        <v>615</v>
      </c>
      <c r="AM213" s="166" t="s">
        <v>320</v>
      </c>
      <c r="AN213" s="165" t="s">
        <v>354</v>
      </c>
      <c r="AO213" s="165"/>
      <c r="AP213" s="165" t="s">
        <v>361</v>
      </c>
      <c r="AQ213" s="165"/>
      <c r="AR213" s="167" t="s">
        <v>336</v>
      </c>
      <c r="AS213" s="165" t="s">
        <v>333</v>
      </c>
      <c r="AT213" s="165">
        <v>204</v>
      </c>
      <c r="AU213" s="165" t="s">
        <v>363</v>
      </c>
      <c r="AV213" s="172">
        <v>2.75</v>
      </c>
      <c r="AW213" s="165"/>
      <c r="AX213" s="168"/>
      <c r="AY213" s="166">
        <v>1</v>
      </c>
      <c r="AZ213" s="166" t="s">
        <v>326</v>
      </c>
    </row>
    <row r="214" spans="38:52" hidden="1" x14ac:dyDescent="0.25">
      <c r="AL214" s="15" t="s">
        <v>616</v>
      </c>
      <c r="AM214" s="15" t="s">
        <v>320</v>
      </c>
      <c r="AN214" s="163" t="s">
        <v>354</v>
      </c>
      <c r="AO214" s="163"/>
      <c r="AP214" s="163" t="s">
        <v>335</v>
      </c>
      <c r="AQ214" s="163"/>
      <c r="AR214" s="164" t="s">
        <v>336</v>
      </c>
      <c r="AS214" s="163" t="s">
        <v>337</v>
      </c>
      <c r="AT214" s="163">
        <v>400</v>
      </c>
      <c r="AU214" s="163" t="s">
        <v>330</v>
      </c>
      <c r="AV214" s="163">
        <v>3</v>
      </c>
      <c r="AW214" s="163">
        <v>4</v>
      </c>
      <c r="AX214" s="168" t="s">
        <v>389</v>
      </c>
      <c r="AY214" s="166">
        <v>1</v>
      </c>
      <c r="AZ214" s="166" t="s">
        <v>338</v>
      </c>
    </row>
    <row r="215" spans="38:52" hidden="1" x14ac:dyDescent="0.25">
      <c r="AL215" s="15" t="s">
        <v>617</v>
      </c>
      <c r="AM215" s="15" t="s">
        <v>320</v>
      </c>
      <c r="AN215" s="163" t="s">
        <v>354</v>
      </c>
      <c r="AO215" s="163"/>
      <c r="AP215" s="163" t="s">
        <v>618</v>
      </c>
      <c r="AQ215" s="163"/>
      <c r="AR215" s="164" t="s">
        <v>619</v>
      </c>
      <c r="AS215" s="163" t="s">
        <v>340</v>
      </c>
      <c r="AT215" s="165">
        <v>500</v>
      </c>
      <c r="AU215" s="163"/>
      <c r="AV215" s="163">
        <v>3</v>
      </c>
      <c r="AW215" s="163">
        <v>3</v>
      </c>
      <c r="AX215" s="168" t="s">
        <v>389</v>
      </c>
      <c r="AY215" s="166">
        <v>1</v>
      </c>
      <c r="AZ215" s="166" t="s">
        <v>338</v>
      </c>
    </row>
    <row r="216" spans="38:52" hidden="1" x14ac:dyDescent="0.25">
      <c r="AL216" s="15" t="s">
        <v>620</v>
      </c>
      <c r="AM216" s="15" t="s">
        <v>320</v>
      </c>
      <c r="AN216" s="163" t="s">
        <v>394</v>
      </c>
      <c r="AO216" s="163"/>
      <c r="AP216" s="163" t="s">
        <v>621</v>
      </c>
      <c r="AQ216" s="163"/>
      <c r="AR216" s="164" t="s">
        <v>622</v>
      </c>
      <c r="AS216" s="163" t="s">
        <v>340</v>
      </c>
      <c r="AT216" s="163">
        <v>375</v>
      </c>
      <c r="AU216" s="171" t="s">
        <v>623</v>
      </c>
      <c r="AV216" s="163">
        <v>3</v>
      </c>
      <c r="AW216" s="163">
        <v>4.16</v>
      </c>
      <c r="AX216" s="168"/>
      <c r="AY216" s="166"/>
      <c r="AZ216" s="166"/>
    </row>
    <row r="217" spans="38:52" hidden="1" x14ac:dyDescent="0.25">
      <c r="AL217" s="15" t="s">
        <v>624</v>
      </c>
      <c r="AM217" s="15" t="s">
        <v>320</v>
      </c>
      <c r="AN217" s="163" t="s">
        <v>394</v>
      </c>
      <c r="AO217" s="163"/>
      <c r="AP217" s="163" t="s">
        <v>544</v>
      </c>
      <c r="AQ217" s="163"/>
      <c r="AR217" s="164" t="s">
        <v>622</v>
      </c>
      <c r="AS217" s="163" t="s">
        <v>337</v>
      </c>
      <c r="AT217" s="163">
        <v>588</v>
      </c>
      <c r="AU217" s="163" t="s">
        <v>475</v>
      </c>
      <c r="AV217" s="163">
        <v>3</v>
      </c>
      <c r="AW217" s="163">
        <v>4</v>
      </c>
      <c r="AX217" s="168"/>
      <c r="AY217" s="166">
        <v>1</v>
      </c>
      <c r="AZ217" s="166" t="s">
        <v>338</v>
      </c>
    </row>
    <row r="218" spans="38:52" hidden="1" x14ac:dyDescent="0.25">
      <c r="AL218" s="15" t="s">
        <v>625</v>
      </c>
      <c r="AM218" s="15" t="s">
        <v>320</v>
      </c>
      <c r="AN218" s="163" t="s">
        <v>394</v>
      </c>
      <c r="AO218" s="163"/>
      <c r="AP218" s="163" t="s">
        <v>544</v>
      </c>
      <c r="AQ218" s="163"/>
      <c r="AR218" s="164" t="s">
        <v>622</v>
      </c>
      <c r="AS218" s="163" t="s">
        <v>340</v>
      </c>
      <c r="AT218" s="163">
        <v>240</v>
      </c>
      <c r="AU218" s="163" t="s">
        <v>475</v>
      </c>
      <c r="AV218" s="163">
        <v>3</v>
      </c>
      <c r="AW218" s="163">
        <v>4</v>
      </c>
      <c r="AX218" s="168"/>
      <c r="AY218" s="166">
        <v>1</v>
      </c>
      <c r="AZ218" s="166" t="s">
        <v>338</v>
      </c>
    </row>
    <row r="219" spans="38:52" hidden="1" x14ac:dyDescent="0.25">
      <c r="AL219" s="15" t="s">
        <v>626</v>
      </c>
      <c r="AM219" s="15" t="s">
        <v>320</v>
      </c>
      <c r="AN219" s="163" t="s">
        <v>394</v>
      </c>
      <c r="AO219" s="163"/>
      <c r="AP219" s="163" t="s">
        <v>544</v>
      </c>
      <c r="AQ219" s="163"/>
      <c r="AR219" s="164" t="s">
        <v>622</v>
      </c>
      <c r="AS219" s="163" t="s">
        <v>323</v>
      </c>
      <c r="AT219" s="163">
        <v>490</v>
      </c>
      <c r="AU219" s="163" t="s">
        <v>475</v>
      </c>
      <c r="AV219" s="163">
        <v>3</v>
      </c>
      <c r="AW219" s="163">
        <v>4</v>
      </c>
      <c r="AX219" s="168"/>
      <c r="AY219" s="166">
        <v>1</v>
      </c>
      <c r="AZ219" s="166" t="s">
        <v>338</v>
      </c>
    </row>
    <row r="220" spans="38:52" hidden="1" x14ac:dyDescent="0.25">
      <c r="AL220" s="15" t="s">
        <v>627</v>
      </c>
      <c r="AM220" s="15" t="s">
        <v>320</v>
      </c>
      <c r="AN220" s="163" t="s">
        <v>394</v>
      </c>
      <c r="AO220" s="163"/>
      <c r="AP220" s="163" t="s">
        <v>391</v>
      </c>
      <c r="AQ220" s="163"/>
      <c r="AR220" s="164" t="s">
        <v>622</v>
      </c>
      <c r="AS220" s="163" t="s">
        <v>340</v>
      </c>
      <c r="AT220" s="163">
        <v>405</v>
      </c>
      <c r="AU220" s="163" t="s">
        <v>324</v>
      </c>
      <c r="AV220" s="163">
        <v>3</v>
      </c>
      <c r="AW220" s="163">
        <v>4</v>
      </c>
      <c r="AX220" s="168"/>
      <c r="AY220" s="166">
        <v>1</v>
      </c>
      <c r="AZ220" s="166" t="s">
        <v>338</v>
      </c>
    </row>
    <row r="221" spans="38:52" hidden="1" x14ac:dyDescent="0.25">
      <c r="AL221" s="15" t="s">
        <v>628</v>
      </c>
      <c r="AM221" s="15" t="s">
        <v>320</v>
      </c>
      <c r="AN221" s="163" t="s">
        <v>394</v>
      </c>
      <c r="AO221" s="163"/>
      <c r="AP221" s="163" t="s">
        <v>391</v>
      </c>
      <c r="AQ221" s="163"/>
      <c r="AR221" s="164" t="s">
        <v>622</v>
      </c>
      <c r="AS221" s="163" t="s">
        <v>337</v>
      </c>
      <c r="AT221" s="163">
        <v>575</v>
      </c>
      <c r="AU221" s="163" t="s">
        <v>324</v>
      </c>
      <c r="AV221" s="163">
        <v>3</v>
      </c>
      <c r="AW221" s="163">
        <v>4</v>
      </c>
      <c r="AX221" s="168"/>
      <c r="AY221" s="166">
        <v>1</v>
      </c>
      <c r="AZ221" s="166" t="s">
        <v>338</v>
      </c>
    </row>
    <row r="222" spans="38:52" hidden="1" x14ac:dyDescent="0.25">
      <c r="AL222" s="15" t="s">
        <v>629</v>
      </c>
      <c r="AM222" s="15" t="s">
        <v>320</v>
      </c>
      <c r="AN222" s="163" t="s">
        <v>394</v>
      </c>
      <c r="AO222" s="163"/>
      <c r="AP222" s="163" t="s">
        <v>391</v>
      </c>
      <c r="AQ222" s="163"/>
      <c r="AR222" s="164" t="s">
        <v>622</v>
      </c>
      <c r="AS222" s="163" t="s">
        <v>323</v>
      </c>
      <c r="AT222" s="163">
        <v>490</v>
      </c>
      <c r="AU222" s="163" t="s">
        <v>324</v>
      </c>
      <c r="AV222" s="163">
        <v>3</v>
      </c>
      <c r="AW222" s="163">
        <v>4</v>
      </c>
      <c r="AX222" s="168"/>
      <c r="AY222" s="166">
        <v>1</v>
      </c>
      <c r="AZ222" s="166" t="s">
        <v>338</v>
      </c>
    </row>
    <row r="223" spans="38:52" hidden="1" x14ac:dyDescent="0.25">
      <c r="AL223" s="166" t="s">
        <v>630</v>
      </c>
      <c r="AM223" s="166" t="s">
        <v>320</v>
      </c>
      <c r="AN223" s="165" t="s">
        <v>394</v>
      </c>
      <c r="AO223" s="165"/>
      <c r="AP223" s="165" t="s">
        <v>376</v>
      </c>
      <c r="AQ223" s="165"/>
      <c r="AR223" s="167" t="s">
        <v>622</v>
      </c>
      <c r="AS223" s="165" t="s">
        <v>411</v>
      </c>
      <c r="AT223" s="165">
        <v>680</v>
      </c>
      <c r="AU223" s="165" t="s">
        <v>353</v>
      </c>
      <c r="AV223" s="165">
        <v>3</v>
      </c>
      <c r="AW223" s="165">
        <v>4</v>
      </c>
      <c r="AX223" s="168"/>
      <c r="AY223" s="166">
        <v>1</v>
      </c>
      <c r="AZ223" s="166" t="s">
        <v>338</v>
      </c>
    </row>
    <row r="224" spans="38:52" hidden="1" x14ac:dyDescent="0.25">
      <c r="AL224" s="15" t="s">
        <v>631</v>
      </c>
      <c r="AM224" s="15" t="s">
        <v>320</v>
      </c>
      <c r="AN224" s="163" t="s">
        <v>394</v>
      </c>
      <c r="AO224" s="163"/>
      <c r="AP224" s="163" t="s">
        <v>376</v>
      </c>
      <c r="AQ224" s="163"/>
      <c r="AR224" s="164" t="s">
        <v>622</v>
      </c>
      <c r="AS224" s="163" t="s">
        <v>337</v>
      </c>
      <c r="AT224" s="163">
        <v>572</v>
      </c>
      <c r="AU224" s="171" t="s">
        <v>353</v>
      </c>
      <c r="AV224" s="163">
        <v>3</v>
      </c>
      <c r="AW224" s="163">
        <v>4</v>
      </c>
      <c r="AX224" s="168"/>
      <c r="AY224" s="166">
        <v>1</v>
      </c>
      <c r="AZ224" s="166" t="s">
        <v>338</v>
      </c>
    </row>
    <row r="225" spans="38:52" hidden="1" x14ac:dyDescent="0.25">
      <c r="AL225" s="15" t="s">
        <v>632</v>
      </c>
      <c r="AM225" s="15" t="s">
        <v>320</v>
      </c>
      <c r="AN225" s="163" t="s">
        <v>394</v>
      </c>
      <c r="AO225" s="163"/>
      <c r="AP225" s="163" t="s">
        <v>376</v>
      </c>
      <c r="AQ225" s="163"/>
      <c r="AR225" s="164" t="s">
        <v>622</v>
      </c>
      <c r="AS225" s="163" t="s">
        <v>356</v>
      </c>
      <c r="AT225" s="163">
        <v>260</v>
      </c>
      <c r="AU225" s="171" t="s">
        <v>353</v>
      </c>
      <c r="AV225" s="163">
        <v>3</v>
      </c>
      <c r="AW225" s="163">
        <v>4</v>
      </c>
      <c r="AX225" s="168"/>
      <c r="AY225" s="166">
        <v>1</v>
      </c>
      <c r="AZ225" s="166" t="s">
        <v>338</v>
      </c>
    </row>
    <row r="226" spans="38:52" hidden="1" x14ac:dyDescent="0.25">
      <c r="AL226" s="15" t="s">
        <v>633</v>
      </c>
      <c r="AM226" s="15" t="s">
        <v>320</v>
      </c>
      <c r="AN226" s="163" t="s">
        <v>394</v>
      </c>
      <c r="AO226" s="163"/>
      <c r="AP226" s="163" t="s">
        <v>376</v>
      </c>
      <c r="AQ226" s="163"/>
      <c r="AR226" s="164" t="s">
        <v>622</v>
      </c>
      <c r="AS226" s="163" t="s">
        <v>340</v>
      </c>
      <c r="AT226" s="163">
        <v>375</v>
      </c>
      <c r="AU226" s="171" t="s">
        <v>353</v>
      </c>
      <c r="AV226" s="163">
        <v>3</v>
      </c>
      <c r="AW226" s="163">
        <v>4</v>
      </c>
      <c r="AX226" s="168"/>
      <c r="AY226" s="166">
        <v>1</v>
      </c>
      <c r="AZ226" s="166" t="s">
        <v>338</v>
      </c>
    </row>
    <row r="227" spans="38:52" hidden="1" x14ac:dyDescent="0.25">
      <c r="AL227" s="15" t="s">
        <v>634</v>
      </c>
      <c r="AM227" s="15" t="s">
        <v>320</v>
      </c>
      <c r="AN227" s="163" t="s">
        <v>394</v>
      </c>
      <c r="AO227" s="163"/>
      <c r="AP227" s="163" t="s">
        <v>376</v>
      </c>
      <c r="AQ227" s="163"/>
      <c r="AR227" s="164" t="s">
        <v>622</v>
      </c>
      <c r="AS227" s="163" t="s">
        <v>323</v>
      </c>
      <c r="AT227" s="163">
        <v>490</v>
      </c>
      <c r="AU227" s="171" t="s">
        <v>353</v>
      </c>
      <c r="AV227" s="163">
        <v>3</v>
      </c>
      <c r="AW227" s="163">
        <v>4</v>
      </c>
      <c r="AX227" s="168"/>
      <c r="AY227" s="166">
        <v>1</v>
      </c>
      <c r="AZ227" s="166" t="s">
        <v>338</v>
      </c>
    </row>
    <row r="228" spans="38:52" hidden="1" x14ac:dyDescent="0.25">
      <c r="AL228" s="166" t="s">
        <v>635</v>
      </c>
      <c r="AM228" s="166" t="s">
        <v>320</v>
      </c>
      <c r="AN228" s="165" t="s">
        <v>394</v>
      </c>
      <c r="AO228" s="165"/>
      <c r="AP228" s="165" t="s">
        <v>636</v>
      </c>
      <c r="AQ228" s="165"/>
      <c r="AR228" s="167" t="s">
        <v>637</v>
      </c>
      <c r="AS228" s="165" t="s">
        <v>337</v>
      </c>
      <c r="AT228" s="165">
        <v>522</v>
      </c>
      <c r="AU228" s="165" t="s">
        <v>353</v>
      </c>
      <c r="AV228" s="165">
        <v>3</v>
      </c>
      <c r="AW228" s="165">
        <v>4</v>
      </c>
      <c r="AX228" s="168"/>
      <c r="AY228" s="166">
        <v>1</v>
      </c>
      <c r="AZ228" s="166" t="s">
        <v>326</v>
      </c>
    </row>
    <row r="229" spans="38:52" hidden="1" x14ac:dyDescent="0.25">
      <c r="AL229" s="166" t="s">
        <v>638</v>
      </c>
      <c r="AM229" s="166" t="s">
        <v>320</v>
      </c>
      <c r="AN229" s="165" t="s">
        <v>394</v>
      </c>
      <c r="AO229" s="165"/>
      <c r="AP229" s="165" t="s">
        <v>636</v>
      </c>
      <c r="AQ229" s="165"/>
      <c r="AR229" s="167" t="s">
        <v>637</v>
      </c>
      <c r="AS229" s="165" t="s">
        <v>323</v>
      </c>
      <c r="AT229" s="165">
        <v>450</v>
      </c>
      <c r="AU229" s="165" t="s">
        <v>353</v>
      </c>
      <c r="AV229" s="165">
        <v>3</v>
      </c>
      <c r="AW229" s="165">
        <v>4</v>
      </c>
      <c r="AX229" s="168"/>
      <c r="AY229" s="166">
        <v>1</v>
      </c>
      <c r="AZ229" s="166" t="s">
        <v>326</v>
      </c>
    </row>
    <row r="230" spans="38:52" hidden="1" x14ac:dyDescent="0.25">
      <c r="AL230" s="15" t="s">
        <v>639</v>
      </c>
      <c r="AM230" s="15" t="s">
        <v>320</v>
      </c>
      <c r="AN230" s="163" t="s">
        <v>394</v>
      </c>
      <c r="AO230" s="163"/>
      <c r="AP230" s="163" t="s">
        <v>361</v>
      </c>
      <c r="AQ230" s="163"/>
      <c r="AR230" s="164" t="s">
        <v>362</v>
      </c>
      <c r="AS230" s="163" t="s">
        <v>323</v>
      </c>
      <c r="AT230" s="163">
        <v>280</v>
      </c>
      <c r="AU230" s="163" t="s">
        <v>475</v>
      </c>
      <c r="AV230" s="163">
        <v>3</v>
      </c>
      <c r="AW230" s="163">
        <v>4</v>
      </c>
      <c r="AX230" s="168" t="s">
        <v>640</v>
      </c>
      <c r="AY230" s="166">
        <v>1</v>
      </c>
      <c r="AZ230" s="166" t="s">
        <v>338</v>
      </c>
    </row>
    <row r="231" spans="38:52" hidden="1" x14ac:dyDescent="0.25">
      <c r="AL231" s="15" t="s">
        <v>641</v>
      </c>
      <c r="AM231" s="15" t="s">
        <v>320</v>
      </c>
      <c r="AN231" s="163" t="s">
        <v>394</v>
      </c>
      <c r="AO231" s="163"/>
      <c r="AP231" s="163" t="s">
        <v>361</v>
      </c>
      <c r="AQ231" s="163"/>
      <c r="AR231" s="164" t="s">
        <v>362</v>
      </c>
      <c r="AS231" s="163" t="s">
        <v>337</v>
      </c>
      <c r="AT231" s="163">
        <v>317</v>
      </c>
      <c r="AU231" s="163" t="s">
        <v>475</v>
      </c>
      <c r="AV231" s="163">
        <v>3</v>
      </c>
      <c r="AW231" s="163">
        <v>4</v>
      </c>
      <c r="AX231" s="168" t="s">
        <v>640</v>
      </c>
      <c r="AY231" s="166">
        <v>1</v>
      </c>
      <c r="AZ231" s="166" t="s">
        <v>338</v>
      </c>
    </row>
    <row r="232" spans="38:52" hidden="1" x14ac:dyDescent="0.25">
      <c r="AL232" s="15" t="s">
        <v>642</v>
      </c>
      <c r="AM232" s="15" t="s">
        <v>320</v>
      </c>
      <c r="AN232" s="163" t="s">
        <v>394</v>
      </c>
      <c r="AO232" s="163"/>
      <c r="AP232" s="163" t="s">
        <v>376</v>
      </c>
      <c r="AQ232" s="163"/>
      <c r="AR232" s="164" t="s">
        <v>362</v>
      </c>
      <c r="AS232" s="163" t="s">
        <v>323</v>
      </c>
      <c r="AT232" s="163">
        <v>535</v>
      </c>
      <c r="AU232" s="171" t="s">
        <v>353</v>
      </c>
      <c r="AV232" s="163">
        <v>3</v>
      </c>
      <c r="AW232" s="163">
        <v>4</v>
      </c>
      <c r="AX232" s="168"/>
      <c r="AY232" s="166">
        <v>1</v>
      </c>
      <c r="AZ232" s="166" t="s">
        <v>338</v>
      </c>
    </row>
    <row r="233" spans="38:52" hidden="1" x14ac:dyDescent="0.25">
      <c r="AL233" s="15" t="s">
        <v>643</v>
      </c>
      <c r="AM233" s="15" t="s">
        <v>320</v>
      </c>
      <c r="AN233" s="163" t="s">
        <v>394</v>
      </c>
      <c r="AO233" s="163"/>
      <c r="AP233" s="163" t="s">
        <v>376</v>
      </c>
      <c r="AQ233" s="163"/>
      <c r="AR233" s="164" t="s">
        <v>362</v>
      </c>
      <c r="AS233" s="163" t="s">
        <v>340</v>
      </c>
      <c r="AT233" s="163">
        <v>425</v>
      </c>
      <c r="AU233" s="171" t="s">
        <v>353</v>
      </c>
      <c r="AV233" s="163">
        <v>3</v>
      </c>
      <c r="AW233" s="163">
        <v>4</v>
      </c>
      <c r="AX233" s="168"/>
      <c r="AY233" s="166">
        <v>1</v>
      </c>
      <c r="AZ233" s="166" t="s">
        <v>338</v>
      </c>
    </row>
    <row r="234" spans="38:52" hidden="1" x14ac:dyDescent="0.25">
      <c r="AL234" s="15" t="s">
        <v>644</v>
      </c>
      <c r="AM234" s="15" t="s">
        <v>320</v>
      </c>
      <c r="AN234" s="163" t="s">
        <v>394</v>
      </c>
      <c r="AO234" s="163"/>
      <c r="AP234" s="163" t="s">
        <v>376</v>
      </c>
      <c r="AQ234" s="163"/>
      <c r="AR234" s="164" t="s">
        <v>362</v>
      </c>
      <c r="AS234" s="163" t="s">
        <v>337</v>
      </c>
      <c r="AT234" s="163">
        <v>650</v>
      </c>
      <c r="AU234" s="171" t="s">
        <v>353</v>
      </c>
      <c r="AV234" s="163">
        <v>3</v>
      </c>
      <c r="AW234" s="163">
        <v>4</v>
      </c>
      <c r="AX234" s="168"/>
      <c r="AY234" s="166">
        <v>1</v>
      </c>
      <c r="AZ234" s="166" t="s">
        <v>338</v>
      </c>
    </row>
    <row r="235" spans="38:52" hidden="1" x14ac:dyDescent="0.25">
      <c r="AL235" s="15" t="s">
        <v>645</v>
      </c>
      <c r="AM235" s="15" t="s">
        <v>320</v>
      </c>
      <c r="AN235" s="163" t="s">
        <v>394</v>
      </c>
      <c r="AO235" s="163"/>
      <c r="AP235" s="163" t="s">
        <v>376</v>
      </c>
      <c r="AQ235" s="163"/>
      <c r="AR235" s="164" t="s">
        <v>373</v>
      </c>
      <c r="AS235" s="163" t="s">
        <v>337</v>
      </c>
      <c r="AT235" s="163">
        <v>800</v>
      </c>
      <c r="AU235" s="171" t="s">
        <v>353</v>
      </c>
      <c r="AV235" s="163">
        <v>3</v>
      </c>
      <c r="AW235" s="163">
        <v>4</v>
      </c>
      <c r="AX235" s="168"/>
      <c r="AY235" s="166">
        <v>1</v>
      </c>
      <c r="AZ235" s="166" t="s">
        <v>326</v>
      </c>
    </row>
    <row r="236" spans="38:52" hidden="1" x14ac:dyDescent="0.25">
      <c r="AL236" s="15" t="s">
        <v>646</v>
      </c>
      <c r="AM236" s="15" t="s">
        <v>320</v>
      </c>
      <c r="AN236" s="163" t="s">
        <v>394</v>
      </c>
      <c r="AO236" s="163"/>
      <c r="AP236" s="163" t="s">
        <v>376</v>
      </c>
      <c r="AQ236" s="163"/>
      <c r="AR236" s="164" t="s">
        <v>373</v>
      </c>
      <c r="AS236" s="163" t="s">
        <v>323</v>
      </c>
      <c r="AT236" s="163">
        <v>680</v>
      </c>
      <c r="AU236" s="171" t="s">
        <v>353</v>
      </c>
      <c r="AV236" s="163">
        <v>3</v>
      </c>
      <c r="AW236" s="163">
        <v>4</v>
      </c>
      <c r="AX236" s="168"/>
      <c r="AY236" s="166">
        <v>1</v>
      </c>
      <c r="AZ236" s="166" t="s">
        <v>338</v>
      </c>
    </row>
    <row r="237" spans="38:52" hidden="1" x14ac:dyDescent="0.25">
      <c r="AL237" s="15" t="s">
        <v>647</v>
      </c>
      <c r="AM237" s="15" t="s">
        <v>320</v>
      </c>
      <c r="AN237" s="163" t="s">
        <v>394</v>
      </c>
      <c r="AO237" s="163"/>
      <c r="AP237" s="163" t="s">
        <v>376</v>
      </c>
      <c r="AQ237" s="163"/>
      <c r="AR237" s="164" t="s">
        <v>373</v>
      </c>
      <c r="AS237" s="163" t="s">
        <v>340</v>
      </c>
      <c r="AT237" s="163">
        <v>635</v>
      </c>
      <c r="AU237" s="171" t="s">
        <v>353</v>
      </c>
      <c r="AV237" s="163">
        <v>3</v>
      </c>
      <c r="AW237" s="163">
        <v>4</v>
      </c>
      <c r="AX237" s="168"/>
      <c r="AY237" s="166">
        <v>1</v>
      </c>
      <c r="AZ237" s="166" t="s">
        <v>338</v>
      </c>
    </row>
    <row r="238" spans="38:52" hidden="1" x14ac:dyDescent="0.25">
      <c r="AL238" s="15" t="s">
        <v>648</v>
      </c>
      <c r="AM238" s="166" t="s">
        <v>320</v>
      </c>
      <c r="AN238" s="163" t="s">
        <v>394</v>
      </c>
      <c r="AO238" s="163"/>
      <c r="AP238" s="163" t="s">
        <v>376</v>
      </c>
      <c r="AQ238" s="163"/>
      <c r="AR238" s="164" t="s">
        <v>377</v>
      </c>
      <c r="AS238" s="163" t="s">
        <v>323</v>
      </c>
      <c r="AT238" s="163">
        <v>535</v>
      </c>
      <c r="AU238" s="171" t="s">
        <v>353</v>
      </c>
      <c r="AV238" s="163">
        <v>4</v>
      </c>
      <c r="AW238" s="163" t="s">
        <v>649</v>
      </c>
      <c r="AX238" s="168" t="s">
        <v>650</v>
      </c>
      <c r="AY238" s="166">
        <v>1</v>
      </c>
      <c r="AZ238" s="166" t="s">
        <v>326</v>
      </c>
    </row>
    <row r="239" spans="38:52" hidden="1" x14ac:dyDescent="0.25">
      <c r="AL239" s="15" t="s">
        <v>651</v>
      </c>
      <c r="AM239" s="15" t="s">
        <v>320</v>
      </c>
      <c r="AN239" s="163" t="s">
        <v>394</v>
      </c>
      <c r="AO239" s="163"/>
      <c r="AP239" s="163" t="s">
        <v>376</v>
      </c>
      <c r="AQ239" s="163"/>
      <c r="AR239" s="164" t="s">
        <v>377</v>
      </c>
      <c r="AS239" s="163" t="s">
        <v>337</v>
      </c>
      <c r="AT239" s="163">
        <v>317</v>
      </c>
      <c r="AU239" s="171" t="s">
        <v>353</v>
      </c>
      <c r="AV239" s="163">
        <v>3</v>
      </c>
      <c r="AW239" s="163">
        <v>4</v>
      </c>
      <c r="AX239" s="168" t="s">
        <v>640</v>
      </c>
      <c r="AY239" s="166">
        <v>1</v>
      </c>
      <c r="AZ239" s="166" t="s">
        <v>338</v>
      </c>
    </row>
    <row r="240" spans="38:52" hidden="1" x14ac:dyDescent="0.25">
      <c r="AL240" s="15" t="s">
        <v>652</v>
      </c>
      <c r="AM240" s="15" t="s">
        <v>320</v>
      </c>
      <c r="AN240" s="163" t="s">
        <v>394</v>
      </c>
      <c r="AO240" s="163"/>
      <c r="AP240" s="163" t="s">
        <v>376</v>
      </c>
      <c r="AQ240" s="163"/>
      <c r="AR240" s="164" t="s">
        <v>377</v>
      </c>
      <c r="AS240" s="163" t="s">
        <v>323</v>
      </c>
      <c r="AT240" s="163">
        <v>280</v>
      </c>
      <c r="AU240" s="171" t="s">
        <v>353</v>
      </c>
      <c r="AV240" s="163">
        <v>3</v>
      </c>
      <c r="AW240" s="163">
        <v>4</v>
      </c>
      <c r="AX240" s="168" t="s">
        <v>640</v>
      </c>
      <c r="AY240" s="166">
        <v>1</v>
      </c>
      <c r="AZ240" s="166" t="s">
        <v>338</v>
      </c>
    </row>
    <row r="241" spans="38:52" hidden="1" x14ac:dyDescent="0.25">
      <c r="AL241" s="166" t="s">
        <v>653</v>
      </c>
      <c r="AM241" s="166" t="s">
        <v>320</v>
      </c>
      <c r="AN241" s="165" t="s">
        <v>394</v>
      </c>
      <c r="AO241" s="165"/>
      <c r="AP241" s="165" t="s">
        <v>376</v>
      </c>
      <c r="AQ241" s="165"/>
      <c r="AR241" s="167" t="s">
        <v>654</v>
      </c>
      <c r="AS241" s="165" t="s">
        <v>323</v>
      </c>
      <c r="AT241" s="165">
        <v>1160</v>
      </c>
      <c r="AU241" s="165" t="s">
        <v>655</v>
      </c>
      <c r="AV241" s="165">
        <v>3</v>
      </c>
      <c r="AW241" s="165">
        <v>4</v>
      </c>
      <c r="AX241" s="168"/>
      <c r="AY241" s="166">
        <v>1</v>
      </c>
      <c r="AZ241" s="166" t="s">
        <v>338</v>
      </c>
    </row>
    <row r="242" spans="38:52" hidden="1" x14ac:dyDescent="0.25">
      <c r="AL242" s="15" t="s">
        <v>656</v>
      </c>
      <c r="AM242" s="15" t="s">
        <v>320</v>
      </c>
      <c r="AN242" s="163" t="s">
        <v>394</v>
      </c>
      <c r="AO242" s="163"/>
      <c r="AP242" s="163" t="s">
        <v>657</v>
      </c>
      <c r="AQ242" s="163"/>
      <c r="AR242" s="164" t="s">
        <v>658</v>
      </c>
      <c r="AS242" s="163" t="s">
        <v>659</v>
      </c>
      <c r="AT242" s="165">
        <v>547</v>
      </c>
      <c r="AU242" s="165"/>
      <c r="AV242" s="171">
        <v>3.875</v>
      </c>
      <c r="AW242" s="171">
        <v>4.375</v>
      </c>
      <c r="AX242" s="168" t="s">
        <v>389</v>
      </c>
      <c r="AY242" s="166">
        <v>1</v>
      </c>
      <c r="AZ242" s="166" t="s">
        <v>326</v>
      </c>
    </row>
    <row r="243" spans="38:52" hidden="1" x14ac:dyDescent="0.25">
      <c r="AL243" s="15" t="s">
        <v>660</v>
      </c>
      <c r="AM243" s="15" t="s">
        <v>320</v>
      </c>
      <c r="AN243" s="163" t="s">
        <v>394</v>
      </c>
      <c r="AO243" s="163"/>
      <c r="AP243" s="163" t="s">
        <v>661</v>
      </c>
      <c r="AQ243" s="163"/>
      <c r="AR243" s="164" t="s">
        <v>619</v>
      </c>
      <c r="AS243" s="163" t="s">
        <v>340</v>
      </c>
      <c r="AT243" s="163">
        <v>490</v>
      </c>
      <c r="AU243" s="163" t="s">
        <v>402</v>
      </c>
      <c r="AV243" s="163">
        <v>4</v>
      </c>
      <c r="AW243" s="163" t="s">
        <v>394</v>
      </c>
      <c r="AX243" s="168" t="s">
        <v>619</v>
      </c>
      <c r="AY243" s="166">
        <v>1</v>
      </c>
      <c r="AZ243" s="166" t="s">
        <v>326</v>
      </c>
    </row>
    <row r="244" spans="38:52" hidden="1" x14ac:dyDescent="0.25">
      <c r="AL244" s="15" t="s">
        <v>662</v>
      </c>
      <c r="AM244" s="15" t="s">
        <v>320</v>
      </c>
      <c r="AN244" s="163" t="s">
        <v>394</v>
      </c>
      <c r="AO244" s="163"/>
      <c r="AP244" s="163" t="s">
        <v>661</v>
      </c>
      <c r="AQ244" s="163"/>
      <c r="AR244" s="164" t="s">
        <v>619</v>
      </c>
      <c r="AS244" s="163" t="s">
        <v>340</v>
      </c>
      <c r="AT244" s="165">
        <v>450</v>
      </c>
      <c r="AU244" s="163"/>
      <c r="AV244" s="163">
        <v>4</v>
      </c>
      <c r="AW244" s="163" t="s">
        <v>394</v>
      </c>
      <c r="AX244" s="168" t="s">
        <v>389</v>
      </c>
      <c r="AY244" s="166">
        <v>1</v>
      </c>
      <c r="AZ244" s="166" t="s">
        <v>338</v>
      </c>
    </row>
    <row r="245" spans="38:52" hidden="1" x14ac:dyDescent="0.25">
      <c r="AL245" s="15" t="s">
        <v>663</v>
      </c>
      <c r="AM245" s="15" t="s">
        <v>320</v>
      </c>
      <c r="AN245" s="163" t="s">
        <v>394</v>
      </c>
      <c r="AO245" s="163"/>
      <c r="AP245" s="171" t="s">
        <v>661</v>
      </c>
      <c r="AQ245" s="163"/>
      <c r="AR245" s="164" t="s">
        <v>619</v>
      </c>
      <c r="AS245" s="163" t="s">
        <v>659</v>
      </c>
      <c r="AT245" s="165">
        <v>500</v>
      </c>
      <c r="AU245" s="163"/>
      <c r="AV245" s="163">
        <v>4</v>
      </c>
      <c r="AW245" s="163" t="s">
        <v>394</v>
      </c>
      <c r="AX245" s="168" t="s">
        <v>389</v>
      </c>
      <c r="AY245" s="166">
        <v>1</v>
      </c>
      <c r="AZ245" s="166" t="s">
        <v>338</v>
      </c>
    </row>
    <row r="246" spans="38:52" hidden="1" x14ac:dyDescent="0.25">
      <c r="AL246" s="166" t="s">
        <v>664</v>
      </c>
      <c r="AM246" s="166" t="s">
        <v>320</v>
      </c>
      <c r="AN246" s="165" t="s">
        <v>394</v>
      </c>
      <c r="AO246" s="165"/>
      <c r="AP246" s="165" t="s">
        <v>376</v>
      </c>
      <c r="AQ246" s="165"/>
      <c r="AR246" s="167"/>
      <c r="AS246" s="165" t="s">
        <v>329</v>
      </c>
      <c r="AT246" s="165">
        <v>234</v>
      </c>
      <c r="AU246" s="165" t="s">
        <v>324</v>
      </c>
      <c r="AV246" s="165">
        <v>3</v>
      </c>
      <c r="AW246" s="165"/>
      <c r="AX246" s="168" t="s">
        <v>331</v>
      </c>
      <c r="AY246" s="166">
        <v>1</v>
      </c>
      <c r="AZ246" s="166" t="s">
        <v>326</v>
      </c>
    </row>
    <row r="247" spans="38:52" hidden="1" x14ac:dyDescent="0.25">
      <c r="AL247" s="166" t="s">
        <v>665</v>
      </c>
      <c r="AM247" s="166" t="s">
        <v>320</v>
      </c>
      <c r="AN247" s="165" t="s">
        <v>394</v>
      </c>
      <c r="AO247" s="165"/>
      <c r="AP247" s="165" t="s">
        <v>376</v>
      </c>
      <c r="AQ247" s="165"/>
      <c r="AR247" s="167"/>
      <c r="AS247" s="165" t="s">
        <v>333</v>
      </c>
      <c r="AT247" s="165">
        <v>291</v>
      </c>
      <c r="AU247" s="165" t="s">
        <v>324</v>
      </c>
      <c r="AV247" s="165">
        <v>3</v>
      </c>
      <c r="AW247" s="165"/>
      <c r="AX247" s="168" t="s">
        <v>331</v>
      </c>
      <c r="AY247" s="166">
        <v>1</v>
      </c>
      <c r="AZ247" s="166" t="s">
        <v>326</v>
      </c>
    </row>
    <row r="248" spans="38:52" hidden="1" x14ac:dyDescent="0.25">
      <c r="AL248" s="166" t="s">
        <v>666</v>
      </c>
      <c r="AM248" s="166" t="s">
        <v>320</v>
      </c>
      <c r="AN248" s="165" t="s">
        <v>454</v>
      </c>
      <c r="AO248" s="165"/>
      <c r="AP248" s="165" t="s">
        <v>395</v>
      </c>
      <c r="AQ248" s="165"/>
      <c r="AR248" s="167" t="s">
        <v>667</v>
      </c>
      <c r="AS248" s="165" t="s">
        <v>323</v>
      </c>
      <c r="AT248" s="165">
        <v>775</v>
      </c>
      <c r="AU248" s="165" t="s">
        <v>324</v>
      </c>
      <c r="AV248" s="165">
        <v>3</v>
      </c>
      <c r="AW248" s="172">
        <v>4.625</v>
      </c>
      <c r="AX248" s="168"/>
      <c r="AY248" s="166">
        <v>1</v>
      </c>
      <c r="AZ248" s="166" t="s">
        <v>326</v>
      </c>
    </row>
    <row r="249" spans="38:52" hidden="1" x14ac:dyDescent="0.25">
      <c r="AL249" s="15" t="s">
        <v>668</v>
      </c>
      <c r="AM249" s="15" t="s">
        <v>320</v>
      </c>
      <c r="AN249" s="163" t="s">
        <v>454</v>
      </c>
      <c r="AO249" s="163"/>
      <c r="AP249" s="163" t="s">
        <v>474</v>
      </c>
      <c r="AQ249" s="163"/>
      <c r="AR249" s="164" t="s">
        <v>669</v>
      </c>
      <c r="AS249" s="163" t="s">
        <v>323</v>
      </c>
      <c r="AT249" s="163">
        <v>760</v>
      </c>
      <c r="AU249" s="170" t="s">
        <v>670</v>
      </c>
      <c r="AV249" s="163" t="s">
        <v>671</v>
      </c>
      <c r="AW249" s="163">
        <v>10</v>
      </c>
      <c r="AX249" s="168" t="s">
        <v>672</v>
      </c>
      <c r="AY249" s="166">
        <v>1</v>
      </c>
      <c r="AZ249" s="166" t="s">
        <v>326</v>
      </c>
    </row>
    <row r="250" spans="38:52" hidden="1" x14ac:dyDescent="0.25">
      <c r="AL250" s="15" t="s">
        <v>673</v>
      </c>
      <c r="AM250" s="15" t="s">
        <v>320</v>
      </c>
      <c r="AN250" s="163" t="s">
        <v>454</v>
      </c>
      <c r="AO250" s="163"/>
      <c r="AP250" s="163" t="s">
        <v>474</v>
      </c>
      <c r="AQ250" s="163"/>
      <c r="AR250" s="164" t="s">
        <v>669</v>
      </c>
      <c r="AS250" s="163" t="s">
        <v>340</v>
      </c>
      <c r="AT250" s="163">
        <v>630</v>
      </c>
      <c r="AU250" s="170" t="s">
        <v>670</v>
      </c>
      <c r="AV250" s="163" t="s">
        <v>671</v>
      </c>
      <c r="AW250" s="163">
        <v>10</v>
      </c>
      <c r="AX250" s="168" t="s">
        <v>672</v>
      </c>
      <c r="AY250" s="166">
        <v>1</v>
      </c>
      <c r="AZ250" s="166" t="s">
        <v>326</v>
      </c>
    </row>
    <row r="251" spans="38:52" hidden="1" x14ac:dyDescent="0.25">
      <c r="AL251" s="15" t="s">
        <v>674</v>
      </c>
      <c r="AM251" s="166" t="s">
        <v>320</v>
      </c>
      <c r="AN251" s="163" t="s">
        <v>454</v>
      </c>
      <c r="AO251" s="163"/>
      <c r="AP251" s="163" t="s">
        <v>376</v>
      </c>
      <c r="AQ251" s="163"/>
      <c r="AR251" s="164" t="s">
        <v>675</v>
      </c>
      <c r="AS251" s="163" t="s">
        <v>337</v>
      </c>
      <c r="AT251" s="163">
        <v>905</v>
      </c>
      <c r="AU251" s="163" t="s">
        <v>324</v>
      </c>
      <c r="AV251" s="163">
        <v>3</v>
      </c>
      <c r="AW251" s="163">
        <v>4.62</v>
      </c>
      <c r="AX251" s="168"/>
      <c r="AY251" s="166">
        <v>1</v>
      </c>
      <c r="AZ251" s="166" t="s">
        <v>326</v>
      </c>
    </row>
    <row r="252" spans="38:52" hidden="1" x14ac:dyDescent="0.25">
      <c r="AL252" s="15" t="s">
        <v>676</v>
      </c>
      <c r="AM252" s="15" t="s">
        <v>320</v>
      </c>
      <c r="AN252" s="163" t="s">
        <v>454</v>
      </c>
      <c r="AO252" s="163"/>
      <c r="AP252" s="163" t="s">
        <v>376</v>
      </c>
      <c r="AQ252" s="163"/>
      <c r="AR252" s="164" t="s">
        <v>675</v>
      </c>
      <c r="AS252" s="163" t="s">
        <v>411</v>
      </c>
      <c r="AT252" s="163">
        <v>1020</v>
      </c>
      <c r="AU252" s="163" t="s">
        <v>324</v>
      </c>
      <c r="AV252" s="163">
        <v>3</v>
      </c>
      <c r="AW252" s="163">
        <v>4.62</v>
      </c>
      <c r="AX252" s="168" t="s">
        <v>677</v>
      </c>
      <c r="AY252" s="166">
        <v>1</v>
      </c>
      <c r="AZ252" s="166" t="s">
        <v>338</v>
      </c>
    </row>
    <row r="253" spans="38:52" hidden="1" x14ac:dyDescent="0.25">
      <c r="AL253" s="15" t="s">
        <v>678</v>
      </c>
      <c r="AM253" s="15" t="s">
        <v>320</v>
      </c>
      <c r="AN253" s="163" t="s">
        <v>454</v>
      </c>
      <c r="AO253" s="163"/>
      <c r="AP253" s="163" t="s">
        <v>376</v>
      </c>
      <c r="AQ253" s="163"/>
      <c r="AR253" s="164" t="s">
        <v>675</v>
      </c>
      <c r="AS253" s="163" t="s">
        <v>323</v>
      </c>
      <c r="AT253" s="163">
        <v>790</v>
      </c>
      <c r="AU253" s="163" t="s">
        <v>324</v>
      </c>
      <c r="AV253" s="163">
        <v>3</v>
      </c>
      <c r="AW253" s="163">
        <v>4.62</v>
      </c>
      <c r="AX253" s="168"/>
      <c r="AY253" s="166">
        <v>1</v>
      </c>
      <c r="AZ253" s="166" t="s">
        <v>338</v>
      </c>
    </row>
    <row r="254" spans="38:52" hidden="1" x14ac:dyDescent="0.25">
      <c r="AL254" s="15" t="s">
        <v>679</v>
      </c>
      <c r="AM254" s="15" t="s">
        <v>320</v>
      </c>
      <c r="AN254" s="163" t="s">
        <v>454</v>
      </c>
      <c r="AO254" s="163"/>
      <c r="AP254" s="163" t="s">
        <v>376</v>
      </c>
      <c r="AQ254" s="163"/>
      <c r="AR254" s="164" t="s">
        <v>675</v>
      </c>
      <c r="AS254" s="163" t="s">
        <v>340</v>
      </c>
      <c r="AT254" s="163">
        <v>657</v>
      </c>
      <c r="AU254" s="163" t="s">
        <v>324</v>
      </c>
      <c r="AV254" s="163">
        <v>3</v>
      </c>
      <c r="AW254" s="163">
        <v>4.62</v>
      </c>
      <c r="AX254" s="168"/>
      <c r="AY254" s="166">
        <v>1</v>
      </c>
      <c r="AZ254" s="166" t="s">
        <v>338</v>
      </c>
    </row>
    <row r="255" spans="38:52" hidden="1" x14ac:dyDescent="0.25">
      <c r="AL255" s="15" t="s">
        <v>680</v>
      </c>
      <c r="AM255" s="15" t="s">
        <v>320</v>
      </c>
      <c r="AN255" s="163" t="s">
        <v>454</v>
      </c>
      <c r="AO255" s="163"/>
      <c r="AP255" s="163" t="s">
        <v>395</v>
      </c>
      <c r="AQ255" s="163"/>
      <c r="AR255" s="164" t="s">
        <v>675</v>
      </c>
      <c r="AS255" s="163" t="s">
        <v>337</v>
      </c>
      <c r="AT255" s="163">
        <v>900</v>
      </c>
      <c r="AU255" s="163" t="s">
        <v>324</v>
      </c>
      <c r="AV255" s="163">
        <v>3</v>
      </c>
      <c r="AW255" s="171">
        <v>4.625</v>
      </c>
      <c r="AX255" s="168"/>
      <c r="AY255" s="166">
        <v>1</v>
      </c>
      <c r="AZ255" s="166" t="s">
        <v>326</v>
      </c>
    </row>
    <row r="256" spans="38:52" hidden="1" x14ac:dyDescent="0.25">
      <c r="AL256" s="15" t="s">
        <v>681</v>
      </c>
      <c r="AM256" s="15" t="s">
        <v>320</v>
      </c>
      <c r="AN256" s="163" t="s">
        <v>454</v>
      </c>
      <c r="AO256" s="163"/>
      <c r="AP256" s="163" t="s">
        <v>395</v>
      </c>
      <c r="AQ256" s="163"/>
      <c r="AR256" s="164" t="s">
        <v>675</v>
      </c>
      <c r="AS256" s="163" t="s">
        <v>340</v>
      </c>
      <c r="AT256" s="163">
        <v>680</v>
      </c>
      <c r="AU256" s="163" t="s">
        <v>324</v>
      </c>
      <c r="AV256" s="163">
        <v>3</v>
      </c>
      <c r="AW256" s="171">
        <v>4.625</v>
      </c>
      <c r="AX256" s="168"/>
      <c r="AY256" s="166">
        <v>1</v>
      </c>
      <c r="AZ256" s="166" t="s">
        <v>338</v>
      </c>
    </row>
    <row r="257" spans="38:52" hidden="1" x14ac:dyDescent="0.25">
      <c r="AL257" s="15" t="s">
        <v>682</v>
      </c>
      <c r="AM257" s="15" t="s">
        <v>320</v>
      </c>
      <c r="AN257" s="163" t="s">
        <v>454</v>
      </c>
      <c r="AO257" s="163"/>
      <c r="AP257" s="163" t="s">
        <v>395</v>
      </c>
      <c r="AQ257" s="163"/>
      <c r="AR257" s="164" t="s">
        <v>675</v>
      </c>
      <c r="AS257" s="163" t="s">
        <v>323</v>
      </c>
      <c r="AT257" s="163">
        <v>790</v>
      </c>
      <c r="AU257" s="163" t="s">
        <v>324</v>
      </c>
      <c r="AV257" s="163">
        <v>3</v>
      </c>
      <c r="AW257" s="171">
        <v>4.625</v>
      </c>
      <c r="AX257" s="168"/>
      <c r="AY257" s="166">
        <v>1</v>
      </c>
      <c r="AZ257" s="166" t="s">
        <v>338</v>
      </c>
    </row>
    <row r="258" spans="38:52" hidden="1" x14ac:dyDescent="0.25">
      <c r="AL258" s="15" t="s">
        <v>683</v>
      </c>
      <c r="AM258" s="15" t="s">
        <v>320</v>
      </c>
      <c r="AN258" s="163" t="s">
        <v>454</v>
      </c>
      <c r="AO258" s="163"/>
      <c r="AP258" s="163" t="s">
        <v>391</v>
      </c>
      <c r="AQ258" s="163"/>
      <c r="AR258" s="164" t="s">
        <v>675</v>
      </c>
      <c r="AS258" s="163" t="s">
        <v>323</v>
      </c>
      <c r="AT258" s="163">
        <v>790</v>
      </c>
      <c r="AU258" s="163" t="s">
        <v>324</v>
      </c>
      <c r="AV258" s="163">
        <v>3</v>
      </c>
      <c r="AW258" s="163">
        <v>4</v>
      </c>
      <c r="AX258" s="168" t="s">
        <v>389</v>
      </c>
      <c r="AY258" s="166">
        <v>1</v>
      </c>
      <c r="AZ258" s="166" t="s">
        <v>338</v>
      </c>
    </row>
    <row r="259" spans="38:52" hidden="1" x14ac:dyDescent="0.25">
      <c r="AL259" s="15" t="s">
        <v>684</v>
      </c>
      <c r="AM259" s="15" t="s">
        <v>320</v>
      </c>
      <c r="AN259" s="163" t="s">
        <v>454</v>
      </c>
      <c r="AO259" s="163"/>
      <c r="AP259" s="163" t="s">
        <v>395</v>
      </c>
      <c r="AQ259" s="163"/>
      <c r="AR259" s="164" t="s">
        <v>685</v>
      </c>
      <c r="AS259" s="163" t="s">
        <v>337</v>
      </c>
      <c r="AT259" s="163">
        <v>900</v>
      </c>
      <c r="AU259" s="163" t="s">
        <v>324</v>
      </c>
      <c r="AV259" s="163">
        <v>3</v>
      </c>
      <c r="AW259" s="163"/>
      <c r="AX259" s="168" t="s">
        <v>686</v>
      </c>
      <c r="AY259" s="166">
        <v>1</v>
      </c>
      <c r="AZ259" s="166" t="s">
        <v>326</v>
      </c>
    </row>
    <row r="260" spans="38:52" hidden="1" x14ac:dyDescent="0.25">
      <c r="AL260" s="166" t="s">
        <v>687</v>
      </c>
      <c r="AM260" s="166" t="s">
        <v>320</v>
      </c>
      <c r="AN260" s="165" t="s">
        <v>454</v>
      </c>
      <c r="AO260" s="165"/>
      <c r="AP260" s="165" t="s">
        <v>688</v>
      </c>
      <c r="AQ260" s="165"/>
      <c r="AR260" s="167" t="s">
        <v>689</v>
      </c>
      <c r="AS260" s="165" t="s">
        <v>323</v>
      </c>
      <c r="AT260" s="165">
        <v>900</v>
      </c>
      <c r="AU260" s="165" t="s">
        <v>402</v>
      </c>
      <c r="AV260" s="165">
        <v>4</v>
      </c>
      <c r="AW260" s="165"/>
      <c r="AX260" s="168" t="s">
        <v>482</v>
      </c>
      <c r="AY260" s="166">
        <v>1</v>
      </c>
      <c r="AZ260" s="166" t="s">
        <v>326</v>
      </c>
    </row>
    <row r="261" spans="38:52" hidden="1" x14ac:dyDescent="0.25">
      <c r="AL261" s="166" t="s">
        <v>690</v>
      </c>
      <c r="AM261" s="166" t="s">
        <v>320</v>
      </c>
      <c r="AN261" s="165" t="s">
        <v>454</v>
      </c>
      <c r="AO261" s="165"/>
      <c r="AP261" s="165" t="s">
        <v>688</v>
      </c>
      <c r="AQ261" s="165"/>
      <c r="AR261" s="167" t="s">
        <v>689</v>
      </c>
      <c r="AS261" s="165" t="s">
        <v>337</v>
      </c>
      <c r="AT261" s="165">
        <v>950</v>
      </c>
      <c r="AU261" s="165" t="s">
        <v>402</v>
      </c>
      <c r="AV261" s="165">
        <v>4</v>
      </c>
      <c r="AW261" s="165"/>
      <c r="AX261" s="168" t="s">
        <v>482</v>
      </c>
      <c r="AY261" s="166">
        <v>1</v>
      </c>
      <c r="AZ261" s="166" t="s">
        <v>326</v>
      </c>
    </row>
    <row r="262" spans="38:52" hidden="1" x14ac:dyDescent="0.25">
      <c r="AL262" s="15" t="s">
        <v>691</v>
      </c>
      <c r="AM262" s="15" t="s">
        <v>320</v>
      </c>
      <c r="AN262" s="163" t="s">
        <v>454</v>
      </c>
      <c r="AO262" s="163"/>
      <c r="AP262" s="163" t="s">
        <v>474</v>
      </c>
      <c r="AQ262" s="163"/>
      <c r="AR262" s="164" t="s">
        <v>407</v>
      </c>
      <c r="AS262" s="163" t="s">
        <v>323</v>
      </c>
      <c r="AT262" s="163">
        <v>720</v>
      </c>
      <c r="AU262" s="163" t="s">
        <v>475</v>
      </c>
      <c r="AV262" s="163">
        <v>3</v>
      </c>
      <c r="AW262" s="171">
        <v>4.625</v>
      </c>
      <c r="AX262" s="168"/>
      <c r="AY262" s="166">
        <v>1</v>
      </c>
      <c r="AZ262" s="166" t="s">
        <v>338</v>
      </c>
    </row>
    <row r="263" spans="38:52" hidden="1" x14ac:dyDescent="0.25">
      <c r="AL263" s="166" t="s">
        <v>692</v>
      </c>
      <c r="AM263" s="166" t="s">
        <v>320</v>
      </c>
      <c r="AN263" s="165" t="s">
        <v>454</v>
      </c>
      <c r="AO263" s="165"/>
      <c r="AP263" s="165" t="s">
        <v>376</v>
      </c>
      <c r="AQ263" s="165"/>
      <c r="AR263" s="167" t="s">
        <v>410</v>
      </c>
      <c r="AS263" s="165" t="s">
        <v>337</v>
      </c>
      <c r="AT263" s="165">
        <v>1600</v>
      </c>
      <c r="AU263" s="165" t="s">
        <v>324</v>
      </c>
      <c r="AV263" s="165">
        <v>3</v>
      </c>
      <c r="AW263" s="165">
        <v>4.62</v>
      </c>
      <c r="AX263" s="168"/>
      <c r="AY263" s="166">
        <v>1</v>
      </c>
      <c r="AZ263" s="166" t="s">
        <v>326</v>
      </c>
    </row>
    <row r="264" spans="38:52" hidden="1" x14ac:dyDescent="0.25">
      <c r="AL264" s="166" t="s">
        <v>693</v>
      </c>
      <c r="AM264" s="166" t="s">
        <v>320</v>
      </c>
      <c r="AN264" s="165" t="s">
        <v>454</v>
      </c>
      <c r="AO264" s="165"/>
      <c r="AP264" s="165" t="s">
        <v>376</v>
      </c>
      <c r="AQ264" s="165"/>
      <c r="AR264" s="167" t="s">
        <v>410</v>
      </c>
      <c r="AS264" s="165" t="s">
        <v>411</v>
      </c>
      <c r="AT264" s="165">
        <v>1900</v>
      </c>
      <c r="AU264" s="165" t="s">
        <v>324</v>
      </c>
      <c r="AV264" s="165">
        <v>3</v>
      </c>
      <c r="AW264" s="165">
        <v>4.62</v>
      </c>
      <c r="AX264" s="168"/>
      <c r="AY264" s="166">
        <v>1</v>
      </c>
      <c r="AZ264" s="166" t="s">
        <v>326</v>
      </c>
    </row>
    <row r="265" spans="38:52" hidden="1" x14ac:dyDescent="0.25">
      <c r="AL265" s="166" t="s">
        <v>694</v>
      </c>
      <c r="AM265" s="166" t="s">
        <v>320</v>
      </c>
      <c r="AN265" s="165" t="s">
        <v>454</v>
      </c>
      <c r="AO265" s="165"/>
      <c r="AP265" s="165" t="s">
        <v>395</v>
      </c>
      <c r="AQ265" s="165"/>
      <c r="AR265" s="167" t="s">
        <v>373</v>
      </c>
      <c r="AS265" s="165" t="s">
        <v>411</v>
      </c>
      <c r="AT265" s="165">
        <v>1435</v>
      </c>
      <c r="AU265" s="165" t="s">
        <v>324</v>
      </c>
      <c r="AV265" s="165">
        <v>3</v>
      </c>
      <c r="AW265" s="172">
        <v>4.625</v>
      </c>
      <c r="AX265" s="168"/>
      <c r="AY265" s="166">
        <v>1</v>
      </c>
      <c r="AZ265" s="166" t="s">
        <v>326</v>
      </c>
    </row>
    <row r="266" spans="38:52" hidden="1" x14ac:dyDescent="0.25">
      <c r="AL266" s="166" t="s">
        <v>695</v>
      </c>
      <c r="AM266" s="166" t="s">
        <v>320</v>
      </c>
      <c r="AN266" s="165" t="s">
        <v>454</v>
      </c>
      <c r="AO266" s="165"/>
      <c r="AP266" s="165" t="s">
        <v>395</v>
      </c>
      <c r="AQ266" s="165"/>
      <c r="AR266" s="167" t="s">
        <v>373</v>
      </c>
      <c r="AS266" s="165" t="s">
        <v>337</v>
      </c>
      <c r="AT266" s="165">
        <v>1250</v>
      </c>
      <c r="AU266" s="165" t="s">
        <v>324</v>
      </c>
      <c r="AV266" s="165">
        <v>3</v>
      </c>
      <c r="AW266" s="172">
        <v>4.625</v>
      </c>
      <c r="AX266" s="168"/>
      <c r="AY266" s="166">
        <v>1</v>
      </c>
      <c r="AZ266" s="166" t="s">
        <v>338</v>
      </c>
    </row>
    <row r="267" spans="38:52" hidden="1" x14ac:dyDescent="0.25">
      <c r="AL267" s="15" t="s">
        <v>696</v>
      </c>
      <c r="AM267" s="15" t="s">
        <v>320</v>
      </c>
      <c r="AN267" s="163" t="s">
        <v>454</v>
      </c>
      <c r="AO267" s="163"/>
      <c r="AP267" s="163" t="s">
        <v>395</v>
      </c>
      <c r="AQ267" s="163"/>
      <c r="AR267" s="164" t="s">
        <v>373</v>
      </c>
      <c r="AS267" s="163" t="s">
        <v>323</v>
      </c>
      <c r="AT267" s="163">
        <v>1040</v>
      </c>
      <c r="AU267" s="163" t="s">
        <v>324</v>
      </c>
      <c r="AV267" s="163">
        <v>3</v>
      </c>
      <c r="AW267" s="171">
        <v>4.625</v>
      </c>
      <c r="AX267" s="168"/>
      <c r="AY267" s="166">
        <v>1</v>
      </c>
      <c r="AZ267" s="166" t="s">
        <v>338</v>
      </c>
    </row>
    <row r="268" spans="38:52" hidden="1" x14ac:dyDescent="0.25">
      <c r="AL268" s="166" t="s">
        <v>697</v>
      </c>
      <c r="AM268" s="166" t="s">
        <v>320</v>
      </c>
      <c r="AN268" s="165" t="s">
        <v>454</v>
      </c>
      <c r="AO268" s="165"/>
      <c r="AP268" s="165" t="s">
        <v>395</v>
      </c>
      <c r="AQ268" s="165"/>
      <c r="AR268" s="167" t="s">
        <v>436</v>
      </c>
      <c r="AS268" s="165" t="s">
        <v>411</v>
      </c>
      <c r="AT268" s="165">
        <v>1050</v>
      </c>
      <c r="AU268" s="165" t="s">
        <v>324</v>
      </c>
      <c r="AV268" s="165">
        <v>3</v>
      </c>
      <c r="AW268" s="165"/>
      <c r="AX268" s="168"/>
      <c r="AY268" s="166">
        <v>1</v>
      </c>
      <c r="AZ268" s="166" t="s">
        <v>326</v>
      </c>
    </row>
    <row r="269" spans="38:52" hidden="1" x14ac:dyDescent="0.25">
      <c r="AL269" s="166" t="s">
        <v>698</v>
      </c>
      <c r="AM269" s="166" t="s">
        <v>320</v>
      </c>
      <c r="AN269" s="165" t="s">
        <v>454</v>
      </c>
      <c r="AO269" s="165">
        <v>5</v>
      </c>
      <c r="AP269" s="165" t="s">
        <v>376</v>
      </c>
      <c r="AQ269" s="165" t="s">
        <v>376</v>
      </c>
      <c r="AR269" s="167" t="s">
        <v>436</v>
      </c>
      <c r="AS269" s="165" t="s">
        <v>411</v>
      </c>
      <c r="AT269" s="165">
        <v>1180</v>
      </c>
      <c r="AU269" s="165" t="s">
        <v>324</v>
      </c>
      <c r="AV269" s="165">
        <v>3</v>
      </c>
      <c r="AW269" s="165" t="s">
        <v>394</v>
      </c>
      <c r="AX269" s="168"/>
      <c r="AY269" s="166">
        <v>1</v>
      </c>
      <c r="AZ269" s="166" t="s">
        <v>326</v>
      </c>
    </row>
    <row r="270" spans="38:52" hidden="1" x14ac:dyDescent="0.25">
      <c r="AL270" s="15" t="s">
        <v>699</v>
      </c>
      <c r="AM270" s="15" t="s">
        <v>320</v>
      </c>
      <c r="AN270" s="163" t="s">
        <v>700</v>
      </c>
      <c r="AO270" s="163"/>
      <c r="AP270" s="163" t="s">
        <v>335</v>
      </c>
      <c r="AQ270" s="163"/>
      <c r="AR270" s="164" t="s">
        <v>362</v>
      </c>
      <c r="AS270" s="163" t="s">
        <v>337</v>
      </c>
      <c r="AT270" s="163">
        <v>1138</v>
      </c>
      <c r="AU270" s="163" t="s">
        <v>701</v>
      </c>
      <c r="AV270" s="163">
        <v>3</v>
      </c>
      <c r="AW270" s="163" t="s">
        <v>354</v>
      </c>
      <c r="AX270" s="168" t="s">
        <v>702</v>
      </c>
      <c r="AY270" s="166">
        <v>1</v>
      </c>
      <c r="AZ270" s="166" t="s">
        <v>326</v>
      </c>
    </row>
    <row r="271" spans="38:52" hidden="1" x14ac:dyDescent="0.25">
      <c r="AL271" s="166" t="s">
        <v>703</v>
      </c>
      <c r="AM271" s="166" t="s">
        <v>320</v>
      </c>
      <c r="AN271" s="165" t="s">
        <v>704</v>
      </c>
      <c r="AO271" s="163"/>
      <c r="AP271" s="165" t="s">
        <v>452</v>
      </c>
      <c r="AQ271" s="165"/>
      <c r="AR271" s="167" t="s">
        <v>436</v>
      </c>
      <c r="AS271" s="165" t="s">
        <v>705</v>
      </c>
      <c r="AT271" s="165">
        <v>925</v>
      </c>
      <c r="AU271" s="165" t="s">
        <v>453</v>
      </c>
      <c r="AV271" s="165">
        <v>4</v>
      </c>
      <c r="AW271" s="165" t="s">
        <v>454</v>
      </c>
      <c r="AX271" s="168"/>
      <c r="AY271" s="166">
        <v>1</v>
      </c>
      <c r="AZ271" s="166" t="s">
        <v>326</v>
      </c>
    </row>
    <row r="272" spans="38:52" hidden="1" x14ac:dyDescent="0.25">
      <c r="AL272" s="166" t="s">
        <v>706</v>
      </c>
      <c r="AM272" s="166" t="s">
        <v>320</v>
      </c>
      <c r="AN272" s="165" t="s">
        <v>707</v>
      </c>
      <c r="AO272" s="165"/>
      <c r="AP272" s="165" t="s">
        <v>452</v>
      </c>
      <c r="AQ272" s="165"/>
      <c r="AR272" s="167" t="s">
        <v>377</v>
      </c>
      <c r="AS272" s="165" t="s">
        <v>411</v>
      </c>
      <c r="AT272" s="165">
        <v>1900</v>
      </c>
      <c r="AU272" s="165" t="s">
        <v>453</v>
      </c>
      <c r="AV272" s="165">
        <v>5</v>
      </c>
      <c r="AW272" s="165">
        <v>5.5</v>
      </c>
      <c r="AX272" s="168" t="s">
        <v>331</v>
      </c>
      <c r="AY272" s="166">
        <v>1</v>
      </c>
      <c r="AZ272" s="166" t="s">
        <v>326</v>
      </c>
    </row>
    <row r="273" spans="38:52" hidden="1" x14ac:dyDescent="0.25">
      <c r="AL273" s="166" t="s">
        <v>708</v>
      </c>
      <c r="AM273" s="166" t="s">
        <v>320</v>
      </c>
      <c r="AN273" s="165" t="s">
        <v>707</v>
      </c>
      <c r="AO273" s="163"/>
      <c r="AP273" s="165" t="s">
        <v>452</v>
      </c>
      <c r="AQ273" s="165"/>
      <c r="AR273" s="167" t="s">
        <v>377</v>
      </c>
      <c r="AS273" s="165" t="s">
        <v>337</v>
      </c>
      <c r="AT273" s="165">
        <v>1050</v>
      </c>
      <c r="AU273" s="165" t="s">
        <v>453</v>
      </c>
      <c r="AV273" s="165">
        <v>4</v>
      </c>
      <c r="AW273" s="165" t="s">
        <v>454</v>
      </c>
      <c r="AX273" s="168"/>
      <c r="AY273" s="166">
        <v>1</v>
      </c>
      <c r="AZ273" s="166" t="s">
        <v>326</v>
      </c>
    </row>
    <row r="274" spans="38:52" hidden="1" x14ac:dyDescent="0.25">
      <c r="AL274" s="166" t="s">
        <v>709</v>
      </c>
      <c r="AM274" s="166" t="s">
        <v>320</v>
      </c>
      <c r="AN274" s="163" t="s">
        <v>707</v>
      </c>
      <c r="AO274" s="163"/>
      <c r="AP274" s="165" t="s">
        <v>395</v>
      </c>
      <c r="AQ274" s="163"/>
      <c r="AR274" s="164" t="s">
        <v>377</v>
      </c>
      <c r="AS274" s="163" t="s">
        <v>323</v>
      </c>
      <c r="AT274" s="165">
        <v>898</v>
      </c>
      <c r="AU274" s="165" t="s">
        <v>453</v>
      </c>
      <c r="AV274" s="165">
        <v>4</v>
      </c>
      <c r="AW274" s="165" t="s">
        <v>454</v>
      </c>
      <c r="AX274" s="168"/>
      <c r="AY274" s="166">
        <v>1</v>
      </c>
      <c r="AZ274" s="166" t="s">
        <v>326</v>
      </c>
    </row>
    <row r="275" spans="38:52" hidden="1" x14ac:dyDescent="0.25">
      <c r="AL275" s="166" t="s">
        <v>710</v>
      </c>
      <c r="AM275" s="166" t="s">
        <v>320</v>
      </c>
      <c r="AN275" s="163" t="s">
        <v>707</v>
      </c>
      <c r="AO275" s="163"/>
      <c r="AP275" s="165" t="s">
        <v>395</v>
      </c>
      <c r="AQ275" s="163"/>
      <c r="AR275" s="164" t="s">
        <v>377</v>
      </c>
      <c r="AS275" s="163" t="s">
        <v>337</v>
      </c>
      <c r="AT275" s="165">
        <v>1050</v>
      </c>
      <c r="AU275" s="165" t="s">
        <v>453</v>
      </c>
      <c r="AV275" s="165">
        <v>4</v>
      </c>
      <c r="AW275" s="165" t="s">
        <v>454</v>
      </c>
      <c r="AX275" s="168"/>
      <c r="AY275" s="166">
        <v>1</v>
      </c>
      <c r="AZ275" s="166" t="s">
        <v>326</v>
      </c>
    </row>
    <row r="276" spans="38:52" hidden="1" x14ac:dyDescent="0.25">
      <c r="AL276" s="15" t="s">
        <v>711</v>
      </c>
      <c r="AM276" s="15" t="s">
        <v>320</v>
      </c>
      <c r="AN276" s="163" t="s">
        <v>707</v>
      </c>
      <c r="AO276" s="163"/>
      <c r="AP276" s="163" t="s">
        <v>452</v>
      </c>
      <c r="AQ276" s="163"/>
      <c r="AR276" s="164" t="s">
        <v>377</v>
      </c>
      <c r="AS276" s="163" t="s">
        <v>340</v>
      </c>
      <c r="AT276" s="163">
        <v>730</v>
      </c>
      <c r="AU276" s="163" t="s">
        <v>453</v>
      </c>
      <c r="AV276" s="163">
        <v>4</v>
      </c>
      <c r="AW276" s="163" t="s">
        <v>454</v>
      </c>
      <c r="AX276" s="168"/>
      <c r="AY276" s="166">
        <v>1</v>
      </c>
      <c r="AZ276" s="166" t="s">
        <v>338</v>
      </c>
    </row>
    <row r="277" spans="38:52" hidden="1" x14ac:dyDescent="0.25">
      <c r="AL277" s="15" t="s">
        <v>712</v>
      </c>
      <c r="AM277" s="15" t="s">
        <v>320</v>
      </c>
      <c r="AN277" s="163" t="s">
        <v>707</v>
      </c>
      <c r="AO277" s="163"/>
      <c r="AP277" s="163" t="s">
        <v>452</v>
      </c>
      <c r="AQ277" s="163"/>
      <c r="AR277" s="164" t="s">
        <v>377</v>
      </c>
      <c r="AS277" s="163" t="s">
        <v>323</v>
      </c>
      <c r="AT277" s="163">
        <v>890</v>
      </c>
      <c r="AU277" s="163" t="s">
        <v>453</v>
      </c>
      <c r="AV277" s="163">
        <v>4</v>
      </c>
      <c r="AW277" s="163" t="s">
        <v>454</v>
      </c>
      <c r="AX277" s="168"/>
      <c r="AY277" s="166">
        <v>1</v>
      </c>
      <c r="AZ277" s="166" t="s">
        <v>338</v>
      </c>
    </row>
    <row r="278" spans="38:52" hidden="1" x14ac:dyDescent="0.25">
      <c r="AL278" s="166" t="s">
        <v>713</v>
      </c>
      <c r="AM278" s="166" t="s">
        <v>320</v>
      </c>
      <c r="AN278" s="165" t="s">
        <v>707</v>
      </c>
      <c r="AO278" s="165"/>
      <c r="AP278" s="165" t="s">
        <v>452</v>
      </c>
      <c r="AQ278" s="165"/>
      <c r="AR278" s="167" t="s">
        <v>330</v>
      </c>
      <c r="AS278" s="165" t="s">
        <v>714</v>
      </c>
      <c r="AT278" s="165">
        <v>1885</v>
      </c>
      <c r="AU278" s="165" t="s">
        <v>453</v>
      </c>
      <c r="AV278" s="165">
        <v>5</v>
      </c>
      <c r="AW278" s="165"/>
      <c r="AX278" s="168"/>
      <c r="AY278" s="166">
        <v>1</v>
      </c>
      <c r="AZ278" s="166" t="s">
        <v>338</v>
      </c>
    </row>
    <row r="279" spans="38:52" hidden="1" x14ac:dyDescent="0.25">
      <c r="AL279" s="166" t="s">
        <v>715</v>
      </c>
      <c r="AM279" s="166" t="s">
        <v>320</v>
      </c>
      <c r="AN279" s="165" t="s">
        <v>707</v>
      </c>
      <c r="AO279" s="165"/>
      <c r="AP279" s="165" t="s">
        <v>452</v>
      </c>
      <c r="AQ279" s="165"/>
      <c r="AR279" s="167" t="s">
        <v>330</v>
      </c>
      <c r="AS279" s="165" t="s">
        <v>337</v>
      </c>
      <c r="AT279" s="165">
        <v>1590</v>
      </c>
      <c r="AU279" s="165" t="s">
        <v>453</v>
      </c>
      <c r="AV279" s="165">
        <v>5</v>
      </c>
      <c r="AW279" s="165"/>
      <c r="AX279" s="168"/>
      <c r="AY279" s="166">
        <v>1</v>
      </c>
      <c r="AZ279" s="166" t="s">
        <v>326</v>
      </c>
    </row>
    <row r="280" spans="38:52" hidden="1" x14ac:dyDescent="0.25">
      <c r="AL280" s="15" t="s">
        <v>716</v>
      </c>
      <c r="AM280" s="15" t="s">
        <v>320</v>
      </c>
      <c r="AN280" s="163" t="s">
        <v>707</v>
      </c>
      <c r="AO280" s="163"/>
      <c r="AP280" s="163" t="s">
        <v>452</v>
      </c>
      <c r="AQ280" s="163"/>
      <c r="AR280" s="164" t="s">
        <v>330</v>
      </c>
      <c r="AS280" s="163" t="s">
        <v>717</v>
      </c>
      <c r="AT280" s="163">
        <v>1100</v>
      </c>
      <c r="AU280" s="163" t="s">
        <v>453</v>
      </c>
      <c r="AV280" s="163">
        <v>4</v>
      </c>
      <c r="AW280" s="163" t="s">
        <v>454</v>
      </c>
      <c r="AX280" s="168" t="s">
        <v>718</v>
      </c>
      <c r="AY280" s="166">
        <v>1</v>
      </c>
      <c r="AZ280" s="166" t="s">
        <v>338</v>
      </c>
    </row>
    <row r="281" spans="38:52" hidden="1" x14ac:dyDescent="0.25">
      <c r="AL281" s="15" t="s">
        <v>719</v>
      </c>
      <c r="AM281" s="15" t="s">
        <v>320</v>
      </c>
      <c r="AN281" s="163" t="s">
        <v>707</v>
      </c>
      <c r="AO281" s="163"/>
      <c r="AP281" s="163" t="s">
        <v>452</v>
      </c>
      <c r="AQ281" s="163"/>
      <c r="AR281" s="164" t="s">
        <v>330</v>
      </c>
      <c r="AS281" s="163" t="s">
        <v>323</v>
      </c>
      <c r="AT281" s="163">
        <v>1500</v>
      </c>
      <c r="AU281" s="163" t="s">
        <v>453</v>
      </c>
      <c r="AV281" s="163">
        <v>4</v>
      </c>
      <c r="AW281" s="163" t="s">
        <v>454</v>
      </c>
      <c r="AX281" s="168"/>
      <c r="AY281" s="166">
        <v>1</v>
      </c>
      <c r="AZ281" s="166" t="s">
        <v>338</v>
      </c>
    </row>
    <row r="282" spans="38:52" hidden="1" x14ac:dyDescent="0.25">
      <c r="AL282" s="166" t="s">
        <v>720</v>
      </c>
      <c r="AM282" s="166" t="s">
        <v>320</v>
      </c>
      <c r="AN282" s="165" t="s">
        <v>707</v>
      </c>
      <c r="AO282" s="165"/>
      <c r="AP282" s="165" t="s">
        <v>688</v>
      </c>
      <c r="AQ282" s="165"/>
      <c r="AR282" s="167" t="s">
        <v>436</v>
      </c>
      <c r="AS282" s="165" t="s">
        <v>411</v>
      </c>
      <c r="AT282" s="165">
        <v>1500</v>
      </c>
      <c r="AU282" s="165" t="s">
        <v>453</v>
      </c>
      <c r="AV282" s="165">
        <v>4</v>
      </c>
      <c r="AW282" s="165" t="s">
        <v>454</v>
      </c>
      <c r="AX282" s="168"/>
      <c r="AY282" s="166">
        <v>1</v>
      </c>
      <c r="AZ282" s="166" t="s">
        <v>326</v>
      </c>
    </row>
    <row r="283" spans="38:52" hidden="1" x14ac:dyDescent="0.25">
      <c r="AL283" s="15" t="s">
        <v>721</v>
      </c>
      <c r="AM283" s="15" t="s">
        <v>320</v>
      </c>
      <c r="AN283" s="163" t="s">
        <v>707</v>
      </c>
      <c r="AO283" s="163"/>
      <c r="AP283" s="163" t="s">
        <v>452</v>
      </c>
      <c r="AQ283" s="163"/>
      <c r="AR283" s="164" t="s">
        <v>436</v>
      </c>
      <c r="AS283" s="163" t="s">
        <v>411</v>
      </c>
      <c r="AT283" s="163">
        <v>1500</v>
      </c>
      <c r="AU283" s="163" t="s">
        <v>453</v>
      </c>
      <c r="AV283" s="163">
        <v>4</v>
      </c>
      <c r="AW283" s="163" t="s">
        <v>454</v>
      </c>
      <c r="AX283" s="168"/>
      <c r="AY283" s="166">
        <v>1</v>
      </c>
      <c r="AZ283" s="166" t="s">
        <v>326</v>
      </c>
    </row>
    <row r="284" spans="38:52" hidden="1" x14ac:dyDescent="0.25">
      <c r="AL284" s="166" t="s">
        <v>722</v>
      </c>
      <c r="AM284" s="166" t="s">
        <v>320</v>
      </c>
      <c r="AN284" s="165" t="s">
        <v>723</v>
      </c>
      <c r="AO284" s="165"/>
      <c r="AP284" s="165" t="s">
        <v>517</v>
      </c>
      <c r="AQ284" s="165" t="s">
        <v>517</v>
      </c>
      <c r="AR284" s="167" t="s">
        <v>407</v>
      </c>
      <c r="AS284" s="165" t="s">
        <v>411</v>
      </c>
      <c r="AT284" s="165">
        <v>2400</v>
      </c>
      <c r="AU284" s="165" t="s">
        <v>515</v>
      </c>
      <c r="AV284" s="172">
        <v>6.75</v>
      </c>
      <c r="AW284" s="172">
        <v>6.75</v>
      </c>
      <c r="AX284" s="168" t="s">
        <v>724</v>
      </c>
      <c r="AY284" s="166">
        <v>1</v>
      </c>
      <c r="AZ284" s="166" t="s">
        <v>326</v>
      </c>
    </row>
    <row r="285" spans="38:52" hidden="1" x14ac:dyDescent="0.25">
      <c r="AL285" s="15" t="s">
        <v>725</v>
      </c>
      <c r="AM285" s="15" t="s">
        <v>320</v>
      </c>
      <c r="AN285" s="163" t="s">
        <v>726</v>
      </c>
      <c r="AO285" s="163"/>
      <c r="AP285" s="163" t="s">
        <v>504</v>
      </c>
      <c r="AQ285" s="163"/>
      <c r="AR285" s="164" t="s">
        <v>377</v>
      </c>
      <c r="AS285" s="163" t="s">
        <v>337</v>
      </c>
      <c r="AT285" s="163">
        <v>1745</v>
      </c>
      <c r="AU285" s="163" t="s">
        <v>515</v>
      </c>
      <c r="AV285" s="163">
        <v>7</v>
      </c>
      <c r="AW285" s="171">
        <v>7.75</v>
      </c>
      <c r="AX285" s="168" t="s">
        <v>727</v>
      </c>
      <c r="AY285" s="166">
        <v>1</v>
      </c>
      <c r="AZ285" s="166" t="s">
        <v>326</v>
      </c>
    </row>
    <row r="286" spans="38:52" hidden="1" x14ac:dyDescent="0.25">
      <c r="AL286" s="15" t="s">
        <v>728</v>
      </c>
      <c r="AM286" s="15" t="s">
        <v>320</v>
      </c>
      <c r="AN286" s="163" t="s">
        <v>726</v>
      </c>
      <c r="AO286" s="163"/>
      <c r="AP286" s="163" t="s">
        <v>504</v>
      </c>
      <c r="AQ286" s="163"/>
      <c r="AR286" s="164" t="s">
        <v>377</v>
      </c>
      <c r="AS286" s="163" t="s">
        <v>529</v>
      </c>
      <c r="AT286" s="163">
        <v>1625</v>
      </c>
      <c r="AU286" s="163" t="s">
        <v>515</v>
      </c>
      <c r="AV286" s="163">
        <v>7</v>
      </c>
      <c r="AW286" s="171">
        <v>7.75</v>
      </c>
      <c r="AX286" s="168" t="s">
        <v>727</v>
      </c>
      <c r="AY286" s="166">
        <v>1</v>
      </c>
      <c r="AZ286" s="166" t="s">
        <v>326</v>
      </c>
    </row>
    <row r="287" spans="38:52" hidden="1" x14ac:dyDescent="0.25">
      <c r="AL287" s="166" t="s">
        <v>729</v>
      </c>
      <c r="AM287" s="166" t="s">
        <v>320</v>
      </c>
      <c r="AN287" s="165" t="s">
        <v>726</v>
      </c>
      <c r="AO287" s="165"/>
      <c r="AP287" s="165" t="s">
        <v>504</v>
      </c>
      <c r="AQ287" s="165"/>
      <c r="AR287" s="167" t="s">
        <v>330</v>
      </c>
      <c r="AS287" s="165" t="s">
        <v>522</v>
      </c>
      <c r="AT287" s="165">
        <v>3050</v>
      </c>
      <c r="AU287" s="165" t="s">
        <v>515</v>
      </c>
      <c r="AV287" s="165">
        <v>7</v>
      </c>
      <c r="AW287" s="165"/>
      <c r="AX287" s="168"/>
      <c r="AY287" s="166">
        <v>1</v>
      </c>
      <c r="AZ287" s="166" t="s">
        <v>326</v>
      </c>
    </row>
    <row r="288" spans="38:52" hidden="1" x14ac:dyDescent="0.25">
      <c r="AL288" s="15" t="s">
        <v>730</v>
      </c>
      <c r="AM288" s="166" t="s">
        <v>320</v>
      </c>
      <c r="AN288" s="163" t="s">
        <v>726</v>
      </c>
      <c r="AO288" s="163"/>
      <c r="AP288" s="163" t="s">
        <v>504</v>
      </c>
      <c r="AQ288" s="163"/>
      <c r="AR288" s="164" t="s">
        <v>330</v>
      </c>
      <c r="AS288" s="163" t="s">
        <v>337</v>
      </c>
      <c r="AT288" s="163">
        <v>2700</v>
      </c>
      <c r="AU288" s="163" t="s">
        <v>515</v>
      </c>
      <c r="AV288" s="163">
        <v>7</v>
      </c>
      <c r="AW288" s="171">
        <v>7.75</v>
      </c>
      <c r="AX288" s="168" t="s">
        <v>727</v>
      </c>
      <c r="AY288" s="166">
        <v>1</v>
      </c>
      <c r="AZ288" s="166" t="s">
        <v>326</v>
      </c>
    </row>
    <row r="289" spans="38:52" hidden="1" x14ac:dyDescent="0.25">
      <c r="AL289" s="15" t="s">
        <v>733</v>
      </c>
      <c r="AM289" s="15" t="s">
        <v>734</v>
      </c>
      <c r="AN289" s="163">
        <v>3</v>
      </c>
      <c r="AO289" s="163">
        <v>3</v>
      </c>
      <c r="AP289" s="163" t="s">
        <v>335</v>
      </c>
      <c r="AQ289" s="163" t="s">
        <v>335</v>
      </c>
      <c r="AR289" s="164"/>
      <c r="AS289" s="163" t="s">
        <v>735</v>
      </c>
      <c r="AT289" s="163">
        <v>42</v>
      </c>
      <c r="AU289" s="163" t="s">
        <v>330</v>
      </c>
      <c r="AV289" s="163" t="s">
        <v>325</v>
      </c>
      <c r="AW289" s="163">
        <v>4</v>
      </c>
      <c r="AX289" s="168"/>
      <c r="AY289" s="166">
        <v>1</v>
      </c>
      <c r="AZ289" s="166" t="s">
        <v>338</v>
      </c>
    </row>
    <row r="290" spans="38:52" hidden="1" x14ac:dyDescent="0.25">
      <c r="AL290" s="166" t="s">
        <v>736</v>
      </c>
      <c r="AM290" s="166" t="s">
        <v>734</v>
      </c>
      <c r="AN290" s="165">
        <v>3</v>
      </c>
      <c r="AO290" s="165">
        <v>3</v>
      </c>
      <c r="AP290" s="165" t="s">
        <v>335</v>
      </c>
      <c r="AQ290" s="165" t="s">
        <v>335</v>
      </c>
      <c r="AR290" s="167"/>
      <c r="AS290" s="165" t="s">
        <v>735</v>
      </c>
      <c r="AT290" s="165">
        <v>42</v>
      </c>
      <c r="AU290" s="165" t="s">
        <v>330</v>
      </c>
      <c r="AV290" s="165" t="s">
        <v>325</v>
      </c>
      <c r="AW290" s="165" t="s">
        <v>737</v>
      </c>
      <c r="AX290" s="168" t="s">
        <v>738</v>
      </c>
      <c r="AY290" s="166">
        <v>1</v>
      </c>
      <c r="AZ290" s="166" t="s">
        <v>326</v>
      </c>
    </row>
    <row r="291" spans="38:52" hidden="1" x14ac:dyDescent="0.25">
      <c r="AL291" s="166" t="s">
        <v>739</v>
      </c>
      <c r="AM291" s="166" t="s">
        <v>734</v>
      </c>
      <c r="AN291" s="165">
        <v>3</v>
      </c>
      <c r="AO291" s="165">
        <v>3</v>
      </c>
      <c r="AP291" s="165" t="s">
        <v>321</v>
      </c>
      <c r="AQ291" s="165" t="s">
        <v>335</v>
      </c>
      <c r="AR291" s="167"/>
      <c r="AS291" s="165" t="s">
        <v>735</v>
      </c>
      <c r="AT291" s="165">
        <v>42</v>
      </c>
      <c r="AU291" s="165" t="s">
        <v>330</v>
      </c>
      <c r="AV291" s="165" t="s">
        <v>325</v>
      </c>
      <c r="AW291" s="165"/>
      <c r="AX291" s="168" t="s">
        <v>331</v>
      </c>
      <c r="AY291" s="166">
        <v>1</v>
      </c>
      <c r="AZ291" s="166" t="s">
        <v>326</v>
      </c>
    </row>
    <row r="292" spans="38:52" hidden="1" x14ac:dyDescent="0.25">
      <c r="AL292" s="166" t="s">
        <v>740</v>
      </c>
      <c r="AM292" s="166" t="s">
        <v>734</v>
      </c>
      <c r="AN292" s="165">
        <v>3</v>
      </c>
      <c r="AO292" s="165" t="s">
        <v>354</v>
      </c>
      <c r="AP292" s="165" t="s">
        <v>335</v>
      </c>
      <c r="AQ292" s="165" t="s">
        <v>361</v>
      </c>
      <c r="AR292" s="167"/>
      <c r="AS292" s="165" t="s">
        <v>735</v>
      </c>
      <c r="AT292" s="165">
        <v>48</v>
      </c>
      <c r="AU292" s="165" t="s">
        <v>330</v>
      </c>
      <c r="AV292" s="165" t="s">
        <v>325</v>
      </c>
      <c r="AW292" s="165" t="s">
        <v>737</v>
      </c>
      <c r="AX292" s="168" t="s">
        <v>738</v>
      </c>
      <c r="AY292" s="166">
        <v>1</v>
      </c>
      <c r="AZ292" s="166" t="s">
        <v>326</v>
      </c>
    </row>
    <row r="293" spans="38:52" hidden="1" x14ac:dyDescent="0.25">
      <c r="AL293" s="166" t="s">
        <v>741</v>
      </c>
      <c r="AM293" s="166" t="s">
        <v>734</v>
      </c>
      <c r="AN293" s="165">
        <v>3</v>
      </c>
      <c r="AO293" s="165" t="s">
        <v>354</v>
      </c>
      <c r="AP293" s="165" t="s">
        <v>321</v>
      </c>
      <c r="AQ293" s="165" t="s">
        <v>335</v>
      </c>
      <c r="AR293" s="167"/>
      <c r="AS293" s="165" t="s">
        <v>735</v>
      </c>
      <c r="AT293" s="165">
        <v>36</v>
      </c>
      <c r="AU293" s="165" t="s">
        <v>324</v>
      </c>
      <c r="AV293" s="165" t="s">
        <v>325</v>
      </c>
      <c r="AW293" s="165" t="s">
        <v>737</v>
      </c>
      <c r="AX293" s="168"/>
      <c r="AY293" s="166">
        <v>1</v>
      </c>
      <c r="AZ293" s="166" t="s">
        <v>326</v>
      </c>
    </row>
    <row r="294" spans="38:52" hidden="1" x14ac:dyDescent="0.25">
      <c r="AL294" s="166" t="s">
        <v>742</v>
      </c>
      <c r="AM294" s="166" t="s">
        <v>734</v>
      </c>
      <c r="AN294" s="165">
        <v>3</v>
      </c>
      <c r="AO294" s="165" t="s">
        <v>354</v>
      </c>
      <c r="AP294" s="165" t="s">
        <v>321</v>
      </c>
      <c r="AQ294" s="165" t="s">
        <v>361</v>
      </c>
      <c r="AR294" s="167"/>
      <c r="AS294" s="165" t="s">
        <v>735</v>
      </c>
      <c r="AT294" s="165">
        <v>48</v>
      </c>
      <c r="AU294" s="165" t="s">
        <v>330</v>
      </c>
      <c r="AV294" s="165" t="s">
        <v>325</v>
      </c>
      <c r="AW294" s="165"/>
      <c r="AX294" s="168" t="s">
        <v>331</v>
      </c>
      <c r="AY294" s="166">
        <v>1</v>
      </c>
      <c r="AZ294" s="166" t="s">
        <v>326</v>
      </c>
    </row>
    <row r="295" spans="38:52" hidden="1" x14ac:dyDescent="0.25">
      <c r="AL295" s="166" t="s">
        <v>743</v>
      </c>
      <c r="AM295" s="166" t="s">
        <v>734</v>
      </c>
      <c r="AN295" s="165">
        <v>3</v>
      </c>
      <c r="AO295" s="165" t="s">
        <v>394</v>
      </c>
      <c r="AP295" s="165" t="s">
        <v>335</v>
      </c>
      <c r="AQ295" s="165" t="s">
        <v>376</v>
      </c>
      <c r="AR295" s="167"/>
      <c r="AS295" s="165" t="s">
        <v>735</v>
      </c>
      <c r="AT295" s="165">
        <v>54</v>
      </c>
      <c r="AU295" s="165" t="s">
        <v>330</v>
      </c>
      <c r="AV295" s="165" t="s">
        <v>325</v>
      </c>
      <c r="AW295" s="165" t="s">
        <v>737</v>
      </c>
      <c r="AX295" s="168" t="s">
        <v>744</v>
      </c>
      <c r="AY295" s="166">
        <v>1</v>
      </c>
      <c r="AZ295" s="166" t="s">
        <v>326</v>
      </c>
    </row>
    <row r="296" spans="38:52" hidden="1" x14ac:dyDescent="0.25">
      <c r="AL296" s="166" t="s">
        <v>745</v>
      </c>
      <c r="AM296" s="166" t="s">
        <v>734</v>
      </c>
      <c r="AN296" s="165">
        <v>3</v>
      </c>
      <c r="AO296" s="165" t="s">
        <v>394</v>
      </c>
      <c r="AP296" s="165" t="s">
        <v>321</v>
      </c>
      <c r="AQ296" s="165" t="s">
        <v>376</v>
      </c>
      <c r="AR296" s="167"/>
      <c r="AS296" s="165" t="s">
        <v>735</v>
      </c>
      <c r="AT296" s="165">
        <v>54</v>
      </c>
      <c r="AU296" s="165" t="s">
        <v>330</v>
      </c>
      <c r="AV296" s="165" t="s">
        <v>325</v>
      </c>
      <c r="AW296" s="165"/>
      <c r="AX296" s="168" t="s">
        <v>331</v>
      </c>
      <c r="AY296" s="166">
        <v>1</v>
      </c>
      <c r="AZ296" s="166" t="s">
        <v>326</v>
      </c>
    </row>
    <row r="297" spans="38:52" hidden="1" x14ac:dyDescent="0.25">
      <c r="AL297" s="15" t="s">
        <v>746</v>
      </c>
      <c r="AM297" s="15" t="s">
        <v>734</v>
      </c>
      <c r="AN297" s="163">
        <v>4</v>
      </c>
      <c r="AO297" s="163">
        <v>4</v>
      </c>
      <c r="AP297" s="163" t="s">
        <v>344</v>
      </c>
      <c r="AQ297" s="163" t="s">
        <v>376</v>
      </c>
      <c r="AR297" s="164"/>
      <c r="AS297" s="163" t="s">
        <v>735</v>
      </c>
      <c r="AT297" s="163">
        <v>73</v>
      </c>
      <c r="AU297" s="171" t="s">
        <v>353</v>
      </c>
      <c r="AV297" s="171">
        <v>2.75</v>
      </c>
      <c r="AW297" s="163">
        <v>4</v>
      </c>
      <c r="AX297" s="168"/>
      <c r="AY297" s="166">
        <v>1</v>
      </c>
      <c r="AZ297" s="166" t="s">
        <v>326</v>
      </c>
    </row>
    <row r="298" spans="38:52" hidden="1" x14ac:dyDescent="0.25">
      <c r="AL298" s="15" t="s">
        <v>747</v>
      </c>
      <c r="AM298" s="15" t="s">
        <v>734</v>
      </c>
      <c r="AN298" s="163">
        <v>4</v>
      </c>
      <c r="AO298" s="163">
        <v>4</v>
      </c>
      <c r="AP298" s="163" t="s">
        <v>344</v>
      </c>
      <c r="AQ298" s="163" t="s">
        <v>335</v>
      </c>
      <c r="AR298" s="164"/>
      <c r="AS298" s="163" t="s">
        <v>735</v>
      </c>
      <c r="AT298" s="163">
        <v>73</v>
      </c>
      <c r="AU298" s="171" t="s">
        <v>353</v>
      </c>
      <c r="AV298" s="171">
        <v>2.75</v>
      </c>
      <c r="AW298" s="163">
        <v>4</v>
      </c>
      <c r="AX298" s="168"/>
      <c r="AY298" s="166">
        <v>1</v>
      </c>
      <c r="AZ298" s="166" t="s">
        <v>405</v>
      </c>
    </row>
    <row r="299" spans="38:52" hidden="1" x14ac:dyDescent="0.25">
      <c r="AL299" s="15" t="s">
        <v>748</v>
      </c>
      <c r="AM299" s="15" t="s">
        <v>734</v>
      </c>
      <c r="AN299" s="163">
        <v>4</v>
      </c>
      <c r="AO299" s="163">
        <v>4</v>
      </c>
      <c r="AP299" s="163" t="s">
        <v>344</v>
      </c>
      <c r="AQ299" s="163" t="s">
        <v>361</v>
      </c>
      <c r="AR299" s="164"/>
      <c r="AS299" s="163" t="s">
        <v>735</v>
      </c>
      <c r="AT299" s="163">
        <v>73</v>
      </c>
      <c r="AU299" s="171" t="s">
        <v>353</v>
      </c>
      <c r="AV299" s="171">
        <v>2.75</v>
      </c>
      <c r="AW299" s="163">
        <v>4</v>
      </c>
      <c r="AX299" s="168"/>
      <c r="AY299" s="166">
        <v>1</v>
      </c>
      <c r="AZ299" s="166" t="s">
        <v>338</v>
      </c>
    </row>
    <row r="300" spans="38:52" hidden="1" x14ac:dyDescent="0.25">
      <c r="AL300" s="15" t="s">
        <v>749</v>
      </c>
      <c r="AM300" s="15" t="s">
        <v>734</v>
      </c>
      <c r="AN300" s="163">
        <v>4</v>
      </c>
      <c r="AO300" s="163">
        <v>4</v>
      </c>
      <c r="AP300" s="163" t="s">
        <v>361</v>
      </c>
      <c r="AQ300" s="163" t="s">
        <v>361</v>
      </c>
      <c r="AR300" s="164"/>
      <c r="AS300" s="163" t="s">
        <v>735</v>
      </c>
      <c r="AT300" s="163">
        <v>76</v>
      </c>
      <c r="AU300" s="163" t="s">
        <v>363</v>
      </c>
      <c r="AV300" s="171">
        <v>2.75</v>
      </c>
      <c r="AW300" s="163">
        <v>4</v>
      </c>
      <c r="AX300" s="168"/>
      <c r="AY300" s="166">
        <v>1</v>
      </c>
      <c r="AZ300" s="166" t="s">
        <v>326</v>
      </c>
    </row>
    <row r="301" spans="38:52" hidden="1" x14ac:dyDescent="0.25">
      <c r="AL301" s="15" t="s">
        <v>750</v>
      </c>
      <c r="AM301" s="15" t="s">
        <v>734</v>
      </c>
      <c r="AN301" s="163">
        <v>4</v>
      </c>
      <c r="AO301" s="163">
        <v>4</v>
      </c>
      <c r="AP301" s="163" t="s">
        <v>361</v>
      </c>
      <c r="AQ301" s="163" t="s">
        <v>376</v>
      </c>
      <c r="AR301" s="164"/>
      <c r="AS301" s="163" t="s">
        <v>735</v>
      </c>
      <c r="AT301" s="163">
        <v>76</v>
      </c>
      <c r="AU301" s="163" t="s">
        <v>363</v>
      </c>
      <c r="AV301" s="171">
        <v>2.75</v>
      </c>
      <c r="AW301" s="163">
        <v>4</v>
      </c>
      <c r="AX301" s="168"/>
      <c r="AY301" s="166">
        <v>1</v>
      </c>
      <c r="AZ301" s="166" t="s">
        <v>326</v>
      </c>
    </row>
    <row r="302" spans="38:52" hidden="1" x14ac:dyDescent="0.25">
      <c r="AL302" s="166" t="s">
        <v>751</v>
      </c>
      <c r="AM302" s="166" t="s">
        <v>734</v>
      </c>
      <c r="AN302" s="165">
        <v>4</v>
      </c>
      <c r="AO302" s="165">
        <v>4</v>
      </c>
      <c r="AP302" s="165" t="s">
        <v>361</v>
      </c>
      <c r="AQ302" s="165" t="s">
        <v>361</v>
      </c>
      <c r="AR302" s="167"/>
      <c r="AS302" s="165" t="s">
        <v>735</v>
      </c>
      <c r="AT302" s="165">
        <v>77</v>
      </c>
      <c r="AU302" s="165" t="s">
        <v>363</v>
      </c>
      <c r="AV302" s="172">
        <v>2.75</v>
      </c>
      <c r="AW302" s="165" t="s">
        <v>737</v>
      </c>
      <c r="AX302" s="168" t="s">
        <v>738</v>
      </c>
      <c r="AY302" s="166">
        <v>1</v>
      </c>
      <c r="AZ302" s="166" t="s">
        <v>326</v>
      </c>
    </row>
    <row r="303" spans="38:52" hidden="1" x14ac:dyDescent="0.25">
      <c r="AL303" s="15" t="s">
        <v>752</v>
      </c>
      <c r="AM303" s="15" t="s">
        <v>734</v>
      </c>
      <c r="AN303" s="163">
        <v>4</v>
      </c>
      <c r="AO303" s="163">
        <v>4</v>
      </c>
      <c r="AP303" s="163" t="s">
        <v>344</v>
      </c>
      <c r="AQ303" s="163" t="s">
        <v>361</v>
      </c>
      <c r="AR303" s="164"/>
      <c r="AS303" s="163" t="s">
        <v>753</v>
      </c>
      <c r="AT303" s="163">
        <v>165</v>
      </c>
      <c r="AU303" s="171" t="s">
        <v>353</v>
      </c>
      <c r="AV303" s="171">
        <v>2.75</v>
      </c>
      <c r="AW303" s="163">
        <v>4</v>
      </c>
      <c r="AX303" s="168"/>
      <c r="AY303" s="166">
        <v>1</v>
      </c>
      <c r="AZ303" s="166" t="s">
        <v>338</v>
      </c>
    </row>
    <row r="304" spans="38:52" hidden="1" x14ac:dyDescent="0.25">
      <c r="AL304" s="166" t="s">
        <v>754</v>
      </c>
      <c r="AM304" s="166" t="s">
        <v>734</v>
      </c>
      <c r="AN304" s="165">
        <v>4</v>
      </c>
      <c r="AO304" s="165"/>
      <c r="AP304" s="165" t="s">
        <v>344</v>
      </c>
      <c r="AQ304" s="165" t="s">
        <v>376</v>
      </c>
      <c r="AR304" s="167"/>
      <c r="AS304" s="165">
        <v>4</v>
      </c>
      <c r="AT304" s="165">
        <v>14</v>
      </c>
      <c r="AU304" s="165" t="s">
        <v>353</v>
      </c>
      <c r="AV304" s="172">
        <v>2.75</v>
      </c>
      <c r="AW304" s="165" t="s">
        <v>737</v>
      </c>
      <c r="AX304" s="168"/>
      <c r="AY304" s="166">
        <v>1</v>
      </c>
      <c r="AZ304" s="166" t="s">
        <v>326</v>
      </c>
    </row>
    <row r="305" spans="38:52" hidden="1" x14ac:dyDescent="0.25">
      <c r="AL305" s="166" t="s">
        <v>755</v>
      </c>
      <c r="AM305" s="166" t="s">
        <v>734</v>
      </c>
      <c r="AN305" s="165">
        <v>4</v>
      </c>
      <c r="AO305" s="165"/>
      <c r="AP305" s="165" t="s">
        <v>361</v>
      </c>
      <c r="AQ305" s="165" t="s">
        <v>756</v>
      </c>
      <c r="AR305" s="167"/>
      <c r="AS305" s="165">
        <v>4</v>
      </c>
      <c r="AT305" s="165">
        <v>73</v>
      </c>
      <c r="AU305" s="165" t="s">
        <v>363</v>
      </c>
      <c r="AV305" s="172">
        <v>2.75</v>
      </c>
      <c r="AW305" s="165" t="s">
        <v>737</v>
      </c>
      <c r="AX305" s="168"/>
      <c r="AY305" s="166"/>
      <c r="AZ305" s="166"/>
    </row>
    <row r="306" spans="38:52" hidden="1" x14ac:dyDescent="0.25">
      <c r="AL306" s="15" t="s">
        <v>757</v>
      </c>
      <c r="AM306" s="15" t="s">
        <v>734</v>
      </c>
      <c r="AN306" s="171">
        <v>4.625</v>
      </c>
      <c r="AO306" s="163">
        <v>4.83</v>
      </c>
      <c r="AP306" s="163" t="s">
        <v>661</v>
      </c>
      <c r="AQ306" s="163" t="s">
        <v>361</v>
      </c>
      <c r="AR306" s="164"/>
      <c r="AS306" s="163" t="s">
        <v>758</v>
      </c>
      <c r="AT306" s="163">
        <v>34</v>
      </c>
      <c r="AU306" s="163" t="s">
        <v>475</v>
      </c>
      <c r="AV306" s="163"/>
      <c r="AW306" s="163"/>
      <c r="AX306" s="168" t="s">
        <v>759</v>
      </c>
      <c r="AY306" s="166">
        <v>1</v>
      </c>
      <c r="AZ306" s="166" t="s">
        <v>326</v>
      </c>
    </row>
    <row r="307" spans="38:52" hidden="1" x14ac:dyDescent="0.25">
      <c r="AL307" s="15" t="s">
        <v>760</v>
      </c>
      <c r="AM307" s="15" t="s">
        <v>734</v>
      </c>
      <c r="AN307" s="163">
        <v>5</v>
      </c>
      <c r="AO307" s="163">
        <v>5</v>
      </c>
      <c r="AP307" s="163" t="s">
        <v>387</v>
      </c>
      <c r="AQ307" s="163" t="s">
        <v>376</v>
      </c>
      <c r="AR307" s="164"/>
      <c r="AS307" s="163" t="s">
        <v>761</v>
      </c>
      <c r="AT307" s="163">
        <v>60</v>
      </c>
      <c r="AU307" s="163" t="s">
        <v>324</v>
      </c>
      <c r="AV307" s="163">
        <v>3</v>
      </c>
      <c r="AW307" s="163">
        <v>4</v>
      </c>
      <c r="AX307" s="168" t="s">
        <v>389</v>
      </c>
      <c r="AY307" s="166">
        <v>1</v>
      </c>
      <c r="AZ307" s="166" t="s">
        <v>338</v>
      </c>
    </row>
    <row r="308" spans="38:52" hidden="1" x14ac:dyDescent="0.25">
      <c r="AL308" s="15" t="s">
        <v>762</v>
      </c>
      <c r="AM308" s="15" t="s">
        <v>734</v>
      </c>
      <c r="AN308" s="163">
        <v>5</v>
      </c>
      <c r="AO308" s="163">
        <v>5</v>
      </c>
      <c r="AP308" s="163" t="s">
        <v>433</v>
      </c>
      <c r="AQ308" s="163" t="s">
        <v>763</v>
      </c>
      <c r="AR308" s="164"/>
      <c r="AS308" s="163" t="s">
        <v>735</v>
      </c>
      <c r="AT308" s="163">
        <v>120</v>
      </c>
      <c r="AU308" s="163" t="s">
        <v>324</v>
      </c>
      <c r="AV308" s="163">
        <v>3</v>
      </c>
      <c r="AW308" s="163">
        <v>4</v>
      </c>
      <c r="AX308" s="168" t="s">
        <v>389</v>
      </c>
      <c r="AY308" s="166">
        <v>1</v>
      </c>
      <c r="AZ308" s="166" t="s">
        <v>338</v>
      </c>
    </row>
    <row r="309" spans="38:52" hidden="1" x14ac:dyDescent="0.25">
      <c r="AL309" s="15" t="s">
        <v>764</v>
      </c>
      <c r="AM309" s="15" t="s">
        <v>734</v>
      </c>
      <c r="AN309" s="163">
        <v>5</v>
      </c>
      <c r="AO309" s="163">
        <v>5</v>
      </c>
      <c r="AP309" s="163" t="s">
        <v>376</v>
      </c>
      <c r="AQ309" s="163" t="s">
        <v>376</v>
      </c>
      <c r="AR309" s="164"/>
      <c r="AS309" s="163" t="s">
        <v>735</v>
      </c>
      <c r="AT309" s="163">
        <v>120</v>
      </c>
      <c r="AU309" s="163" t="s">
        <v>324</v>
      </c>
      <c r="AV309" s="163">
        <v>3</v>
      </c>
      <c r="AW309" s="163" t="s">
        <v>737</v>
      </c>
      <c r="AX309" s="168"/>
      <c r="AY309" s="166">
        <v>1</v>
      </c>
      <c r="AZ309" s="166" t="s">
        <v>338</v>
      </c>
    </row>
    <row r="310" spans="38:52" hidden="1" x14ac:dyDescent="0.25">
      <c r="AL310" s="15" t="s">
        <v>765</v>
      </c>
      <c r="AM310" s="166" t="s">
        <v>734</v>
      </c>
      <c r="AN310" s="165">
        <v>5</v>
      </c>
      <c r="AO310" s="165">
        <v>5</v>
      </c>
      <c r="AP310" s="165" t="s">
        <v>376</v>
      </c>
      <c r="AQ310" s="165" t="s">
        <v>766</v>
      </c>
      <c r="AR310" s="167"/>
      <c r="AS310" s="165" t="s">
        <v>735</v>
      </c>
      <c r="AT310" s="165">
        <v>155</v>
      </c>
      <c r="AU310" s="165" t="s">
        <v>324</v>
      </c>
      <c r="AV310" s="165">
        <v>3</v>
      </c>
      <c r="AW310" s="165">
        <v>4</v>
      </c>
      <c r="AX310" s="168" t="s">
        <v>389</v>
      </c>
      <c r="AY310" s="166">
        <v>1</v>
      </c>
      <c r="AZ310" s="166" t="s">
        <v>338</v>
      </c>
    </row>
    <row r="311" spans="38:52" hidden="1" x14ac:dyDescent="0.25">
      <c r="AL311" s="15" t="s">
        <v>767</v>
      </c>
      <c r="AM311" s="15" t="s">
        <v>734</v>
      </c>
      <c r="AN311" s="163">
        <v>5</v>
      </c>
      <c r="AO311" s="163">
        <v>5</v>
      </c>
      <c r="AP311" s="163" t="s">
        <v>424</v>
      </c>
      <c r="AQ311" s="163" t="s">
        <v>376</v>
      </c>
      <c r="AR311" s="164"/>
      <c r="AS311" s="163" t="s">
        <v>735</v>
      </c>
      <c r="AT311" s="163">
        <v>120</v>
      </c>
      <c r="AU311" s="170" t="s">
        <v>768</v>
      </c>
      <c r="AV311" s="171">
        <v>3.75</v>
      </c>
      <c r="AW311" s="163">
        <v>4</v>
      </c>
      <c r="AX311" s="168"/>
      <c r="AY311" s="166">
        <v>1</v>
      </c>
      <c r="AZ311" s="166" t="s">
        <v>338</v>
      </c>
    </row>
    <row r="312" spans="38:52" hidden="1" x14ac:dyDescent="0.25">
      <c r="AL312" s="15" t="s">
        <v>769</v>
      </c>
      <c r="AM312" s="15" t="s">
        <v>734</v>
      </c>
      <c r="AN312" s="163">
        <v>5</v>
      </c>
      <c r="AO312" s="163">
        <v>5</v>
      </c>
      <c r="AP312" s="163" t="s">
        <v>395</v>
      </c>
      <c r="AQ312" s="163" t="s">
        <v>376</v>
      </c>
      <c r="AR312" s="164"/>
      <c r="AS312" s="163" t="s">
        <v>735</v>
      </c>
      <c r="AT312" s="163">
        <v>120</v>
      </c>
      <c r="AU312" s="163" t="s">
        <v>324</v>
      </c>
      <c r="AV312" s="163">
        <v>3</v>
      </c>
      <c r="AW312" s="163">
        <v>4</v>
      </c>
      <c r="AX312" s="168"/>
      <c r="AY312" s="166">
        <v>1</v>
      </c>
      <c r="AZ312" s="166" t="s">
        <v>338</v>
      </c>
    </row>
    <row r="313" spans="38:52" hidden="1" x14ac:dyDescent="0.25">
      <c r="AL313" s="15" t="s">
        <v>770</v>
      </c>
      <c r="AM313" s="166" t="s">
        <v>734</v>
      </c>
      <c r="AN313" s="163">
        <v>5</v>
      </c>
      <c r="AO313" s="163">
        <v>5</v>
      </c>
      <c r="AP313" s="163" t="s">
        <v>424</v>
      </c>
      <c r="AQ313" s="163" t="s">
        <v>424</v>
      </c>
      <c r="AR313" s="164"/>
      <c r="AS313" s="163" t="s">
        <v>735</v>
      </c>
      <c r="AT313" s="163">
        <v>90</v>
      </c>
      <c r="AU313" s="163" t="s">
        <v>402</v>
      </c>
      <c r="AV313" s="163">
        <v>3</v>
      </c>
      <c r="AW313" s="163">
        <v>4</v>
      </c>
      <c r="AX313" s="168"/>
      <c r="AY313" s="166">
        <v>1</v>
      </c>
      <c r="AZ313" s="166" t="s">
        <v>338</v>
      </c>
    </row>
    <row r="314" spans="38:52" hidden="1" x14ac:dyDescent="0.25">
      <c r="AL314" s="15" t="s">
        <v>771</v>
      </c>
      <c r="AM314" s="15" t="s">
        <v>734</v>
      </c>
      <c r="AN314" s="163">
        <v>5</v>
      </c>
      <c r="AO314" s="163">
        <v>5</v>
      </c>
      <c r="AP314" s="163" t="s">
        <v>376</v>
      </c>
      <c r="AQ314" s="163" t="s">
        <v>376</v>
      </c>
      <c r="AR314" s="164"/>
      <c r="AS314" s="163" t="s">
        <v>772</v>
      </c>
      <c r="AT314" s="163">
        <v>160</v>
      </c>
      <c r="AU314" s="163" t="s">
        <v>324</v>
      </c>
      <c r="AV314" s="163">
        <v>3</v>
      </c>
      <c r="AW314" s="163" t="s">
        <v>737</v>
      </c>
      <c r="AX314" s="168"/>
      <c r="AY314" s="166">
        <v>1</v>
      </c>
      <c r="AZ314" s="166" t="s">
        <v>326</v>
      </c>
    </row>
    <row r="315" spans="38:52" hidden="1" x14ac:dyDescent="0.25">
      <c r="AL315" s="15" t="s">
        <v>773</v>
      </c>
      <c r="AM315" s="15" t="s">
        <v>734</v>
      </c>
      <c r="AN315" s="163">
        <v>5</v>
      </c>
      <c r="AO315" s="163">
        <v>5</v>
      </c>
      <c r="AP315" s="163" t="s">
        <v>376</v>
      </c>
      <c r="AQ315" s="163" t="s">
        <v>376</v>
      </c>
      <c r="AR315" s="164"/>
      <c r="AS315" s="163" t="s">
        <v>774</v>
      </c>
      <c r="AT315" s="163">
        <v>240</v>
      </c>
      <c r="AU315" s="163" t="s">
        <v>324</v>
      </c>
      <c r="AV315" s="163">
        <v>3</v>
      </c>
      <c r="AW315" s="163" t="s">
        <v>737</v>
      </c>
      <c r="AX315" s="168"/>
      <c r="AY315" s="166">
        <v>1</v>
      </c>
      <c r="AZ315" s="166" t="s">
        <v>338</v>
      </c>
    </row>
    <row r="316" spans="38:52" hidden="1" x14ac:dyDescent="0.25">
      <c r="AL316" s="166" t="s">
        <v>775</v>
      </c>
      <c r="AM316" s="166" t="s">
        <v>734</v>
      </c>
      <c r="AN316" s="165">
        <v>5</v>
      </c>
      <c r="AO316" s="165">
        <v>5</v>
      </c>
      <c r="AP316" s="165" t="s">
        <v>376</v>
      </c>
      <c r="AQ316" s="165" t="s">
        <v>376</v>
      </c>
      <c r="AR316" s="167"/>
      <c r="AS316" s="165" t="s">
        <v>776</v>
      </c>
      <c r="AT316" s="165">
        <v>300</v>
      </c>
      <c r="AU316" s="165" t="s">
        <v>324</v>
      </c>
      <c r="AV316" s="165">
        <v>3</v>
      </c>
      <c r="AW316" s="165" t="s">
        <v>777</v>
      </c>
      <c r="AX316" s="168"/>
      <c r="AY316" s="166">
        <v>1</v>
      </c>
      <c r="AZ316" s="166" t="s">
        <v>326</v>
      </c>
    </row>
    <row r="317" spans="38:52" hidden="1" x14ac:dyDescent="0.25">
      <c r="AL317" s="166" t="s">
        <v>778</v>
      </c>
      <c r="AM317" s="166" t="s">
        <v>734</v>
      </c>
      <c r="AN317" s="165">
        <v>5</v>
      </c>
      <c r="AO317" s="165">
        <v>5</v>
      </c>
      <c r="AP317" s="165" t="s">
        <v>376</v>
      </c>
      <c r="AQ317" s="165" t="s">
        <v>376</v>
      </c>
      <c r="AR317" s="167"/>
      <c r="AS317" s="165" t="s">
        <v>779</v>
      </c>
      <c r="AT317" s="165">
        <v>360</v>
      </c>
      <c r="AU317" s="165" t="s">
        <v>324</v>
      </c>
      <c r="AV317" s="165">
        <v>3</v>
      </c>
      <c r="AW317" s="165" t="s">
        <v>777</v>
      </c>
      <c r="AX317" s="168"/>
      <c r="AY317" s="166">
        <v>1</v>
      </c>
      <c r="AZ317" s="166" t="s">
        <v>326</v>
      </c>
    </row>
    <row r="318" spans="38:52" hidden="1" x14ac:dyDescent="0.25">
      <c r="AL318" s="15" t="s">
        <v>780</v>
      </c>
      <c r="AM318" s="15" t="s">
        <v>734</v>
      </c>
      <c r="AN318" s="163">
        <v>5</v>
      </c>
      <c r="AO318" s="163">
        <v>6</v>
      </c>
      <c r="AP318" s="163" t="s">
        <v>376</v>
      </c>
      <c r="AQ318" s="163" t="s">
        <v>688</v>
      </c>
      <c r="AR318" s="164"/>
      <c r="AS318" s="163" t="s">
        <v>735</v>
      </c>
      <c r="AT318" s="163">
        <v>155</v>
      </c>
      <c r="AU318" s="171" t="s">
        <v>353</v>
      </c>
      <c r="AV318" s="163">
        <v>3</v>
      </c>
      <c r="AW318" s="163">
        <v>4</v>
      </c>
      <c r="AX318" s="168"/>
      <c r="AY318" s="166">
        <v>1</v>
      </c>
      <c r="AZ318" s="166" t="s">
        <v>338</v>
      </c>
    </row>
    <row r="319" spans="38:52" hidden="1" x14ac:dyDescent="0.25">
      <c r="AL319" s="166" t="s">
        <v>781</v>
      </c>
      <c r="AM319" s="166" t="s">
        <v>734</v>
      </c>
      <c r="AN319" s="165">
        <v>5</v>
      </c>
      <c r="AO319" s="165" t="s">
        <v>454</v>
      </c>
      <c r="AP319" s="165" t="s">
        <v>395</v>
      </c>
      <c r="AQ319" s="165" t="s">
        <v>688</v>
      </c>
      <c r="AR319" s="167"/>
      <c r="AS319" s="165">
        <v>37</v>
      </c>
      <c r="AT319" s="165">
        <v>178</v>
      </c>
      <c r="AU319" s="165" t="s">
        <v>324</v>
      </c>
      <c r="AV319" s="165">
        <v>3</v>
      </c>
      <c r="AW319" s="165" t="s">
        <v>737</v>
      </c>
      <c r="AX319" s="168"/>
      <c r="AY319" s="166">
        <v>1</v>
      </c>
      <c r="AZ319" s="166" t="s">
        <v>326</v>
      </c>
    </row>
    <row r="320" spans="38:52" hidden="1" x14ac:dyDescent="0.25">
      <c r="AL320" s="15" t="s">
        <v>782</v>
      </c>
      <c r="AM320" s="15" t="s">
        <v>734</v>
      </c>
      <c r="AN320" s="163">
        <v>5</v>
      </c>
      <c r="AO320" s="163" t="s">
        <v>454</v>
      </c>
      <c r="AP320" s="163" t="s">
        <v>376</v>
      </c>
      <c r="AQ320" s="163" t="s">
        <v>688</v>
      </c>
      <c r="AR320" s="164"/>
      <c r="AS320" s="163" t="s">
        <v>735</v>
      </c>
      <c r="AT320" s="163">
        <v>125</v>
      </c>
      <c r="AU320" s="163" t="s">
        <v>324</v>
      </c>
      <c r="AV320" s="163">
        <v>3</v>
      </c>
      <c r="AW320" s="163">
        <v>4</v>
      </c>
      <c r="AX320" s="168"/>
      <c r="AY320" s="166">
        <v>1</v>
      </c>
      <c r="AZ320" s="166" t="s">
        <v>338</v>
      </c>
    </row>
    <row r="321" spans="38:52" hidden="1" x14ac:dyDescent="0.25">
      <c r="AL321" s="15" t="s">
        <v>783</v>
      </c>
      <c r="AM321" s="15" t="s">
        <v>734</v>
      </c>
      <c r="AN321" s="163">
        <v>5</v>
      </c>
      <c r="AO321" s="163" t="s">
        <v>454</v>
      </c>
      <c r="AP321" s="163" t="s">
        <v>766</v>
      </c>
      <c r="AQ321" s="163" t="s">
        <v>784</v>
      </c>
      <c r="AR321" s="164"/>
      <c r="AS321" s="163" t="s">
        <v>735</v>
      </c>
      <c r="AT321" s="163">
        <v>125</v>
      </c>
      <c r="AU321" s="163" t="s">
        <v>324</v>
      </c>
      <c r="AV321" s="163">
        <v>3</v>
      </c>
      <c r="AW321" s="163">
        <v>4</v>
      </c>
      <c r="AX321" s="168"/>
      <c r="AY321" s="166">
        <v>1</v>
      </c>
      <c r="AZ321" s="166" t="s">
        <v>338</v>
      </c>
    </row>
    <row r="322" spans="38:52" hidden="1" x14ac:dyDescent="0.25">
      <c r="AL322" s="15" t="s">
        <v>785</v>
      </c>
      <c r="AM322" s="15" t="s">
        <v>734</v>
      </c>
      <c r="AN322" s="163">
        <v>5</v>
      </c>
      <c r="AO322" s="163" t="s">
        <v>454</v>
      </c>
      <c r="AP322" s="163" t="s">
        <v>395</v>
      </c>
      <c r="AQ322" s="163" t="s">
        <v>688</v>
      </c>
      <c r="AR322" s="164"/>
      <c r="AS322" s="163" t="s">
        <v>735</v>
      </c>
      <c r="AT322" s="163">
        <v>125</v>
      </c>
      <c r="AU322" s="163" t="s">
        <v>324</v>
      </c>
      <c r="AV322" s="163">
        <v>3</v>
      </c>
      <c r="AW322" s="163" t="s">
        <v>737</v>
      </c>
      <c r="AX322" s="168"/>
      <c r="AY322" s="166">
        <v>1</v>
      </c>
      <c r="AZ322" s="166" t="s">
        <v>338</v>
      </c>
    </row>
    <row r="323" spans="38:52" hidden="1" x14ac:dyDescent="0.25">
      <c r="AL323" s="15" t="s">
        <v>786</v>
      </c>
      <c r="AM323" s="15" t="s">
        <v>734</v>
      </c>
      <c r="AN323" s="175">
        <v>5</v>
      </c>
      <c r="AO323" s="176"/>
      <c r="AP323" s="176" t="s">
        <v>395</v>
      </c>
      <c r="AQ323" s="171" t="s">
        <v>395</v>
      </c>
      <c r="AR323" s="164" t="s">
        <v>787</v>
      </c>
      <c r="AS323" s="163" t="s">
        <v>735</v>
      </c>
      <c r="AT323" s="163"/>
      <c r="AU323" s="163" t="s">
        <v>325</v>
      </c>
      <c r="AV323" s="163">
        <v>3</v>
      </c>
      <c r="AW323" s="163"/>
      <c r="AX323" s="168" t="s">
        <v>397</v>
      </c>
      <c r="AY323" s="166"/>
      <c r="AZ323" s="166"/>
    </row>
    <row r="324" spans="38:52" hidden="1" x14ac:dyDescent="0.25">
      <c r="AL324" s="15" t="s">
        <v>788</v>
      </c>
      <c r="AM324" s="15" t="s">
        <v>734</v>
      </c>
      <c r="AN324" s="163">
        <v>6</v>
      </c>
      <c r="AO324" s="163">
        <v>6</v>
      </c>
      <c r="AP324" s="163" t="s">
        <v>688</v>
      </c>
      <c r="AQ324" s="163" t="s">
        <v>688</v>
      </c>
      <c r="AR324" s="164"/>
      <c r="AS324" s="163" t="s">
        <v>789</v>
      </c>
      <c r="AT324" s="163">
        <v>162</v>
      </c>
      <c r="AU324" s="163" t="s">
        <v>402</v>
      </c>
      <c r="AV324" s="163">
        <v>4</v>
      </c>
      <c r="AW324" s="163">
        <v>4</v>
      </c>
      <c r="AX324" s="168"/>
      <c r="AY324" s="166">
        <v>1</v>
      </c>
      <c r="AZ324" s="166"/>
    </row>
    <row r="325" spans="38:52" hidden="1" x14ac:dyDescent="0.25">
      <c r="AL325" s="15" t="s">
        <v>790</v>
      </c>
      <c r="AM325" s="15" t="s">
        <v>734</v>
      </c>
      <c r="AN325" s="163">
        <v>6</v>
      </c>
      <c r="AO325" s="163">
        <v>6</v>
      </c>
      <c r="AP325" s="163" t="s">
        <v>462</v>
      </c>
      <c r="AQ325" s="163" t="s">
        <v>462</v>
      </c>
      <c r="AR325" s="164"/>
      <c r="AS325" s="163" t="s">
        <v>789</v>
      </c>
      <c r="AT325" s="163">
        <v>110</v>
      </c>
      <c r="AU325" s="171" t="s">
        <v>463</v>
      </c>
      <c r="AV325" s="171">
        <v>4.625</v>
      </c>
      <c r="AW325" s="163">
        <v>4</v>
      </c>
      <c r="AX325" s="168" t="s">
        <v>464</v>
      </c>
      <c r="AY325" s="166">
        <v>1</v>
      </c>
      <c r="AZ325" s="166" t="s">
        <v>338</v>
      </c>
    </row>
    <row r="326" spans="38:52" hidden="1" x14ac:dyDescent="0.25">
      <c r="AL326" s="15" t="s">
        <v>791</v>
      </c>
      <c r="AM326" s="15" t="s">
        <v>734</v>
      </c>
      <c r="AN326" s="163">
        <v>6</v>
      </c>
      <c r="AO326" s="163">
        <v>6</v>
      </c>
      <c r="AP326" s="163" t="s">
        <v>462</v>
      </c>
      <c r="AQ326" s="163" t="s">
        <v>376</v>
      </c>
      <c r="AR326" s="164"/>
      <c r="AS326" s="163" t="s">
        <v>789</v>
      </c>
      <c r="AT326" s="163">
        <v>180</v>
      </c>
      <c r="AU326" s="163" t="s">
        <v>324</v>
      </c>
      <c r="AV326" s="171">
        <v>4.625</v>
      </c>
      <c r="AW326" s="163">
        <v>4</v>
      </c>
      <c r="AX326" s="168" t="s">
        <v>464</v>
      </c>
      <c r="AY326" s="166">
        <v>1</v>
      </c>
      <c r="AZ326" s="166" t="s">
        <v>338</v>
      </c>
    </row>
    <row r="327" spans="38:52" hidden="1" x14ac:dyDescent="0.25">
      <c r="AL327" s="15" t="s">
        <v>792</v>
      </c>
      <c r="AM327" s="15" t="s">
        <v>734</v>
      </c>
      <c r="AN327" s="163">
        <v>6</v>
      </c>
      <c r="AO327" s="163">
        <v>6</v>
      </c>
      <c r="AP327" s="163" t="s">
        <v>452</v>
      </c>
      <c r="AQ327" s="163" t="s">
        <v>688</v>
      </c>
      <c r="AR327" s="164"/>
      <c r="AS327" s="163" t="s">
        <v>735</v>
      </c>
      <c r="AT327" s="163">
        <v>215</v>
      </c>
      <c r="AU327" s="163" t="s">
        <v>453</v>
      </c>
      <c r="AV327" s="163">
        <v>4</v>
      </c>
      <c r="AW327" s="163" t="s">
        <v>737</v>
      </c>
      <c r="AX327" s="168"/>
      <c r="AY327" s="166">
        <v>1</v>
      </c>
      <c r="AZ327" s="166" t="s">
        <v>326</v>
      </c>
    </row>
    <row r="328" spans="38:52" hidden="1" x14ac:dyDescent="0.25">
      <c r="AL328" s="166" t="s">
        <v>793</v>
      </c>
      <c r="AM328" s="166" t="s">
        <v>734</v>
      </c>
      <c r="AN328" s="165">
        <v>6</v>
      </c>
      <c r="AO328" s="165">
        <v>6</v>
      </c>
      <c r="AP328" s="165" t="s">
        <v>452</v>
      </c>
      <c r="AQ328" s="165" t="s">
        <v>688</v>
      </c>
      <c r="AR328" s="167"/>
      <c r="AS328" s="165" t="s">
        <v>735</v>
      </c>
      <c r="AT328" s="165">
        <v>215</v>
      </c>
      <c r="AU328" s="165" t="s">
        <v>453</v>
      </c>
      <c r="AV328" s="165">
        <v>4</v>
      </c>
      <c r="AW328" s="165" t="s">
        <v>737</v>
      </c>
      <c r="AX328" s="168"/>
      <c r="AY328" s="166">
        <v>1</v>
      </c>
      <c r="AZ328" s="166" t="s">
        <v>338</v>
      </c>
    </row>
    <row r="329" spans="38:52" hidden="1" x14ac:dyDescent="0.25">
      <c r="AL329" s="166" t="s">
        <v>794</v>
      </c>
      <c r="AM329" s="166" t="s">
        <v>734</v>
      </c>
      <c r="AN329" s="165">
        <v>6</v>
      </c>
      <c r="AO329" s="165">
        <v>6</v>
      </c>
      <c r="AP329" s="165" t="s">
        <v>452</v>
      </c>
      <c r="AQ329" s="165" t="s">
        <v>376</v>
      </c>
      <c r="AR329" s="167"/>
      <c r="AS329" s="165" t="s">
        <v>735</v>
      </c>
      <c r="AT329" s="165">
        <v>215</v>
      </c>
      <c r="AU329" s="165" t="s">
        <v>453</v>
      </c>
      <c r="AV329" s="165">
        <v>4</v>
      </c>
      <c r="AW329" s="165" t="s">
        <v>737</v>
      </c>
      <c r="AX329" s="168"/>
      <c r="AY329" s="166">
        <v>1</v>
      </c>
      <c r="AZ329" s="166" t="s">
        <v>357</v>
      </c>
    </row>
    <row r="330" spans="38:52" hidden="1" x14ac:dyDescent="0.25">
      <c r="AL330" s="15" t="s">
        <v>795</v>
      </c>
      <c r="AM330" s="15" t="s">
        <v>734</v>
      </c>
      <c r="AN330" s="163">
        <v>6</v>
      </c>
      <c r="AO330" s="163">
        <v>6</v>
      </c>
      <c r="AP330" s="163" t="s">
        <v>462</v>
      </c>
      <c r="AQ330" s="163" t="s">
        <v>688</v>
      </c>
      <c r="AR330" s="164"/>
      <c r="AS330" s="163" t="s">
        <v>735</v>
      </c>
      <c r="AT330" s="163">
        <v>165</v>
      </c>
      <c r="AU330" s="163" t="s">
        <v>402</v>
      </c>
      <c r="AV330" s="163">
        <v>5</v>
      </c>
      <c r="AW330" s="163">
        <v>4</v>
      </c>
      <c r="AX330" s="168"/>
      <c r="AY330" s="166">
        <v>1</v>
      </c>
      <c r="AZ330" s="166" t="s">
        <v>338</v>
      </c>
    </row>
    <row r="331" spans="38:52" hidden="1" x14ac:dyDescent="0.25">
      <c r="AL331" s="15" t="s">
        <v>796</v>
      </c>
      <c r="AM331" s="15" t="s">
        <v>734</v>
      </c>
      <c r="AN331" s="163">
        <v>6</v>
      </c>
      <c r="AO331" s="163">
        <v>6</v>
      </c>
      <c r="AP331" s="163" t="s">
        <v>688</v>
      </c>
      <c r="AQ331" s="163" t="s">
        <v>376</v>
      </c>
      <c r="AR331" s="164"/>
      <c r="AS331" s="163" t="s">
        <v>735</v>
      </c>
      <c r="AT331" s="163">
        <v>175</v>
      </c>
      <c r="AU331" s="171" t="s">
        <v>353</v>
      </c>
      <c r="AV331" s="163">
        <v>5</v>
      </c>
      <c r="AW331" s="163">
        <v>4</v>
      </c>
      <c r="AX331" s="168"/>
      <c r="AY331" s="166">
        <v>1</v>
      </c>
      <c r="AZ331" s="166" t="s">
        <v>338</v>
      </c>
    </row>
    <row r="332" spans="38:52" hidden="1" x14ac:dyDescent="0.25">
      <c r="AL332" s="166" t="s">
        <v>797</v>
      </c>
      <c r="AM332" s="166" t="s">
        <v>734</v>
      </c>
      <c r="AN332" s="165">
        <v>6</v>
      </c>
      <c r="AO332" s="165">
        <v>6</v>
      </c>
      <c r="AP332" s="165" t="s">
        <v>452</v>
      </c>
      <c r="AQ332" s="165" t="s">
        <v>688</v>
      </c>
      <c r="AR332" s="167"/>
      <c r="AS332" s="165" t="s">
        <v>798</v>
      </c>
      <c r="AT332" s="165"/>
      <c r="AU332" s="165" t="s">
        <v>453</v>
      </c>
      <c r="AV332" s="165">
        <v>4</v>
      </c>
      <c r="AW332" s="165" t="s">
        <v>583</v>
      </c>
      <c r="AX332" s="168"/>
      <c r="AY332" s="166">
        <v>1</v>
      </c>
      <c r="AZ332" s="166" t="s">
        <v>326</v>
      </c>
    </row>
    <row r="333" spans="38:52" hidden="1" x14ac:dyDescent="0.25">
      <c r="AL333" s="166" t="s">
        <v>799</v>
      </c>
      <c r="AM333" s="166" t="s">
        <v>734</v>
      </c>
      <c r="AN333" s="165">
        <v>6</v>
      </c>
      <c r="AO333" s="165">
        <v>6</v>
      </c>
      <c r="AP333" s="165" t="s">
        <v>452</v>
      </c>
      <c r="AQ333" s="165" t="s">
        <v>688</v>
      </c>
      <c r="AR333" s="167"/>
      <c r="AS333" s="165" t="s">
        <v>800</v>
      </c>
      <c r="AT333" s="165"/>
      <c r="AU333" s="165" t="s">
        <v>453</v>
      </c>
      <c r="AV333" s="165">
        <v>4</v>
      </c>
      <c r="AW333" s="165" t="s">
        <v>801</v>
      </c>
      <c r="AX333" s="168" t="s">
        <v>490</v>
      </c>
      <c r="AY333" s="166">
        <v>1</v>
      </c>
      <c r="AZ333" s="166" t="s">
        <v>338</v>
      </c>
    </row>
    <row r="334" spans="38:52" hidden="1" x14ac:dyDescent="0.25">
      <c r="AL334" s="166" t="s">
        <v>802</v>
      </c>
      <c r="AM334" s="166" t="s">
        <v>734</v>
      </c>
      <c r="AN334" s="165">
        <v>6</v>
      </c>
      <c r="AO334" s="165">
        <v>6</v>
      </c>
      <c r="AP334" s="165" t="s">
        <v>376</v>
      </c>
      <c r="AQ334" s="165" t="s">
        <v>452</v>
      </c>
      <c r="AR334" s="167"/>
      <c r="AS334" s="165" t="s">
        <v>803</v>
      </c>
      <c r="AT334" s="165"/>
      <c r="AU334" s="165" t="s">
        <v>804</v>
      </c>
      <c r="AV334" s="165">
        <v>4</v>
      </c>
      <c r="AW334" s="165" t="s">
        <v>737</v>
      </c>
      <c r="AX334" s="168" t="s">
        <v>490</v>
      </c>
      <c r="AY334" s="166">
        <v>1</v>
      </c>
      <c r="AZ334" s="166" t="s">
        <v>536</v>
      </c>
    </row>
    <row r="335" spans="38:52" hidden="1" x14ac:dyDescent="0.25">
      <c r="AL335" s="15" t="s">
        <v>805</v>
      </c>
      <c r="AM335" s="15" t="s">
        <v>734</v>
      </c>
      <c r="AN335" s="163">
        <v>6</v>
      </c>
      <c r="AO335" s="163" t="s">
        <v>723</v>
      </c>
      <c r="AP335" s="163" t="s">
        <v>462</v>
      </c>
      <c r="AQ335" s="163" t="s">
        <v>806</v>
      </c>
      <c r="AR335" s="164"/>
      <c r="AS335" s="163" t="s">
        <v>735</v>
      </c>
      <c r="AT335" s="163">
        <v>200</v>
      </c>
      <c r="AU335" s="163" t="s">
        <v>807</v>
      </c>
      <c r="AV335" s="163">
        <v>5</v>
      </c>
      <c r="AW335" s="163">
        <v>4</v>
      </c>
      <c r="AX335" s="168"/>
      <c r="AY335" s="166">
        <v>1</v>
      </c>
      <c r="AZ335" s="166" t="s">
        <v>338</v>
      </c>
    </row>
    <row r="336" spans="38:52" hidden="1" x14ac:dyDescent="0.25">
      <c r="AL336" s="15" t="s">
        <v>808</v>
      </c>
      <c r="AM336" s="15" t="s">
        <v>734</v>
      </c>
      <c r="AN336" s="171">
        <v>6.625</v>
      </c>
      <c r="AO336" s="171">
        <v>6.625</v>
      </c>
      <c r="AP336" s="163" t="s">
        <v>688</v>
      </c>
      <c r="AQ336" s="163" t="s">
        <v>688</v>
      </c>
      <c r="AR336" s="164"/>
      <c r="AS336" s="163" t="s">
        <v>789</v>
      </c>
      <c r="AT336" s="163">
        <v>220</v>
      </c>
      <c r="AU336" s="163" t="s">
        <v>402</v>
      </c>
      <c r="AV336" s="163">
        <v>4</v>
      </c>
      <c r="AW336" s="163">
        <v>4</v>
      </c>
      <c r="AX336" s="168"/>
      <c r="AY336" s="166">
        <v>1</v>
      </c>
      <c r="AZ336" s="166" t="s">
        <v>338</v>
      </c>
    </row>
    <row r="337" spans="38:52" hidden="1" x14ac:dyDescent="0.25">
      <c r="AL337" s="15" t="s">
        <v>809</v>
      </c>
      <c r="AM337" s="15" t="s">
        <v>734</v>
      </c>
      <c r="AN337" s="171">
        <v>6.625</v>
      </c>
      <c r="AO337" s="171">
        <v>7.75</v>
      </c>
      <c r="AP337" s="171" t="s">
        <v>688</v>
      </c>
      <c r="AQ337" s="163" t="s">
        <v>806</v>
      </c>
      <c r="AR337" s="164"/>
      <c r="AS337" s="163" t="s">
        <v>810</v>
      </c>
      <c r="AT337" s="163">
        <v>197</v>
      </c>
      <c r="AU337" s="163" t="s">
        <v>402</v>
      </c>
      <c r="AV337" s="163">
        <v>4</v>
      </c>
      <c r="AW337" s="163">
        <v>2</v>
      </c>
      <c r="AX337" s="168"/>
      <c r="AY337" s="166">
        <v>1</v>
      </c>
      <c r="AZ337" s="166" t="s">
        <v>338</v>
      </c>
    </row>
    <row r="338" spans="38:52" hidden="1" x14ac:dyDescent="0.25">
      <c r="AL338" s="15" t="s">
        <v>811</v>
      </c>
      <c r="AM338" s="15" t="s">
        <v>734</v>
      </c>
      <c r="AN338" s="163">
        <v>7</v>
      </c>
      <c r="AO338" s="163">
        <v>7</v>
      </c>
      <c r="AP338" s="163" t="s">
        <v>812</v>
      </c>
      <c r="AQ338" s="163" t="s">
        <v>688</v>
      </c>
      <c r="AR338" s="164"/>
      <c r="AS338" s="163" t="s">
        <v>813</v>
      </c>
      <c r="AT338" s="165"/>
      <c r="AU338" s="163" t="s">
        <v>453</v>
      </c>
      <c r="AV338" s="163">
        <v>5</v>
      </c>
      <c r="AW338" s="163" t="s">
        <v>737</v>
      </c>
      <c r="AX338" s="168" t="s">
        <v>490</v>
      </c>
      <c r="AY338" s="166">
        <v>1</v>
      </c>
      <c r="AZ338" s="166" t="s">
        <v>326</v>
      </c>
    </row>
    <row r="339" spans="38:52" hidden="1" x14ac:dyDescent="0.25">
      <c r="AL339" s="166" t="s">
        <v>814</v>
      </c>
      <c r="AM339" s="166" t="s">
        <v>734</v>
      </c>
      <c r="AN339" s="165">
        <v>7</v>
      </c>
      <c r="AO339" s="165">
        <v>7</v>
      </c>
      <c r="AP339" s="165" t="s">
        <v>452</v>
      </c>
      <c r="AQ339" s="165" t="s">
        <v>452</v>
      </c>
      <c r="AR339" s="167"/>
      <c r="AS339" s="165" t="s">
        <v>761</v>
      </c>
      <c r="AT339" s="165"/>
      <c r="AU339" s="165" t="s">
        <v>453</v>
      </c>
      <c r="AV339" s="165">
        <v>5</v>
      </c>
      <c r="AW339" s="165" t="s">
        <v>737</v>
      </c>
      <c r="AX339" s="168" t="s">
        <v>490</v>
      </c>
      <c r="AY339" s="166">
        <v>1</v>
      </c>
      <c r="AZ339" s="166" t="s">
        <v>326</v>
      </c>
    </row>
    <row r="340" spans="38:52" hidden="1" x14ac:dyDescent="0.25">
      <c r="AL340" s="166" t="s">
        <v>815</v>
      </c>
      <c r="AM340" s="166" t="s">
        <v>734</v>
      </c>
      <c r="AN340" s="165">
        <v>7</v>
      </c>
      <c r="AO340" s="165">
        <v>7</v>
      </c>
      <c r="AP340" s="165" t="s">
        <v>452</v>
      </c>
      <c r="AQ340" s="165" t="s">
        <v>688</v>
      </c>
      <c r="AR340" s="167"/>
      <c r="AS340" s="165" t="s">
        <v>816</v>
      </c>
      <c r="AT340" s="165"/>
      <c r="AU340" s="165" t="s">
        <v>453</v>
      </c>
      <c r="AV340" s="165">
        <v>5</v>
      </c>
      <c r="AW340" s="165" t="s">
        <v>737</v>
      </c>
      <c r="AX340" s="168" t="s">
        <v>490</v>
      </c>
      <c r="AY340" s="166">
        <v>1</v>
      </c>
      <c r="AZ340" s="166" t="s">
        <v>338</v>
      </c>
    </row>
    <row r="341" spans="38:52" hidden="1" x14ac:dyDescent="0.25">
      <c r="AL341" s="15" t="s">
        <v>817</v>
      </c>
      <c r="AM341" s="15" t="s">
        <v>734</v>
      </c>
      <c r="AN341" s="163">
        <v>7</v>
      </c>
      <c r="AO341" s="163">
        <v>7</v>
      </c>
      <c r="AP341" s="163" t="s">
        <v>452</v>
      </c>
      <c r="AQ341" s="163" t="s">
        <v>688</v>
      </c>
      <c r="AR341" s="164"/>
      <c r="AS341" s="163" t="s">
        <v>735</v>
      </c>
      <c r="AT341" s="163">
        <v>245</v>
      </c>
      <c r="AU341" s="163" t="s">
        <v>453</v>
      </c>
      <c r="AV341" s="163">
        <v>4</v>
      </c>
      <c r="AW341" s="163" t="s">
        <v>737</v>
      </c>
      <c r="AX341" s="168"/>
      <c r="AY341" s="166">
        <v>1</v>
      </c>
      <c r="AZ341" s="166" t="s">
        <v>338</v>
      </c>
    </row>
    <row r="342" spans="38:52" hidden="1" x14ac:dyDescent="0.25">
      <c r="AL342" s="15" t="s">
        <v>818</v>
      </c>
      <c r="AM342" s="15" t="s">
        <v>734</v>
      </c>
      <c r="AN342" s="163">
        <v>7</v>
      </c>
      <c r="AO342" s="163">
        <v>7</v>
      </c>
      <c r="AP342" s="163" t="s">
        <v>452</v>
      </c>
      <c r="AQ342" s="163" t="s">
        <v>688</v>
      </c>
      <c r="AR342" s="164"/>
      <c r="AS342" s="163" t="s">
        <v>735</v>
      </c>
      <c r="AT342" s="163">
        <v>245</v>
      </c>
      <c r="AU342" s="163" t="s">
        <v>453</v>
      </c>
      <c r="AV342" s="163">
        <v>5</v>
      </c>
      <c r="AW342" s="163" t="s">
        <v>737</v>
      </c>
      <c r="AX342" s="168"/>
      <c r="AY342" s="166">
        <v>1</v>
      </c>
      <c r="AZ342" s="166" t="s">
        <v>338</v>
      </c>
    </row>
    <row r="343" spans="38:52" hidden="1" x14ac:dyDescent="0.25">
      <c r="AL343" s="166" t="s">
        <v>819</v>
      </c>
      <c r="AM343" s="166" t="s">
        <v>734</v>
      </c>
      <c r="AN343" s="165">
        <v>7</v>
      </c>
      <c r="AO343" s="165">
        <v>7</v>
      </c>
      <c r="AP343" s="165" t="s">
        <v>395</v>
      </c>
      <c r="AQ343" s="165" t="s">
        <v>688</v>
      </c>
      <c r="AR343" s="167"/>
      <c r="AS343" s="165" t="s">
        <v>735</v>
      </c>
      <c r="AT343" s="165">
        <v>230</v>
      </c>
      <c r="AU343" s="165" t="s">
        <v>324</v>
      </c>
      <c r="AV343" s="165">
        <v>4</v>
      </c>
      <c r="AW343" s="165" t="s">
        <v>737</v>
      </c>
      <c r="AX343" s="168"/>
      <c r="AY343" s="166">
        <v>1</v>
      </c>
      <c r="AZ343" s="166" t="s">
        <v>338</v>
      </c>
    </row>
    <row r="344" spans="38:52" hidden="1" x14ac:dyDescent="0.25">
      <c r="AL344" s="15" t="s">
        <v>820</v>
      </c>
      <c r="AM344" s="15" t="s">
        <v>734</v>
      </c>
      <c r="AN344" s="163">
        <v>7</v>
      </c>
      <c r="AO344" s="163">
        <v>7</v>
      </c>
      <c r="AP344" s="163" t="s">
        <v>395</v>
      </c>
      <c r="AQ344" s="163" t="s">
        <v>688</v>
      </c>
      <c r="AR344" s="164"/>
      <c r="AS344" s="163" t="s">
        <v>735</v>
      </c>
      <c r="AT344" s="163">
        <v>245</v>
      </c>
      <c r="AU344" s="163" t="s">
        <v>324</v>
      </c>
      <c r="AV344" s="163">
        <v>4</v>
      </c>
      <c r="AW344" s="163" t="s">
        <v>737</v>
      </c>
      <c r="AX344" s="168"/>
      <c r="AY344" s="166">
        <v>1</v>
      </c>
      <c r="AZ344" s="166" t="s">
        <v>338</v>
      </c>
    </row>
    <row r="345" spans="38:52" hidden="1" x14ac:dyDescent="0.25">
      <c r="AL345" s="166" t="s">
        <v>821</v>
      </c>
      <c r="AM345" s="166" t="s">
        <v>734</v>
      </c>
      <c r="AN345" s="165">
        <v>7</v>
      </c>
      <c r="AO345" s="165">
        <v>7</v>
      </c>
      <c r="AP345" s="165" t="s">
        <v>395</v>
      </c>
      <c r="AQ345" s="165" t="s">
        <v>688</v>
      </c>
      <c r="AR345" s="167"/>
      <c r="AS345" s="165" t="s">
        <v>735</v>
      </c>
      <c r="AT345" s="165">
        <v>245</v>
      </c>
      <c r="AU345" s="165" t="s">
        <v>324</v>
      </c>
      <c r="AV345" s="165">
        <v>5</v>
      </c>
      <c r="AW345" s="165" t="s">
        <v>737</v>
      </c>
      <c r="AX345" s="168"/>
      <c r="AY345" s="166">
        <v>1</v>
      </c>
      <c r="AZ345" s="166" t="s">
        <v>326</v>
      </c>
    </row>
    <row r="346" spans="38:52" hidden="1" x14ac:dyDescent="0.25">
      <c r="AL346" s="15" t="s">
        <v>822</v>
      </c>
      <c r="AM346" s="15" t="s">
        <v>734</v>
      </c>
      <c r="AN346" s="163">
        <v>7</v>
      </c>
      <c r="AO346" s="163">
        <v>7</v>
      </c>
      <c r="AP346" s="163" t="s">
        <v>474</v>
      </c>
      <c r="AQ346" s="163" t="s">
        <v>688</v>
      </c>
      <c r="AR346" s="164"/>
      <c r="AS346" s="163" t="s">
        <v>735</v>
      </c>
      <c r="AT346" s="163">
        <v>200</v>
      </c>
      <c r="AU346" s="163" t="s">
        <v>475</v>
      </c>
      <c r="AV346" s="163">
        <v>4</v>
      </c>
      <c r="AW346" s="163">
        <v>4</v>
      </c>
      <c r="AX346" s="168"/>
      <c r="AY346" s="166">
        <v>1</v>
      </c>
      <c r="AZ346" s="166" t="s">
        <v>338</v>
      </c>
    </row>
    <row r="347" spans="38:52" hidden="1" x14ac:dyDescent="0.25">
      <c r="AL347" s="166" t="s">
        <v>823</v>
      </c>
      <c r="AM347" s="166" t="s">
        <v>734</v>
      </c>
      <c r="AN347" s="165">
        <v>7</v>
      </c>
      <c r="AO347" s="165">
        <v>7</v>
      </c>
      <c r="AP347" s="165" t="s">
        <v>452</v>
      </c>
      <c r="AQ347" s="165" t="s">
        <v>688</v>
      </c>
      <c r="AR347" s="167"/>
      <c r="AS347" s="165" t="s">
        <v>824</v>
      </c>
      <c r="AT347" s="165">
        <v>250</v>
      </c>
      <c r="AU347" s="165" t="s">
        <v>324</v>
      </c>
      <c r="AV347" s="165">
        <v>4</v>
      </c>
      <c r="AW347" s="165" t="s">
        <v>737</v>
      </c>
      <c r="AX347" s="168"/>
      <c r="AY347" s="166">
        <v>1</v>
      </c>
      <c r="AZ347" s="166" t="s">
        <v>338</v>
      </c>
    </row>
    <row r="348" spans="38:52" hidden="1" x14ac:dyDescent="0.25">
      <c r="AL348" s="166" t="s">
        <v>825</v>
      </c>
      <c r="AM348" s="166" t="s">
        <v>734</v>
      </c>
      <c r="AN348" s="165">
        <v>7</v>
      </c>
      <c r="AO348" s="165">
        <v>7</v>
      </c>
      <c r="AP348" s="165" t="s">
        <v>452</v>
      </c>
      <c r="AQ348" s="165" t="s">
        <v>688</v>
      </c>
      <c r="AR348" s="167"/>
      <c r="AS348" s="165" t="s">
        <v>826</v>
      </c>
      <c r="AT348" s="165">
        <v>307</v>
      </c>
      <c r="AU348" s="165" t="s">
        <v>453</v>
      </c>
      <c r="AV348" s="165">
        <v>5</v>
      </c>
      <c r="AW348" s="165" t="s">
        <v>737</v>
      </c>
      <c r="AX348" s="168"/>
      <c r="AY348" s="166">
        <v>1</v>
      </c>
      <c r="AZ348" s="166" t="s">
        <v>338</v>
      </c>
    </row>
    <row r="349" spans="38:52" hidden="1" x14ac:dyDescent="0.25">
      <c r="AL349" s="166" t="s">
        <v>827</v>
      </c>
      <c r="AM349" s="166" t="s">
        <v>734</v>
      </c>
      <c r="AN349" s="165">
        <v>7</v>
      </c>
      <c r="AO349" s="165">
        <v>7</v>
      </c>
      <c r="AP349" s="165" t="s">
        <v>452</v>
      </c>
      <c r="AQ349" s="165" t="s">
        <v>688</v>
      </c>
      <c r="AR349" s="167"/>
      <c r="AS349" s="165" t="s">
        <v>828</v>
      </c>
      <c r="AT349" s="165">
        <v>365</v>
      </c>
      <c r="AU349" s="165" t="s">
        <v>453</v>
      </c>
      <c r="AV349" s="165">
        <v>4</v>
      </c>
      <c r="AW349" s="165" t="s">
        <v>737</v>
      </c>
      <c r="AX349" s="168"/>
      <c r="AY349" s="166">
        <v>1</v>
      </c>
      <c r="AZ349" s="166" t="s">
        <v>536</v>
      </c>
    </row>
    <row r="350" spans="38:52" hidden="1" x14ac:dyDescent="0.25">
      <c r="AL350" s="15" t="s">
        <v>829</v>
      </c>
      <c r="AM350" s="15" t="s">
        <v>734</v>
      </c>
      <c r="AN350" s="163">
        <v>7</v>
      </c>
      <c r="AO350" s="163">
        <v>7</v>
      </c>
      <c r="AP350" s="163" t="s">
        <v>812</v>
      </c>
      <c r="AQ350" s="163" t="s">
        <v>688</v>
      </c>
      <c r="AR350" s="164"/>
      <c r="AS350" s="163" t="s">
        <v>830</v>
      </c>
      <c r="AT350" s="165"/>
      <c r="AU350" s="163" t="s">
        <v>453</v>
      </c>
      <c r="AV350" s="163">
        <v>5</v>
      </c>
      <c r="AW350" s="163" t="s">
        <v>737</v>
      </c>
      <c r="AX350" s="168" t="s">
        <v>490</v>
      </c>
      <c r="AY350" s="166">
        <v>1</v>
      </c>
      <c r="AZ350" s="166" t="s">
        <v>326</v>
      </c>
    </row>
    <row r="351" spans="38:52" hidden="1" x14ac:dyDescent="0.25">
      <c r="AL351" s="15" t="s">
        <v>831</v>
      </c>
      <c r="AM351" s="15" t="s">
        <v>734</v>
      </c>
      <c r="AN351" s="163">
        <v>7</v>
      </c>
      <c r="AO351" s="163">
        <v>7</v>
      </c>
      <c r="AP351" s="163" t="s">
        <v>832</v>
      </c>
      <c r="AQ351" s="163" t="s">
        <v>452</v>
      </c>
      <c r="AR351" s="164"/>
      <c r="AS351" s="163" t="s">
        <v>833</v>
      </c>
      <c r="AT351" s="165"/>
      <c r="AU351" s="163" t="s">
        <v>453</v>
      </c>
      <c r="AV351" s="163">
        <v>5</v>
      </c>
      <c r="AW351" s="163" t="s">
        <v>737</v>
      </c>
      <c r="AX351" s="168" t="s">
        <v>490</v>
      </c>
      <c r="AY351" s="166">
        <v>1</v>
      </c>
      <c r="AZ351" s="166" t="s">
        <v>326</v>
      </c>
    </row>
    <row r="352" spans="38:52" hidden="1" x14ac:dyDescent="0.25">
      <c r="AL352" s="166" t="s">
        <v>834</v>
      </c>
      <c r="AM352" s="166" t="s">
        <v>734</v>
      </c>
      <c r="AN352" s="165">
        <v>7</v>
      </c>
      <c r="AO352" s="165">
        <v>7</v>
      </c>
      <c r="AP352" s="165" t="s">
        <v>376</v>
      </c>
      <c r="AQ352" s="165" t="s">
        <v>452</v>
      </c>
      <c r="AR352" s="167"/>
      <c r="AS352" s="165" t="s">
        <v>803</v>
      </c>
      <c r="AT352" s="165"/>
      <c r="AU352" s="165" t="s">
        <v>804</v>
      </c>
      <c r="AV352" s="165">
        <v>5</v>
      </c>
      <c r="AW352" s="165" t="s">
        <v>737</v>
      </c>
      <c r="AX352" s="168" t="s">
        <v>490</v>
      </c>
      <c r="AY352" s="166">
        <v>1</v>
      </c>
      <c r="AZ352" s="166" t="s">
        <v>326</v>
      </c>
    </row>
    <row r="353" spans="38:52" hidden="1" x14ac:dyDescent="0.25">
      <c r="AL353" s="166" t="s">
        <v>835</v>
      </c>
      <c r="AM353" s="166" t="s">
        <v>734</v>
      </c>
      <c r="AN353" s="165">
        <v>7</v>
      </c>
      <c r="AO353" s="172">
        <v>7.75</v>
      </c>
      <c r="AP353" s="165" t="s">
        <v>836</v>
      </c>
      <c r="AQ353" s="165" t="s">
        <v>806</v>
      </c>
      <c r="AR353" s="167"/>
      <c r="AS353" s="165" t="s">
        <v>813</v>
      </c>
      <c r="AT353" s="165">
        <v>825</v>
      </c>
      <c r="AU353" s="165" t="s">
        <v>453</v>
      </c>
      <c r="AV353" s="165">
        <v>5</v>
      </c>
      <c r="AW353" s="165" t="s">
        <v>737</v>
      </c>
      <c r="AX353" s="168"/>
      <c r="AY353" s="166">
        <v>1</v>
      </c>
      <c r="AZ353" s="166" t="s">
        <v>326</v>
      </c>
    </row>
    <row r="354" spans="38:52" hidden="1" x14ac:dyDescent="0.25">
      <c r="AL354" s="166" t="s">
        <v>837</v>
      </c>
      <c r="AM354" s="166" t="s">
        <v>734</v>
      </c>
      <c r="AN354" s="165">
        <v>7</v>
      </c>
      <c r="AO354" s="172">
        <v>7.75</v>
      </c>
      <c r="AP354" s="165" t="s">
        <v>452</v>
      </c>
      <c r="AQ354" s="165" t="s">
        <v>806</v>
      </c>
      <c r="AR354" s="167"/>
      <c r="AS354" s="165" t="s">
        <v>735</v>
      </c>
      <c r="AT354" s="165">
        <v>185</v>
      </c>
      <c r="AU354" s="165" t="s">
        <v>453</v>
      </c>
      <c r="AV354" s="165">
        <v>4</v>
      </c>
      <c r="AW354" s="165" t="s">
        <v>737</v>
      </c>
      <c r="AX354" s="168"/>
      <c r="AY354" s="166">
        <v>1</v>
      </c>
      <c r="AZ354" s="166" t="s">
        <v>326</v>
      </c>
    </row>
    <row r="355" spans="38:52" hidden="1" x14ac:dyDescent="0.25">
      <c r="AL355" s="166" t="s">
        <v>838</v>
      </c>
      <c r="AM355" s="166" t="s">
        <v>734</v>
      </c>
      <c r="AN355" s="165">
        <v>7</v>
      </c>
      <c r="AO355" s="172">
        <v>7.75</v>
      </c>
      <c r="AP355" s="165" t="s">
        <v>452</v>
      </c>
      <c r="AQ355" s="165" t="s">
        <v>806</v>
      </c>
      <c r="AR355" s="167"/>
      <c r="AS355" s="165" t="s">
        <v>735</v>
      </c>
      <c r="AT355" s="165">
        <v>215</v>
      </c>
      <c r="AU355" s="165" t="s">
        <v>402</v>
      </c>
      <c r="AV355" s="165">
        <v>5</v>
      </c>
      <c r="AW355" s="165" t="s">
        <v>737</v>
      </c>
      <c r="AX355" s="168"/>
      <c r="AY355" s="166">
        <v>1</v>
      </c>
      <c r="AZ355" s="166" t="s">
        <v>326</v>
      </c>
    </row>
    <row r="356" spans="38:52" hidden="1" x14ac:dyDescent="0.25">
      <c r="AL356" s="166" t="s">
        <v>839</v>
      </c>
      <c r="AM356" s="166" t="s">
        <v>734</v>
      </c>
      <c r="AN356" s="165">
        <v>7</v>
      </c>
      <c r="AO356" s="172">
        <v>7.75</v>
      </c>
      <c r="AP356" s="165" t="s">
        <v>452</v>
      </c>
      <c r="AQ356" s="165" t="s">
        <v>806</v>
      </c>
      <c r="AR356" s="167"/>
      <c r="AS356" s="165" t="s">
        <v>828</v>
      </c>
      <c r="AT356" s="165">
        <v>275</v>
      </c>
      <c r="AU356" s="165" t="s">
        <v>453</v>
      </c>
      <c r="AV356" s="165">
        <v>5</v>
      </c>
      <c r="AW356" s="165" t="s">
        <v>737</v>
      </c>
      <c r="AX356" s="168"/>
      <c r="AY356" s="166">
        <v>1</v>
      </c>
      <c r="AZ356" s="166" t="s">
        <v>536</v>
      </c>
    </row>
    <row r="357" spans="38:52" hidden="1" x14ac:dyDescent="0.25">
      <c r="AL357" s="177" t="s">
        <v>840</v>
      </c>
      <c r="AM357" s="177" t="s">
        <v>734</v>
      </c>
      <c r="AN357" s="163">
        <v>7</v>
      </c>
      <c r="AO357" s="176"/>
      <c r="AP357" s="163" t="s">
        <v>452</v>
      </c>
      <c r="AQ357" s="163" t="s">
        <v>688</v>
      </c>
      <c r="AR357" s="178" t="s">
        <v>325</v>
      </c>
      <c r="AS357" s="179">
        <v>45.75</v>
      </c>
      <c r="AT357" s="163"/>
      <c r="AU357" s="163" t="s">
        <v>841</v>
      </c>
      <c r="AV357" s="163">
        <v>5</v>
      </c>
      <c r="AW357" s="163"/>
      <c r="AX357" s="168"/>
      <c r="AY357" s="166"/>
      <c r="AZ357" s="166"/>
    </row>
    <row r="358" spans="38:52" hidden="1" x14ac:dyDescent="0.25">
      <c r="AL358" s="15" t="s">
        <v>842</v>
      </c>
      <c r="AM358" s="15" t="s">
        <v>734</v>
      </c>
      <c r="AN358" s="171">
        <v>7.625</v>
      </c>
      <c r="AO358" s="171">
        <v>7.625</v>
      </c>
      <c r="AP358" s="163" t="s">
        <v>843</v>
      </c>
      <c r="AQ358" s="163" t="s">
        <v>688</v>
      </c>
      <c r="AR358" s="164"/>
      <c r="AS358" s="163" t="s">
        <v>813</v>
      </c>
      <c r="AT358" s="165"/>
      <c r="AU358" s="171" t="s">
        <v>509</v>
      </c>
      <c r="AV358" s="163">
        <v>6</v>
      </c>
      <c r="AW358" s="163" t="s">
        <v>737</v>
      </c>
      <c r="AX358" s="168" t="s">
        <v>490</v>
      </c>
      <c r="AY358" s="166">
        <v>1</v>
      </c>
      <c r="AZ358" s="166" t="s">
        <v>326</v>
      </c>
    </row>
    <row r="359" spans="38:52" hidden="1" x14ac:dyDescent="0.25">
      <c r="AL359" s="166" t="s">
        <v>844</v>
      </c>
      <c r="AM359" s="166" t="s">
        <v>734</v>
      </c>
      <c r="AN359" s="172">
        <v>7.625</v>
      </c>
      <c r="AO359" s="172">
        <v>7.625</v>
      </c>
      <c r="AP359" s="165" t="s">
        <v>504</v>
      </c>
      <c r="AQ359" s="165" t="s">
        <v>806</v>
      </c>
      <c r="AR359" s="167"/>
      <c r="AS359" s="165" t="s">
        <v>813</v>
      </c>
      <c r="AT359" s="165"/>
      <c r="AU359" s="165" t="s">
        <v>509</v>
      </c>
      <c r="AV359" s="165">
        <v>5</v>
      </c>
      <c r="AW359" s="165" t="s">
        <v>737</v>
      </c>
      <c r="AX359" s="168" t="s">
        <v>490</v>
      </c>
      <c r="AY359" s="166">
        <v>1</v>
      </c>
      <c r="AZ359" s="166" t="s">
        <v>326</v>
      </c>
    </row>
    <row r="360" spans="38:52" hidden="1" x14ac:dyDescent="0.25">
      <c r="AL360" s="15" t="s">
        <v>845</v>
      </c>
      <c r="AM360" s="15" t="s">
        <v>734</v>
      </c>
      <c r="AN360" s="171">
        <v>7.625</v>
      </c>
      <c r="AO360" s="171">
        <v>7.625</v>
      </c>
      <c r="AP360" s="163" t="s">
        <v>504</v>
      </c>
      <c r="AQ360" s="163" t="s">
        <v>806</v>
      </c>
      <c r="AR360" s="164"/>
      <c r="AS360" s="163" t="s">
        <v>735</v>
      </c>
      <c r="AT360" s="163">
        <v>265</v>
      </c>
      <c r="AU360" s="163" t="s">
        <v>515</v>
      </c>
      <c r="AV360" s="163">
        <v>6</v>
      </c>
      <c r="AW360" s="163">
        <v>4</v>
      </c>
      <c r="AX360" s="168"/>
      <c r="AY360" s="166">
        <v>1</v>
      </c>
      <c r="AZ360" s="166" t="s">
        <v>357</v>
      </c>
    </row>
    <row r="361" spans="38:52" hidden="1" x14ac:dyDescent="0.25">
      <c r="AL361" s="15" t="s">
        <v>846</v>
      </c>
      <c r="AM361" s="15" t="s">
        <v>734</v>
      </c>
      <c r="AN361" s="171">
        <v>7.625</v>
      </c>
      <c r="AO361" s="171">
        <v>7.625</v>
      </c>
      <c r="AP361" s="163" t="s">
        <v>504</v>
      </c>
      <c r="AQ361" s="163" t="s">
        <v>688</v>
      </c>
      <c r="AR361" s="164"/>
      <c r="AS361" s="163" t="s">
        <v>735</v>
      </c>
      <c r="AT361" s="163">
        <v>265</v>
      </c>
      <c r="AU361" s="163" t="s">
        <v>515</v>
      </c>
      <c r="AV361" s="163">
        <v>6</v>
      </c>
      <c r="AW361" s="163">
        <v>4</v>
      </c>
      <c r="AX361" s="168"/>
      <c r="AY361" s="166">
        <v>1</v>
      </c>
      <c r="AZ361" s="166" t="s">
        <v>338</v>
      </c>
    </row>
    <row r="362" spans="38:52" hidden="1" x14ac:dyDescent="0.25">
      <c r="AL362" s="15" t="s">
        <v>847</v>
      </c>
      <c r="AM362" s="15" t="s">
        <v>734</v>
      </c>
      <c r="AN362" s="171">
        <v>7.625</v>
      </c>
      <c r="AO362" s="171">
        <v>7.625</v>
      </c>
      <c r="AP362" s="163" t="s">
        <v>504</v>
      </c>
      <c r="AQ362" s="163" t="s">
        <v>806</v>
      </c>
      <c r="AR362" s="164"/>
      <c r="AS362" s="163" t="s">
        <v>826</v>
      </c>
      <c r="AT362" s="163">
        <v>310</v>
      </c>
      <c r="AU362" s="163" t="s">
        <v>515</v>
      </c>
      <c r="AV362" s="163">
        <v>6</v>
      </c>
      <c r="AW362" s="163">
        <v>6</v>
      </c>
      <c r="AX362" s="168"/>
      <c r="AY362" s="166">
        <v>1</v>
      </c>
      <c r="AZ362" s="166" t="s">
        <v>326</v>
      </c>
    </row>
    <row r="363" spans="38:52" hidden="1" x14ac:dyDescent="0.25">
      <c r="AL363" s="15" t="s">
        <v>848</v>
      </c>
      <c r="AM363" s="15" t="s">
        <v>734</v>
      </c>
      <c r="AN363" s="171">
        <v>7.625</v>
      </c>
      <c r="AO363" s="171">
        <v>7.625</v>
      </c>
      <c r="AP363" s="163" t="s">
        <v>504</v>
      </c>
      <c r="AQ363" s="163" t="s">
        <v>806</v>
      </c>
      <c r="AR363" s="164"/>
      <c r="AS363" s="163" t="s">
        <v>828</v>
      </c>
      <c r="AT363" s="163">
        <v>395</v>
      </c>
      <c r="AU363" s="163" t="s">
        <v>515</v>
      </c>
      <c r="AV363" s="163">
        <v>6</v>
      </c>
      <c r="AW363" s="163">
        <v>6</v>
      </c>
      <c r="AX363" s="168"/>
      <c r="AY363" s="166">
        <v>1</v>
      </c>
      <c r="AZ363" s="166" t="s">
        <v>338</v>
      </c>
    </row>
    <row r="364" spans="38:52" hidden="1" x14ac:dyDescent="0.25">
      <c r="AL364" s="166" t="s">
        <v>849</v>
      </c>
      <c r="AM364" s="166" t="s">
        <v>734</v>
      </c>
      <c r="AN364" s="172">
        <v>7.625</v>
      </c>
      <c r="AO364" s="172">
        <v>7.625</v>
      </c>
      <c r="AP364" s="165" t="s">
        <v>504</v>
      </c>
      <c r="AQ364" s="165" t="s">
        <v>806</v>
      </c>
      <c r="AR364" s="167"/>
      <c r="AS364" s="165" t="s">
        <v>800</v>
      </c>
      <c r="AT364" s="165"/>
      <c r="AU364" s="165" t="s">
        <v>453</v>
      </c>
      <c r="AV364" s="165">
        <v>5</v>
      </c>
      <c r="AW364" s="165" t="s">
        <v>801</v>
      </c>
      <c r="AX364" s="168" t="s">
        <v>490</v>
      </c>
      <c r="AY364" s="166">
        <v>1</v>
      </c>
      <c r="AZ364" s="166" t="s">
        <v>338</v>
      </c>
    </row>
    <row r="365" spans="38:52" hidden="1" x14ac:dyDescent="0.25">
      <c r="AL365" s="15" t="s">
        <v>850</v>
      </c>
      <c r="AM365" s="15" t="s">
        <v>734</v>
      </c>
      <c r="AN365" s="171">
        <v>7.625</v>
      </c>
      <c r="AO365" s="171">
        <v>7.625</v>
      </c>
      <c r="AP365" s="163" t="s">
        <v>504</v>
      </c>
      <c r="AQ365" s="163" t="s">
        <v>688</v>
      </c>
      <c r="AR365" s="164"/>
      <c r="AS365" s="163" t="s">
        <v>830</v>
      </c>
      <c r="AT365" s="165"/>
      <c r="AU365" s="171" t="s">
        <v>509</v>
      </c>
      <c r="AV365" s="163">
        <v>6</v>
      </c>
      <c r="AW365" s="163" t="s">
        <v>737</v>
      </c>
      <c r="AX365" s="168" t="s">
        <v>490</v>
      </c>
      <c r="AY365" s="166">
        <v>1</v>
      </c>
      <c r="AZ365" s="166" t="s">
        <v>326</v>
      </c>
    </row>
    <row r="366" spans="38:52" hidden="1" x14ac:dyDescent="0.25">
      <c r="AL366" s="166" t="s">
        <v>851</v>
      </c>
      <c r="AM366" s="166" t="s">
        <v>734</v>
      </c>
      <c r="AN366" s="172">
        <v>7.625</v>
      </c>
      <c r="AO366" s="172">
        <v>7.625</v>
      </c>
      <c r="AP366" s="165" t="s">
        <v>504</v>
      </c>
      <c r="AQ366" s="165" t="s">
        <v>452</v>
      </c>
      <c r="AR366" s="167"/>
      <c r="AS366" s="165" t="s">
        <v>830</v>
      </c>
      <c r="AT366" s="165"/>
      <c r="AU366" s="165" t="s">
        <v>509</v>
      </c>
      <c r="AV366" s="165">
        <v>5</v>
      </c>
      <c r="AW366" s="165" t="s">
        <v>737</v>
      </c>
      <c r="AX366" s="168" t="s">
        <v>490</v>
      </c>
      <c r="AY366" s="166">
        <v>1</v>
      </c>
      <c r="AZ366" s="166" t="s">
        <v>326</v>
      </c>
    </row>
    <row r="367" spans="38:52" hidden="1" x14ac:dyDescent="0.25">
      <c r="AL367" s="166" t="s">
        <v>852</v>
      </c>
      <c r="AM367" s="166" t="s">
        <v>734</v>
      </c>
      <c r="AN367" s="172">
        <v>7.75</v>
      </c>
      <c r="AO367" s="172">
        <v>7.75</v>
      </c>
      <c r="AP367" s="165" t="s">
        <v>806</v>
      </c>
      <c r="AQ367" s="165" t="s">
        <v>806</v>
      </c>
      <c r="AR367" s="167"/>
      <c r="AS367" s="165" t="s">
        <v>761</v>
      </c>
      <c r="AT367" s="165">
        <v>125</v>
      </c>
      <c r="AU367" s="165" t="s">
        <v>566</v>
      </c>
      <c r="AV367" s="165">
        <v>6</v>
      </c>
      <c r="AW367" s="165" t="s">
        <v>583</v>
      </c>
      <c r="AX367" s="168"/>
      <c r="AY367" s="166">
        <v>1</v>
      </c>
      <c r="AZ367" s="166" t="s">
        <v>338</v>
      </c>
    </row>
    <row r="368" spans="38:52" hidden="1" x14ac:dyDescent="0.25">
      <c r="AL368" s="15" t="s">
        <v>853</v>
      </c>
      <c r="AM368" s="15" t="s">
        <v>734</v>
      </c>
      <c r="AN368" s="171">
        <v>7.75</v>
      </c>
      <c r="AO368" s="171">
        <v>7.75</v>
      </c>
      <c r="AP368" s="163" t="s">
        <v>806</v>
      </c>
      <c r="AQ368" s="163" t="s">
        <v>806</v>
      </c>
      <c r="AR368" s="164"/>
      <c r="AS368" s="163" t="s">
        <v>789</v>
      </c>
      <c r="AT368" s="163">
        <v>270</v>
      </c>
      <c r="AU368" s="163" t="s">
        <v>515</v>
      </c>
      <c r="AV368" s="163">
        <v>6</v>
      </c>
      <c r="AW368" s="163">
        <v>4</v>
      </c>
      <c r="AX368" s="168"/>
      <c r="AY368" s="166">
        <v>1</v>
      </c>
      <c r="AZ368" s="166"/>
    </row>
    <row r="369" spans="38:52" hidden="1" x14ac:dyDescent="0.25">
      <c r="AL369" s="15" t="s">
        <v>854</v>
      </c>
      <c r="AM369" s="15" t="s">
        <v>734</v>
      </c>
      <c r="AN369" s="171">
        <v>7.75</v>
      </c>
      <c r="AO369" s="171">
        <v>7.75</v>
      </c>
      <c r="AP369" s="163" t="s">
        <v>806</v>
      </c>
      <c r="AQ369" s="163" t="s">
        <v>688</v>
      </c>
      <c r="AR369" s="164"/>
      <c r="AS369" s="163" t="s">
        <v>789</v>
      </c>
      <c r="AT369" s="163">
        <v>280</v>
      </c>
      <c r="AU369" s="163" t="s">
        <v>453</v>
      </c>
      <c r="AV369" s="163">
        <v>6</v>
      </c>
      <c r="AW369" s="163">
        <v>4</v>
      </c>
      <c r="AX369" s="168"/>
      <c r="AY369" s="166">
        <v>1</v>
      </c>
      <c r="AZ369" s="166" t="s">
        <v>326</v>
      </c>
    </row>
    <row r="370" spans="38:52" hidden="1" x14ac:dyDescent="0.25">
      <c r="AL370" s="166" t="s">
        <v>855</v>
      </c>
      <c r="AM370" s="166" t="s">
        <v>734</v>
      </c>
      <c r="AN370" s="172">
        <v>7.75</v>
      </c>
      <c r="AO370" s="172">
        <v>7.75</v>
      </c>
      <c r="AP370" s="165" t="s">
        <v>806</v>
      </c>
      <c r="AQ370" s="165" t="s">
        <v>806</v>
      </c>
      <c r="AR370" s="167"/>
      <c r="AS370" s="165" t="s">
        <v>735</v>
      </c>
      <c r="AT370" s="165">
        <v>250</v>
      </c>
      <c r="AU370" s="165" t="s">
        <v>566</v>
      </c>
      <c r="AV370" s="165">
        <v>6</v>
      </c>
      <c r="AW370" s="165" t="s">
        <v>583</v>
      </c>
      <c r="AX370" s="168"/>
      <c r="AY370" s="166">
        <v>1</v>
      </c>
      <c r="AZ370" s="166" t="s">
        <v>338</v>
      </c>
    </row>
    <row r="371" spans="38:52" hidden="1" x14ac:dyDescent="0.25">
      <c r="AL371" s="166" t="s">
        <v>856</v>
      </c>
      <c r="AM371" s="166" t="s">
        <v>734</v>
      </c>
      <c r="AN371" s="172">
        <v>7.875</v>
      </c>
      <c r="AO371" s="172">
        <v>7.875</v>
      </c>
      <c r="AP371" s="165" t="s">
        <v>504</v>
      </c>
      <c r="AQ371" s="165" t="s">
        <v>806</v>
      </c>
      <c r="AR371" s="167"/>
      <c r="AS371" s="165" t="s">
        <v>826</v>
      </c>
      <c r="AT371" s="165">
        <v>342</v>
      </c>
      <c r="AU371" s="165" t="s">
        <v>515</v>
      </c>
      <c r="AV371" s="165">
        <v>6</v>
      </c>
      <c r="AW371" s="165" t="s">
        <v>583</v>
      </c>
      <c r="AX371" s="168"/>
      <c r="AY371" s="166">
        <v>1</v>
      </c>
      <c r="AZ371" s="166" t="s">
        <v>326</v>
      </c>
    </row>
    <row r="372" spans="38:52" hidden="1" x14ac:dyDescent="0.25">
      <c r="AL372" s="15" t="s">
        <v>857</v>
      </c>
      <c r="AM372" s="15" t="s">
        <v>734</v>
      </c>
      <c r="AN372" s="163">
        <v>8</v>
      </c>
      <c r="AO372" s="163">
        <v>8</v>
      </c>
      <c r="AP372" s="163" t="s">
        <v>806</v>
      </c>
      <c r="AQ372" s="163" t="s">
        <v>806</v>
      </c>
      <c r="AR372" s="164"/>
      <c r="AS372" s="163" t="s">
        <v>789</v>
      </c>
      <c r="AT372" s="163">
        <v>330</v>
      </c>
      <c r="AU372" s="163" t="s">
        <v>515</v>
      </c>
      <c r="AV372" s="163">
        <v>6</v>
      </c>
      <c r="AW372" s="163">
        <v>4</v>
      </c>
      <c r="AX372" s="168"/>
      <c r="AY372" s="166">
        <v>1</v>
      </c>
      <c r="AZ372" s="166" t="s">
        <v>338</v>
      </c>
    </row>
    <row r="373" spans="38:52" hidden="1" x14ac:dyDescent="0.25">
      <c r="AL373" s="15" t="s">
        <v>858</v>
      </c>
      <c r="AM373" s="15" t="s">
        <v>734</v>
      </c>
      <c r="AN373" s="163">
        <v>8</v>
      </c>
      <c r="AO373" s="163">
        <v>8</v>
      </c>
      <c r="AP373" s="163" t="s">
        <v>504</v>
      </c>
      <c r="AQ373" s="163" t="s">
        <v>806</v>
      </c>
      <c r="AR373" s="164"/>
      <c r="AS373" s="163" t="s">
        <v>826</v>
      </c>
      <c r="AT373" s="163">
        <v>564</v>
      </c>
      <c r="AU373" s="163" t="s">
        <v>515</v>
      </c>
      <c r="AV373" s="163">
        <v>6</v>
      </c>
      <c r="AW373" s="163">
        <v>6</v>
      </c>
      <c r="AX373" s="168" t="s">
        <v>535</v>
      </c>
      <c r="AY373" s="166">
        <v>1</v>
      </c>
      <c r="AZ373" s="166" t="s">
        <v>338</v>
      </c>
    </row>
    <row r="374" spans="38:52" hidden="1" x14ac:dyDescent="0.25">
      <c r="AL374" s="15" t="s">
        <v>859</v>
      </c>
      <c r="AM374" s="15" t="s">
        <v>734</v>
      </c>
      <c r="AN374" s="163">
        <v>8</v>
      </c>
      <c r="AO374" s="163">
        <v>9</v>
      </c>
      <c r="AP374" s="163" t="s">
        <v>806</v>
      </c>
      <c r="AQ374" s="163" t="s">
        <v>860</v>
      </c>
      <c r="AR374" s="164"/>
      <c r="AS374" s="163" t="s">
        <v>789</v>
      </c>
      <c r="AT374" s="163">
        <v>300</v>
      </c>
      <c r="AU374" s="163" t="s">
        <v>515</v>
      </c>
      <c r="AV374" s="163">
        <v>6</v>
      </c>
      <c r="AW374" s="163">
        <v>4</v>
      </c>
      <c r="AX374" s="168"/>
      <c r="AY374" s="166">
        <v>1</v>
      </c>
      <c r="AZ374" s="166" t="s">
        <v>338</v>
      </c>
    </row>
    <row r="375" spans="38:52" hidden="1" x14ac:dyDescent="0.25">
      <c r="AL375" s="15" t="s">
        <v>861</v>
      </c>
      <c r="AM375" s="15" t="s">
        <v>734</v>
      </c>
      <c r="AN375" s="171">
        <v>8.625</v>
      </c>
      <c r="AO375" s="171">
        <v>8.625</v>
      </c>
      <c r="AP375" s="163" t="s">
        <v>504</v>
      </c>
      <c r="AQ375" s="163" t="s">
        <v>806</v>
      </c>
      <c r="AR375" s="164"/>
      <c r="AS375" s="163" t="s">
        <v>714</v>
      </c>
      <c r="AT375" s="163">
        <v>264</v>
      </c>
      <c r="AU375" s="163" t="s">
        <v>515</v>
      </c>
      <c r="AV375" s="163">
        <v>7</v>
      </c>
      <c r="AW375" s="163" t="s">
        <v>737</v>
      </c>
      <c r="AX375" s="168"/>
      <c r="AY375" s="166">
        <v>1</v>
      </c>
      <c r="AZ375" s="166" t="s">
        <v>338</v>
      </c>
    </row>
    <row r="376" spans="38:52" hidden="1" x14ac:dyDescent="0.25">
      <c r="AL376" s="15" t="s">
        <v>862</v>
      </c>
      <c r="AM376" s="15" t="s">
        <v>734</v>
      </c>
      <c r="AN376" s="171">
        <v>8.625</v>
      </c>
      <c r="AO376" s="171">
        <v>8.625</v>
      </c>
      <c r="AP376" s="163" t="s">
        <v>504</v>
      </c>
      <c r="AQ376" s="163" t="s">
        <v>806</v>
      </c>
      <c r="AR376" s="164"/>
      <c r="AS376" s="163" t="s">
        <v>735</v>
      </c>
      <c r="AT376" s="163">
        <v>350</v>
      </c>
      <c r="AU376" s="163" t="s">
        <v>515</v>
      </c>
      <c r="AV376" s="163">
        <v>7</v>
      </c>
      <c r="AW376" s="163" t="s">
        <v>737</v>
      </c>
      <c r="AX376" s="168"/>
      <c r="AY376" s="166">
        <v>1</v>
      </c>
      <c r="AZ376" s="166" t="s">
        <v>338</v>
      </c>
    </row>
    <row r="377" spans="38:52" hidden="1" x14ac:dyDescent="0.25">
      <c r="AL377" s="15" t="s">
        <v>863</v>
      </c>
      <c r="AM377" s="15" t="s">
        <v>734</v>
      </c>
      <c r="AN377" s="171">
        <v>8.625</v>
      </c>
      <c r="AO377" s="171">
        <v>8.625</v>
      </c>
      <c r="AP377" s="163" t="s">
        <v>504</v>
      </c>
      <c r="AQ377" s="163" t="s">
        <v>806</v>
      </c>
      <c r="AR377" s="164"/>
      <c r="AS377" s="163" t="s">
        <v>826</v>
      </c>
      <c r="AT377" s="163">
        <v>440</v>
      </c>
      <c r="AU377" s="163" t="s">
        <v>515</v>
      </c>
      <c r="AV377" s="163">
        <v>7</v>
      </c>
      <c r="AW377" s="163" t="s">
        <v>737</v>
      </c>
      <c r="AX377" s="168"/>
      <c r="AY377" s="166">
        <v>1</v>
      </c>
      <c r="AZ377" s="166" t="s">
        <v>326</v>
      </c>
    </row>
    <row r="378" spans="38:52" hidden="1" x14ac:dyDescent="0.25">
      <c r="AL378" s="15" t="s">
        <v>864</v>
      </c>
      <c r="AM378" s="15" t="s">
        <v>734</v>
      </c>
      <c r="AN378" s="171">
        <v>8.625</v>
      </c>
      <c r="AO378" s="171">
        <v>8.625</v>
      </c>
      <c r="AP378" s="163" t="s">
        <v>504</v>
      </c>
      <c r="AQ378" s="163" t="s">
        <v>806</v>
      </c>
      <c r="AR378" s="164"/>
      <c r="AS378" s="163" t="s">
        <v>828</v>
      </c>
      <c r="AT378" s="163">
        <v>523</v>
      </c>
      <c r="AU378" s="163" t="s">
        <v>515</v>
      </c>
      <c r="AV378" s="163">
        <v>7</v>
      </c>
      <c r="AW378" s="163" t="s">
        <v>583</v>
      </c>
      <c r="AX378" s="168"/>
      <c r="AY378" s="166">
        <v>1</v>
      </c>
      <c r="AZ378" s="166" t="s">
        <v>338</v>
      </c>
    </row>
    <row r="379" spans="38:52" hidden="1" x14ac:dyDescent="0.25">
      <c r="AL379" s="166" t="s">
        <v>865</v>
      </c>
      <c r="AM379" s="166" t="s">
        <v>734</v>
      </c>
      <c r="AN379" s="172">
        <v>8.625</v>
      </c>
      <c r="AO379" s="172">
        <v>8.625</v>
      </c>
      <c r="AP379" s="165" t="s">
        <v>504</v>
      </c>
      <c r="AQ379" s="165" t="s">
        <v>806</v>
      </c>
      <c r="AR379" s="167"/>
      <c r="AS379" s="165" t="s">
        <v>866</v>
      </c>
      <c r="AT379" s="165">
        <v>616</v>
      </c>
      <c r="AU379" s="165" t="s">
        <v>515</v>
      </c>
      <c r="AV379" s="165">
        <v>7</v>
      </c>
      <c r="AW379" s="165" t="s">
        <v>583</v>
      </c>
      <c r="AX379" s="168"/>
      <c r="AY379" s="166">
        <v>1</v>
      </c>
      <c r="AZ379" s="166" t="s">
        <v>326</v>
      </c>
    </row>
    <row r="380" spans="38:52" hidden="1" x14ac:dyDescent="0.25">
      <c r="AL380" s="166" t="s">
        <v>867</v>
      </c>
      <c r="AM380" s="166" t="s">
        <v>734</v>
      </c>
      <c r="AN380" s="172">
        <v>8.625</v>
      </c>
      <c r="AO380" s="172">
        <v>8.625</v>
      </c>
      <c r="AP380" s="165" t="s">
        <v>504</v>
      </c>
      <c r="AQ380" s="165" t="s">
        <v>806</v>
      </c>
      <c r="AR380" s="167"/>
      <c r="AS380" s="165" t="s">
        <v>868</v>
      </c>
      <c r="AT380" s="165">
        <v>990</v>
      </c>
      <c r="AU380" s="165" t="s">
        <v>515</v>
      </c>
      <c r="AV380" s="165">
        <v>7</v>
      </c>
      <c r="AW380" s="165" t="s">
        <v>737</v>
      </c>
      <c r="AX380" s="168"/>
      <c r="AY380" s="166">
        <v>1</v>
      </c>
      <c r="AZ380" s="166" t="s">
        <v>326</v>
      </c>
    </row>
    <row r="381" spans="38:52" hidden="1" x14ac:dyDescent="0.25">
      <c r="AL381" s="15" t="s">
        <v>869</v>
      </c>
      <c r="AM381" s="166" t="s">
        <v>734</v>
      </c>
      <c r="AN381" s="163">
        <v>9</v>
      </c>
      <c r="AO381" s="163">
        <v>9</v>
      </c>
      <c r="AP381" s="163" t="s">
        <v>504</v>
      </c>
      <c r="AQ381" s="163" t="s">
        <v>806</v>
      </c>
      <c r="AR381" s="164"/>
      <c r="AS381" s="163" t="s">
        <v>826</v>
      </c>
      <c r="AT381" s="163">
        <v>564</v>
      </c>
      <c r="AU381" s="163" t="s">
        <v>515</v>
      </c>
      <c r="AV381" s="163">
        <v>7</v>
      </c>
      <c r="AW381" s="163">
        <v>4</v>
      </c>
      <c r="AX381" s="168" t="s">
        <v>535</v>
      </c>
      <c r="AY381" s="166">
        <v>1</v>
      </c>
      <c r="AZ381" s="166" t="s">
        <v>338</v>
      </c>
    </row>
    <row r="382" spans="38:52" hidden="1" x14ac:dyDescent="0.25">
      <c r="AL382" s="166" t="s">
        <v>870</v>
      </c>
      <c r="AM382" s="166" t="s">
        <v>734</v>
      </c>
      <c r="AN382" s="172">
        <v>9.625</v>
      </c>
      <c r="AO382" s="172">
        <v>9.625</v>
      </c>
      <c r="AP382" s="165" t="s">
        <v>504</v>
      </c>
      <c r="AQ382" s="165" t="s">
        <v>806</v>
      </c>
      <c r="AR382" s="167"/>
      <c r="AS382" s="165" t="s">
        <v>826</v>
      </c>
      <c r="AT382" s="165">
        <v>572</v>
      </c>
      <c r="AU382" s="165" t="s">
        <v>515</v>
      </c>
      <c r="AV382" s="165">
        <v>7</v>
      </c>
      <c r="AW382" s="165" t="s">
        <v>583</v>
      </c>
      <c r="AX382" s="168" t="s">
        <v>535</v>
      </c>
      <c r="AY382" s="166">
        <v>1</v>
      </c>
      <c r="AZ382" s="166" t="s">
        <v>326</v>
      </c>
    </row>
    <row r="383" spans="38:52" hidden="1" x14ac:dyDescent="0.25">
      <c r="AL383" s="15" t="s">
        <v>871</v>
      </c>
      <c r="AM383" s="15" t="s">
        <v>734</v>
      </c>
      <c r="AN383" s="171">
        <v>9.625</v>
      </c>
      <c r="AO383" s="171">
        <v>9.625</v>
      </c>
      <c r="AP383" s="163" t="s">
        <v>570</v>
      </c>
      <c r="AQ383" s="163" t="s">
        <v>806</v>
      </c>
      <c r="AR383" s="164"/>
      <c r="AS383" s="163" t="s">
        <v>866</v>
      </c>
      <c r="AT383" s="163">
        <v>783</v>
      </c>
      <c r="AU383" s="163" t="s">
        <v>571</v>
      </c>
      <c r="AV383" s="163">
        <v>8</v>
      </c>
      <c r="AW383" s="163">
        <v>6</v>
      </c>
      <c r="AX383" s="168" t="s">
        <v>523</v>
      </c>
      <c r="AY383" s="166">
        <v>1</v>
      </c>
      <c r="AZ383" s="166" t="s">
        <v>326</v>
      </c>
    </row>
    <row r="384" spans="38:52" hidden="1" x14ac:dyDescent="0.25">
      <c r="AL384" s="15" t="s">
        <v>872</v>
      </c>
      <c r="AM384" s="15" t="s">
        <v>734</v>
      </c>
      <c r="AN384" s="163">
        <v>10</v>
      </c>
      <c r="AO384" s="163">
        <v>10</v>
      </c>
      <c r="AP384" s="163" t="s">
        <v>570</v>
      </c>
      <c r="AQ384" s="163" t="s">
        <v>806</v>
      </c>
      <c r="AR384" s="164"/>
      <c r="AS384" s="163" t="s">
        <v>866</v>
      </c>
      <c r="AT384" s="163">
        <v>852</v>
      </c>
      <c r="AU384" s="163" t="s">
        <v>571</v>
      </c>
      <c r="AV384" s="163">
        <v>8</v>
      </c>
      <c r="AW384" s="163">
        <v>6</v>
      </c>
      <c r="AX384" s="168" t="s">
        <v>523</v>
      </c>
      <c r="AY384" s="166">
        <v>1</v>
      </c>
      <c r="AZ384" s="166" t="s">
        <v>326</v>
      </c>
    </row>
    <row r="385" spans="38:52" hidden="1" x14ac:dyDescent="0.25">
      <c r="AL385" s="166" t="s">
        <v>873</v>
      </c>
      <c r="AM385" s="166" t="s">
        <v>734</v>
      </c>
      <c r="AN385" s="165">
        <v>10.25</v>
      </c>
      <c r="AO385" s="172">
        <v>12.125</v>
      </c>
      <c r="AP385" s="165" t="s">
        <v>570</v>
      </c>
      <c r="AQ385" s="165" t="s">
        <v>806</v>
      </c>
      <c r="AR385" s="167"/>
      <c r="AS385" s="165">
        <v>42</v>
      </c>
      <c r="AT385" s="165">
        <v>860</v>
      </c>
      <c r="AU385" s="165" t="s">
        <v>515</v>
      </c>
      <c r="AV385" s="165">
        <v>8</v>
      </c>
      <c r="AW385" s="165" t="s">
        <v>583</v>
      </c>
      <c r="AX385" s="168" t="s">
        <v>874</v>
      </c>
      <c r="AY385" s="166">
        <v>1</v>
      </c>
      <c r="AZ385" s="166" t="s">
        <v>326</v>
      </c>
    </row>
    <row r="386" spans="38:52" hidden="1" x14ac:dyDescent="0.25">
      <c r="AL386" s="166" t="s">
        <v>875</v>
      </c>
      <c r="AM386" s="166" t="s">
        <v>734</v>
      </c>
      <c r="AN386" s="172">
        <v>10.75</v>
      </c>
      <c r="AO386" s="172">
        <v>10.75</v>
      </c>
      <c r="AP386" s="165" t="s">
        <v>570</v>
      </c>
      <c r="AQ386" s="165" t="s">
        <v>806</v>
      </c>
      <c r="AR386" s="167"/>
      <c r="AS386" s="165" t="s">
        <v>826</v>
      </c>
      <c r="AT386" s="165">
        <v>692</v>
      </c>
      <c r="AU386" s="165" t="s">
        <v>876</v>
      </c>
      <c r="AV386" s="165">
        <v>8</v>
      </c>
      <c r="AW386" s="165" t="s">
        <v>583</v>
      </c>
      <c r="AX386" s="168"/>
      <c r="AY386" s="166">
        <v>1</v>
      </c>
      <c r="AZ386" s="166" t="s">
        <v>326</v>
      </c>
    </row>
    <row r="387" spans="38:52" hidden="1" x14ac:dyDescent="0.25">
      <c r="AL387" s="15" t="s">
        <v>877</v>
      </c>
      <c r="AM387" s="15" t="s">
        <v>734</v>
      </c>
      <c r="AN387" s="171">
        <v>10.75</v>
      </c>
      <c r="AO387" s="171">
        <v>10.75</v>
      </c>
      <c r="AP387" s="163" t="s">
        <v>570</v>
      </c>
      <c r="AQ387" s="163" t="s">
        <v>806</v>
      </c>
      <c r="AR387" s="164"/>
      <c r="AS387" s="163" t="s">
        <v>828</v>
      </c>
      <c r="AT387" s="163">
        <v>830</v>
      </c>
      <c r="AU387" s="163" t="s">
        <v>876</v>
      </c>
      <c r="AV387" s="163">
        <v>8</v>
      </c>
      <c r="AW387" s="163" t="s">
        <v>583</v>
      </c>
      <c r="AX387" s="168"/>
      <c r="AY387" s="166">
        <v>1</v>
      </c>
      <c r="AZ387" s="166" t="s">
        <v>338</v>
      </c>
    </row>
    <row r="388" spans="38:52" hidden="1" x14ac:dyDescent="0.25">
      <c r="AL388" s="166" t="s">
        <v>878</v>
      </c>
      <c r="AM388" s="166" t="s">
        <v>734</v>
      </c>
      <c r="AN388" s="172">
        <v>10.75</v>
      </c>
      <c r="AO388" s="172">
        <v>10.75</v>
      </c>
      <c r="AP388" s="165" t="s">
        <v>570</v>
      </c>
      <c r="AQ388" s="165" t="s">
        <v>806</v>
      </c>
      <c r="AR388" s="167"/>
      <c r="AS388" s="165" t="s">
        <v>866</v>
      </c>
      <c r="AT388" s="165">
        <v>968</v>
      </c>
      <c r="AU388" s="165" t="s">
        <v>876</v>
      </c>
      <c r="AV388" s="165">
        <v>8</v>
      </c>
      <c r="AW388" s="165" t="s">
        <v>583</v>
      </c>
      <c r="AX388" s="168"/>
      <c r="AY388" s="166">
        <v>1</v>
      </c>
      <c r="AZ388" s="166" t="s">
        <v>338</v>
      </c>
    </row>
    <row r="389" spans="38:52" hidden="1" x14ac:dyDescent="0.25">
      <c r="AL389" s="15" t="s">
        <v>879</v>
      </c>
      <c r="AM389" s="15" t="s">
        <v>734</v>
      </c>
      <c r="AN389" s="163" t="s">
        <v>596</v>
      </c>
      <c r="AO389" s="163" t="s">
        <v>596</v>
      </c>
      <c r="AP389" s="163" t="s">
        <v>570</v>
      </c>
      <c r="AQ389" s="163" t="s">
        <v>806</v>
      </c>
      <c r="AR389" s="164"/>
      <c r="AS389" s="163" t="s">
        <v>866</v>
      </c>
      <c r="AT389" s="163">
        <v>860</v>
      </c>
      <c r="AU389" s="163" t="s">
        <v>515</v>
      </c>
      <c r="AV389" s="163">
        <v>8</v>
      </c>
      <c r="AW389" s="163">
        <v>6</v>
      </c>
      <c r="AX389" s="168" t="s">
        <v>598</v>
      </c>
      <c r="AY389" s="166">
        <v>1</v>
      </c>
      <c r="AZ389" s="166" t="s">
        <v>326</v>
      </c>
    </row>
    <row r="390" spans="38:52" hidden="1" x14ac:dyDescent="0.25">
      <c r="AL390" s="166" t="s">
        <v>880</v>
      </c>
      <c r="AM390" s="166" t="s">
        <v>734</v>
      </c>
      <c r="AN390" s="165" t="s">
        <v>600</v>
      </c>
      <c r="AO390" s="165" t="s">
        <v>600</v>
      </c>
      <c r="AP390" s="165" t="s">
        <v>581</v>
      </c>
      <c r="AQ390" s="165" t="s">
        <v>860</v>
      </c>
      <c r="AR390" s="167"/>
      <c r="AS390" s="165" t="s">
        <v>866</v>
      </c>
      <c r="AT390" s="165">
        <v>860</v>
      </c>
      <c r="AU390" s="165" t="s">
        <v>876</v>
      </c>
      <c r="AV390" s="165">
        <v>9</v>
      </c>
      <c r="AW390" s="165" t="s">
        <v>583</v>
      </c>
      <c r="AX390" s="168" t="s">
        <v>881</v>
      </c>
      <c r="AY390" s="166">
        <v>1</v>
      </c>
      <c r="AZ390" s="166" t="s">
        <v>326</v>
      </c>
    </row>
    <row r="391" spans="38:52" hidden="1" x14ac:dyDescent="0.25">
      <c r="AL391" s="166" t="s">
        <v>882</v>
      </c>
      <c r="AM391" s="166" t="s">
        <v>734</v>
      </c>
      <c r="AN391" s="165" t="s">
        <v>354</v>
      </c>
      <c r="AO391" s="172">
        <v>4.375</v>
      </c>
      <c r="AP391" s="165" t="s">
        <v>344</v>
      </c>
      <c r="AQ391" s="165" t="s">
        <v>376</v>
      </c>
      <c r="AR391" s="167"/>
      <c r="AS391" s="165" t="s">
        <v>323</v>
      </c>
      <c r="AT391" s="165">
        <v>87</v>
      </c>
      <c r="AU391" s="165" t="s">
        <v>324</v>
      </c>
      <c r="AV391" s="172">
        <v>2.75</v>
      </c>
      <c r="AW391" s="165" t="s">
        <v>737</v>
      </c>
      <c r="AX391" s="168"/>
      <c r="AY391" s="166">
        <v>1</v>
      </c>
      <c r="AZ391" s="166" t="s">
        <v>326</v>
      </c>
    </row>
    <row r="392" spans="38:52" hidden="1" x14ac:dyDescent="0.25">
      <c r="AL392" s="166" t="s">
        <v>883</v>
      </c>
      <c r="AM392" s="166" t="s">
        <v>734</v>
      </c>
      <c r="AN392" s="165" t="s">
        <v>354</v>
      </c>
      <c r="AO392" s="172">
        <v>4.75</v>
      </c>
      <c r="AP392" s="165" t="s">
        <v>361</v>
      </c>
      <c r="AQ392" s="165" t="s">
        <v>376</v>
      </c>
      <c r="AR392" s="167"/>
      <c r="AS392" s="165" t="s">
        <v>735</v>
      </c>
      <c r="AT392" s="165">
        <v>80</v>
      </c>
      <c r="AU392" s="165" t="s">
        <v>363</v>
      </c>
      <c r="AV392" s="172">
        <v>2.75</v>
      </c>
      <c r="AW392" s="165" t="s">
        <v>737</v>
      </c>
      <c r="AX392" s="168" t="s">
        <v>331</v>
      </c>
      <c r="AY392" s="166">
        <v>1</v>
      </c>
      <c r="AZ392" s="166" t="s">
        <v>326</v>
      </c>
    </row>
    <row r="393" spans="38:52" hidden="1" x14ac:dyDescent="0.25">
      <c r="AL393" s="166" t="s">
        <v>884</v>
      </c>
      <c r="AM393" s="166" t="s">
        <v>734</v>
      </c>
      <c r="AN393" s="165" t="s">
        <v>354</v>
      </c>
      <c r="AO393" s="165">
        <v>5</v>
      </c>
      <c r="AP393" s="165" t="s">
        <v>361</v>
      </c>
      <c r="AQ393" s="165" t="s">
        <v>376</v>
      </c>
      <c r="AR393" s="167"/>
      <c r="AS393" s="165" t="s">
        <v>885</v>
      </c>
      <c r="AT393" s="165">
        <v>67</v>
      </c>
      <c r="AU393" s="165" t="s">
        <v>363</v>
      </c>
      <c r="AV393" s="172">
        <v>2.75</v>
      </c>
      <c r="AW393" s="165" t="s">
        <v>737</v>
      </c>
      <c r="AX393" s="168" t="s">
        <v>331</v>
      </c>
      <c r="AY393" s="166">
        <v>1</v>
      </c>
      <c r="AZ393" s="166" t="s">
        <v>326</v>
      </c>
    </row>
    <row r="394" spans="38:52" hidden="1" x14ac:dyDescent="0.25">
      <c r="AL394" s="166" t="s">
        <v>886</v>
      </c>
      <c r="AM394" s="166" t="s">
        <v>734</v>
      </c>
      <c r="AN394" s="165" t="s">
        <v>354</v>
      </c>
      <c r="AO394" s="165">
        <v>5</v>
      </c>
      <c r="AP394" s="165" t="s">
        <v>361</v>
      </c>
      <c r="AQ394" s="165" t="s">
        <v>376</v>
      </c>
      <c r="AR394" s="167"/>
      <c r="AS394" s="165" t="s">
        <v>885</v>
      </c>
      <c r="AT394" s="165">
        <v>67</v>
      </c>
      <c r="AU394" s="165" t="s">
        <v>363</v>
      </c>
      <c r="AV394" s="172">
        <v>2.75</v>
      </c>
      <c r="AW394" s="165" t="s">
        <v>737</v>
      </c>
      <c r="AX394" s="168" t="s">
        <v>331</v>
      </c>
      <c r="AY394" s="166">
        <v>1</v>
      </c>
      <c r="AZ394" s="166" t="s">
        <v>326</v>
      </c>
    </row>
    <row r="395" spans="38:52" hidden="1" x14ac:dyDescent="0.25">
      <c r="AL395" s="15" t="s">
        <v>887</v>
      </c>
      <c r="AM395" s="15" t="s">
        <v>734</v>
      </c>
      <c r="AN395" s="163" t="s">
        <v>354</v>
      </c>
      <c r="AO395" s="171">
        <v>7.75</v>
      </c>
      <c r="AP395" s="163" t="s">
        <v>344</v>
      </c>
      <c r="AQ395" s="163" t="s">
        <v>806</v>
      </c>
      <c r="AR395" s="164"/>
      <c r="AS395" s="163" t="s">
        <v>735</v>
      </c>
      <c r="AT395" s="163">
        <v>100</v>
      </c>
      <c r="AU395" s="171" t="s">
        <v>353</v>
      </c>
      <c r="AV395" s="171">
        <v>2.75</v>
      </c>
      <c r="AW395" s="163">
        <v>4</v>
      </c>
      <c r="AX395" s="168"/>
      <c r="AY395" s="166">
        <v>1</v>
      </c>
      <c r="AZ395" s="166" t="s">
        <v>326</v>
      </c>
    </row>
    <row r="396" spans="38:52" hidden="1" x14ac:dyDescent="0.25">
      <c r="AL396" s="15" t="s">
        <v>888</v>
      </c>
      <c r="AM396" s="15" t="s">
        <v>734</v>
      </c>
      <c r="AN396" s="163" t="s">
        <v>354</v>
      </c>
      <c r="AO396" s="163" t="s">
        <v>354</v>
      </c>
      <c r="AP396" s="163" t="s">
        <v>344</v>
      </c>
      <c r="AQ396" s="163" t="s">
        <v>335</v>
      </c>
      <c r="AR396" s="164"/>
      <c r="AS396" s="163" t="s">
        <v>789</v>
      </c>
      <c r="AT396" s="163">
        <v>45</v>
      </c>
      <c r="AU396" s="171" t="s">
        <v>353</v>
      </c>
      <c r="AV396" s="171">
        <v>2.75</v>
      </c>
      <c r="AW396" s="163">
        <v>4</v>
      </c>
      <c r="AX396" s="168"/>
      <c r="AY396" s="166">
        <v>1</v>
      </c>
      <c r="AZ396" s="166" t="s">
        <v>338</v>
      </c>
    </row>
    <row r="397" spans="38:52" hidden="1" x14ac:dyDescent="0.25">
      <c r="AL397" s="15" t="s">
        <v>889</v>
      </c>
      <c r="AM397" s="15" t="s">
        <v>734</v>
      </c>
      <c r="AN397" s="163" t="s">
        <v>354</v>
      </c>
      <c r="AO397" s="163" t="s">
        <v>354</v>
      </c>
      <c r="AP397" s="163" t="s">
        <v>344</v>
      </c>
      <c r="AQ397" s="163" t="s">
        <v>361</v>
      </c>
      <c r="AR397" s="164"/>
      <c r="AS397" s="163" t="s">
        <v>789</v>
      </c>
      <c r="AT397" s="163">
        <v>45</v>
      </c>
      <c r="AU397" s="171" t="s">
        <v>353</v>
      </c>
      <c r="AV397" s="171">
        <v>2.75</v>
      </c>
      <c r="AW397" s="163">
        <v>4</v>
      </c>
      <c r="AX397" s="168"/>
      <c r="AY397" s="166">
        <v>1</v>
      </c>
      <c r="AZ397" s="166" t="s">
        <v>338</v>
      </c>
    </row>
    <row r="398" spans="38:52" hidden="1" x14ac:dyDescent="0.25">
      <c r="AL398" s="15" t="s">
        <v>890</v>
      </c>
      <c r="AM398" s="15" t="s">
        <v>734</v>
      </c>
      <c r="AN398" s="163" t="s">
        <v>354</v>
      </c>
      <c r="AO398" s="163" t="s">
        <v>354</v>
      </c>
      <c r="AP398" s="163" t="s">
        <v>344</v>
      </c>
      <c r="AQ398" s="163" t="s">
        <v>344</v>
      </c>
      <c r="AR398" s="164"/>
      <c r="AS398" s="163" t="s">
        <v>789</v>
      </c>
      <c r="AT398" s="163">
        <v>45</v>
      </c>
      <c r="AU398" s="171" t="s">
        <v>353</v>
      </c>
      <c r="AV398" s="171">
        <v>2.75</v>
      </c>
      <c r="AW398" s="163">
        <v>4</v>
      </c>
      <c r="AX398" s="168"/>
      <c r="AY398" s="166">
        <v>1</v>
      </c>
      <c r="AZ398" s="166" t="s">
        <v>338</v>
      </c>
    </row>
    <row r="399" spans="38:52" hidden="1" x14ac:dyDescent="0.25">
      <c r="AL399" s="15" t="s">
        <v>891</v>
      </c>
      <c r="AM399" s="15" t="s">
        <v>734</v>
      </c>
      <c r="AN399" s="163" t="s">
        <v>354</v>
      </c>
      <c r="AO399" s="163" t="s">
        <v>354</v>
      </c>
      <c r="AP399" s="163" t="s">
        <v>344</v>
      </c>
      <c r="AQ399" s="163" t="s">
        <v>892</v>
      </c>
      <c r="AR399" s="164"/>
      <c r="AS399" s="163" t="s">
        <v>735</v>
      </c>
      <c r="AT399" s="163">
        <v>70</v>
      </c>
      <c r="AU399" s="163" t="s">
        <v>330</v>
      </c>
      <c r="AV399" s="171">
        <v>2.75</v>
      </c>
      <c r="AW399" s="163">
        <v>4</v>
      </c>
      <c r="AX399" s="168" t="s">
        <v>893</v>
      </c>
      <c r="AY399" s="166">
        <v>1</v>
      </c>
      <c r="AZ399" s="166" t="s">
        <v>338</v>
      </c>
    </row>
    <row r="400" spans="38:52" hidden="1" x14ac:dyDescent="0.25">
      <c r="AL400" s="15" t="s">
        <v>894</v>
      </c>
      <c r="AM400" s="15" t="s">
        <v>734</v>
      </c>
      <c r="AN400" s="163" t="s">
        <v>354</v>
      </c>
      <c r="AO400" s="163" t="s">
        <v>354</v>
      </c>
      <c r="AP400" s="163" t="s">
        <v>335</v>
      </c>
      <c r="AQ400" s="163" t="s">
        <v>361</v>
      </c>
      <c r="AR400" s="164"/>
      <c r="AS400" s="163" t="s">
        <v>826</v>
      </c>
      <c r="AT400" s="163">
        <v>73</v>
      </c>
      <c r="AU400" s="163" t="s">
        <v>330</v>
      </c>
      <c r="AV400" s="163">
        <v>3</v>
      </c>
      <c r="AW400" s="163">
        <v>4</v>
      </c>
      <c r="AX400" s="168"/>
      <c r="AY400" s="166">
        <v>1</v>
      </c>
      <c r="AZ400" s="166" t="s">
        <v>338</v>
      </c>
    </row>
    <row r="401" spans="38:52" hidden="1" x14ac:dyDescent="0.25">
      <c r="AL401" s="15" t="s">
        <v>895</v>
      </c>
      <c r="AM401" s="166" t="s">
        <v>734</v>
      </c>
      <c r="AN401" s="163" t="s">
        <v>354</v>
      </c>
      <c r="AO401" s="163" t="s">
        <v>394</v>
      </c>
      <c r="AP401" s="163" t="s">
        <v>344</v>
      </c>
      <c r="AQ401" s="163" t="s">
        <v>376</v>
      </c>
      <c r="AR401" s="164"/>
      <c r="AS401" s="163" t="s">
        <v>735</v>
      </c>
      <c r="AT401" s="163">
        <v>87</v>
      </c>
      <c r="AU401" s="163" t="s">
        <v>324</v>
      </c>
      <c r="AV401" s="171">
        <v>2.75</v>
      </c>
      <c r="AW401" s="163">
        <v>4</v>
      </c>
      <c r="AX401" s="168"/>
      <c r="AY401" s="166">
        <v>1</v>
      </c>
      <c r="AZ401" s="166" t="s">
        <v>326</v>
      </c>
    </row>
    <row r="402" spans="38:52" hidden="1" x14ac:dyDescent="0.25">
      <c r="AL402" s="166" t="s">
        <v>896</v>
      </c>
      <c r="AM402" s="166" t="s">
        <v>734</v>
      </c>
      <c r="AN402" s="165" t="s">
        <v>354</v>
      </c>
      <c r="AO402" s="165" t="s">
        <v>394</v>
      </c>
      <c r="AP402" s="165" t="s">
        <v>361</v>
      </c>
      <c r="AQ402" s="165" t="s">
        <v>376</v>
      </c>
      <c r="AR402" s="167"/>
      <c r="AS402" s="165" t="s">
        <v>735</v>
      </c>
      <c r="AT402" s="165">
        <v>65</v>
      </c>
      <c r="AU402" s="165" t="s">
        <v>324</v>
      </c>
      <c r="AV402" s="172">
        <v>2.75</v>
      </c>
      <c r="AW402" s="165" t="s">
        <v>737</v>
      </c>
      <c r="AX402" s="168"/>
      <c r="AY402" s="166">
        <v>1</v>
      </c>
      <c r="AZ402" s="166" t="s">
        <v>326</v>
      </c>
    </row>
    <row r="403" spans="38:52" hidden="1" x14ac:dyDescent="0.25">
      <c r="AL403" s="166" t="s">
        <v>897</v>
      </c>
      <c r="AM403" s="166" t="s">
        <v>734</v>
      </c>
      <c r="AN403" s="165" t="s">
        <v>354</v>
      </c>
      <c r="AO403" s="165" t="s">
        <v>394</v>
      </c>
      <c r="AP403" s="165" t="s">
        <v>344</v>
      </c>
      <c r="AQ403" s="165" t="s">
        <v>376</v>
      </c>
      <c r="AR403" s="167"/>
      <c r="AS403" s="165" t="s">
        <v>601</v>
      </c>
      <c r="AT403" s="165">
        <v>77</v>
      </c>
      <c r="AU403" s="165" t="s">
        <v>324</v>
      </c>
      <c r="AV403" s="165">
        <v>3</v>
      </c>
      <c r="AW403" s="165" t="s">
        <v>737</v>
      </c>
      <c r="AX403" s="168" t="s">
        <v>438</v>
      </c>
      <c r="AY403" s="166">
        <v>1</v>
      </c>
      <c r="AZ403" s="166" t="s">
        <v>326</v>
      </c>
    </row>
    <row r="404" spans="38:52" hidden="1" x14ac:dyDescent="0.25">
      <c r="AL404" s="15" t="s">
        <v>898</v>
      </c>
      <c r="AM404" s="15" t="s">
        <v>734</v>
      </c>
      <c r="AN404" s="163" t="s">
        <v>354</v>
      </c>
      <c r="AO404" s="163" t="s">
        <v>454</v>
      </c>
      <c r="AP404" s="163" t="s">
        <v>344</v>
      </c>
      <c r="AQ404" s="163" t="s">
        <v>899</v>
      </c>
      <c r="AR404" s="164"/>
      <c r="AS404" s="163" t="s">
        <v>735</v>
      </c>
      <c r="AT404" s="163">
        <v>94</v>
      </c>
      <c r="AU404" s="171" t="s">
        <v>353</v>
      </c>
      <c r="AV404" s="171">
        <v>2.75</v>
      </c>
      <c r="AW404" s="163">
        <v>4</v>
      </c>
      <c r="AX404" s="168" t="s">
        <v>893</v>
      </c>
      <c r="AY404" s="166">
        <v>1</v>
      </c>
      <c r="AZ404" s="166" t="s">
        <v>326</v>
      </c>
    </row>
    <row r="405" spans="38:52" hidden="1" x14ac:dyDescent="0.25">
      <c r="AL405" s="15" t="s">
        <v>900</v>
      </c>
      <c r="AM405" s="15" t="s">
        <v>734</v>
      </c>
      <c r="AN405" s="163" t="s">
        <v>354</v>
      </c>
      <c r="AO405" s="163" t="s">
        <v>454</v>
      </c>
      <c r="AP405" s="163" t="s">
        <v>344</v>
      </c>
      <c r="AQ405" s="163" t="s">
        <v>462</v>
      </c>
      <c r="AR405" s="164"/>
      <c r="AS405" s="163" t="s">
        <v>735</v>
      </c>
      <c r="AT405" s="163">
        <v>85</v>
      </c>
      <c r="AU405" s="171" t="s">
        <v>353</v>
      </c>
      <c r="AV405" s="171">
        <v>2.75</v>
      </c>
      <c r="AW405" s="163">
        <v>4</v>
      </c>
      <c r="AX405" s="168"/>
      <c r="AY405" s="166">
        <v>1</v>
      </c>
      <c r="AZ405" s="166" t="s">
        <v>326</v>
      </c>
    </row>
    <row r="406" spans="38:52" hidden="1" x14ac:dyDescent="0.25">
      <c r="AL406" s="166" t="s">
        <v>901</v>
      </c>
      <c r="AM406" s="166" t="s">
        <v>734</v>
      </c>
      <c r="AN406" s="165" t="s">
        <v>354</v>
      </c>
      <c r="AO406" s="165"/>
      <c r="AP406" s="165" t="s">
        <v>361</v>
      </c>
      <c r="AQ406" s="165" t="s">
        <v>361</v>
      </c>
      <c r="AR406" s="167"/>
      <c r="AS406" s="165" t="s">
        <v>761</v>
      </c>
      <c r="AT406" s="165">
        <v>40</v>
      </c>
      <c r="AU406" s="165" t="s">
        <v>363</v>
      </c>
      <c r="AV406" s="172">
        <v>2.75</v>
      </c>
      <c r="AW406" s="165" t="s">
        <v>737</v>
      </c>
      <c r="AX406" s="168" t="s">
        <v>331</v>
      </c>
      <c r="AY406" s="166">
        <v>1</v>
      </c>
      <c r="AZ406" s="166" t="s">
        <v>326</v>
      </c>
    </row>
    <row r="407" spans="38:52" hidden="1" x14ac:dyDescent="0.25">
      <c r="AL407" s="166" t="s">
        <v>902</v>
      </c>
      <c r="AM407" s="166" t="s">
        <v>734</v>
      </c>
      <c r="AN407" s="165" t="s">
        <v>354</v>
      </c>
      <c r="AO407" s="165"/>
      <c r="AP407" s="165" t="s">
        <v>361</v>
      </c>
      <c r="AQ407" s="165" t="s">
        <v>361</v>
      </c>
      <c r="AR407" s="167"/>
      <c r="AS407" s="165" t="s">
        <v>735</v>
      </c>
      <c r="AT407" s="165">
        <v>80</v>
      </c>
      <c r="AU407" s="165" t="s">
        <v>363</v>
      </c>
      <c r="AV407" s="172">
        <v>2.75</v>
      </c>
      <c r="AW407" s="165" t="s">
        <v>737</v>
      </c>
      <c r="AX407" s="168" t="s">
        <v>331</v>
      </c>
      <c r="AY407" s="166">
        <v>1</v>
      </c>
      <c r="AZ407" s="166" t="s">
        <v>326</v>
      </c>
    </row>
    <row r="408" spans="38:52" hidden="1" x14ac:dyDescent="0.25">
      <c r="AL408" s="166" t="s">
        <v>903</v>
      </c>
      <c r="AM408" s="166" t="s">
        <v>734</v>
      </c>
      <c r="AN408" s="165" t="s">
        <v>354</v>
      </c>
      <c r="AO408" s="165"/>
      <c r="AP408" s="165" t="s">
        <v>361</v>
      </c>
      <c r="AQ408" s="165" t="s">
        <v>335</v>
      </c>
      <c r="AR408" s="167"/>
      <c r="AS408" s="165" t="s">
        <v>735</v>
      </c>
      <c r="AT408" s="165">
        <v>80</v>
      </c>
      <c r="AU408" s="165" t="s">
        <v>363</v>
      </c>
      <c r="AV408" s="172">
        <v>2.75</v>
      </c>
      <c r="AW408" s="165" t="s">
        <v>737</v>
      </c>
      <c r="AX408" s="168" t="s">
        <v>331</v>
      </c>
      <c r="AY408" s="166">
        <v>1</v>
      </c>
      <c r="AZ408" s="166" t="s">
        <v>326</v>
      </c>
    </row>
    <row r="409" spans="38:52" hidden="1" x14ac:dyDescent="0.25">
      <c r="AL409" s="15" t="s">
        <v>904</v>
      </c>
      <c r="AM409" s="15" t="s">
        <v>734</v>
      </c>
      <c r="AN409" s="163" t="s">
        <v>394</v>
      </c>
      <c r="AO409" s="163">
        <v>6</v>
      </c>
      <c r="AP409" s="163" t="s">
        <v>544</v>
      </c>
      <c r="AQ409" s="163" t="s">
        <v>688</v>
      </c>
      <c r="AR409" s="164"/>
      <c r="AS409" s="163" t="s">
        <v>735</v>
      </c>
      <c r="AT409" s="163">
        <v>155</v>
      </c>
      <c r="AU409" s="163" t="s">
        <v>475</v>
      </c>
      <c r="AV409" s="163">
        <v>3</v>
      </c>
      <c r="AW409" s="163">
        <v>4</v>
      </c>
      <c r="AX409" s="168"/>
      <c r="AY409" s="166">
        <v>1</v>
      </c>
      <c r="AZ409" s="166" t="s">
        <v>338</v>
      </c>
    </row>
    <row r="410" spans="38:52" hidden="1" x14ac:dyDescent="0.25">
      <c r="AL410" s="15" t="s">
        <v>905</v>
      </c>
      <c r="AM410" s="15" t="s">
        <v>734</v>
      </c>
      <c r="AN410" s="163" t="s">
        <v>394</v>
      </c>
      <c r="AO410" s="163">
        <v>6</v>
      </c>
      <c r="AP410" s="163" t="s">
        <v>544</v>
      </c>
      <c r="AQ410" s="163" t="s">
        <v>462</v>
      </c>
      <c r="AR410" s="164"/>
      <c r="AS410" s="163" t="s">
        <v>735</v>
      </c>
      <c r="AT410" s="163">
        <v>150</v>
      </c>
      <c r="AU410" s="163" t="s">
        <v>906</v>
      </c>
      <c r="AV410" s="163">
        <v>3</v>
      </c>
      <c r="AW410" s="163">
        <v>4</v>
      </c>
      <c r="AX410" s="168"/>
      <c r="AY410" s="166">
        <v>1</v>
      </c>
      <c r="AZ410" s="166" t="s">
        <v>338</v>
      </c>
    </row>
    <row r="411" spans="38:52" hidden="1" x14ac:dyDescent="0.25">
      <c r="AL411" s="15" t="s">
        <v>907</v>
      </c>
      <c r="AM411" s="15" t="s">
        <v>734</v>
      </c>
      <c r="AN411" s="163" t="s">
        <v>394</v>
      </c>
      <c r="AO411" s="163">
        <v>6</v>
      </c>
      <c r="AP411" s="163" t="s">
        <v>621</v>
      </c>
      <c r="AQ411" s="163" t="s">
        <v>688</v>
      </c>
      <c r="AR411" s="164"/>
      <c r="AS411" s="163" t="s">
        <v>735</v>
      </c>
      <c r="AT411" s="163">
        <v>130</v>
      </c>
      <c r="AU411" s="163" t="s">
        <v>324</v>
      </c>
      <c r="AV411" s="163">
        <v>3</v>
      </c>
      <c r="AW411" s="163">
        <v>4</v>
      </c>
      <c r="AX411" s="168"/>
      <c r="AY411" s="166">
        <v>1</v>
      </c>
      <c r="AZ411" s="166" t="s">
        <v>338</v>
      </c>
    </row>
    <row r="412" spans="38:52" hidden="1" x14ac:dyDescent="0.25">
      <c r="AL412" s="15" t="s">
        <v>908</v>
      </c>
      <c r="AM412" s="15" t="s">
        <v>734</v>
      </c>
      <c r="AN412" s="163" t="s">
        <v>394</v>
      </c>
      <c r="AO412" s="163">
        <v>6</v>
      </c>
      <c r="AP412" s="163" t="s">
        <v>544</v>
      </c>
      <c r="AQ412" s="163" t="s">
        <v>688</v>
      </c>
      <c r="AR412" s="164"/>
      <c r="AS412" s="163" t="s">
        <v>826</v>
      </c>
      <c r="AT412" s="163">
        <v>130</v>
      </c>
      <c r="AU412" s="163" t="s">
        <v>475</v>
      </c>
      <c r="AV412" s="163">
        <v>3</v>
      </c>
      <c r="AW412" s="163">
        <v>4</v>
      </c>
      <c r="AX412" s="168"/>
      <c r="AY412" s="166">
        <v>1</v>
      </c>
      <c r="AZ412" s="166" t="s">
        <v>357</v>
      </c>
    </row>
    <row r="413" spans="38:52" hidden="1" x14ac:dyDescent="0.25">
      <c r="AL413" s="15" t="s">
        <v>909</v>
      </c>
      <c r="AM413" s="15" t="s">
        <v>734</v>
      </c>
      <c r="AN413" s="163" t="s">
        <v>394</v>
      </c>
      <c r="AO413" s="163">
        <v>6</v>
      </c>
      <c r="AP413" s="163" t="s">
        <v>621</v>
      </c>
      <c r="AQ413" s="163" t="s">
        <v>688</v>
      </c>
      <c r="AR413" s="164"/>
      <c r="AS413" s="163" t="s">
        <v>826</v>
      </c>
      <c r="AT413" s="163">
        <v>155</v>
      </c>
      <c r="AU413" s="163" t="s">
        <v>324</v>
      </c>
      <c r="AV413" s="163">
        <v>3</v>
      </c>
      <c r="AW413" s="163">
        <v>4</v>
      </c>
      <c r="AX413" s="168"/>
      <c r="AY413" s="166">
        <v>1</v>
      </c>
      <c r="AZ413" s="166" t="s">
        <v>338</v>
      </c>
    </row>
    <row r="414" spans="38:52" hidden="1" x14ac:dyDescent="0.25">
      <c r="AL414" s="166" t="s">
        <v>910</v>
      </c>
      <c r="AM414" s="166" t="s">
        <v>734</v>
      </c>
      <c r="AN414" s="165" t="s">
        <v>394</v>
      </c>
      <c r="AO414" s="172">
        <v>7.75</v>
      </c>
      <c r="AP414" s="165" t="s">
        <v>376</v>
      </c>
      <c r="AQ414" s="165" t="s">
        <v>806</v>
      </c>
      <c r="AR414" s="167"/>
      <c r="AS414" s="165" t="s">
        <v>911</v>
      </c>
      <c r="AT414" s="165"/>
      <c r="AU414" s="165" t="s">
        <v>353</v>
      </c>
      <c r="AV414" s="165">
        <v>3</v>
      </c>
      <c r="AW414" s="165" t="s">
        <v>737</v>
      </c>
      <c r="AX414" s="168" t="s">
        <v>912</v>
      </c>
      <c r="AY414" s="166">
        <v>1</v>
      </c>
      <c r="AZ414" s="166" t="s">
        <v>326</v>
      </c>
    </row>
    <row r="415" spans="38:52" hidden="1" x14ac:dyDescent="0.25">
      <c r="AL415" s="15" t="s">
        <v>913</v>
      </c>
      <c r="AM415" s="15" t="s">
        <v>734</v>
      </c>
      <c r="AN415" s="163" t="s">
        <v>394</v>
      </c>
      <c r="AO415" s="171">
        <v>7.75</v>
      </c>
      <c r="AP415" s="163" t="s">
        <v>376</v>
      </c>
      <c r="AQ415" s="163" t="s">
        <v>806</v>
      </c>
      <c r="AR415" s="164"/>
      <c r="AS415" s="164" t="s">
        <v>826</v>
      </c>
      <c r="AT415" s="163">
        <v>175</v>
      </c>
      <c r="AU415" s="171" t="s">
        <v>353</v>
      </c>
      <c r="AV415" s="163">
        <v>3</v>
      </c>
      <c r="AW415" s="163">
        <v>4</v>
      </c>
      <c r="AX415" s="168"/>
      <c r="AY415" s="166">
        <v>1</v>
      </c>
      <c r="AZ415" s="166" t="s">
        <v>338</v>
      </c>
    </row>
    <row r="416" spans="38:52" hidden="1" x14ac:dyDescent="0.25">
      <c r="AL416" s="15" t="s">
        <v>914</v>
      </c>
      <c r="AM416" s="15" t="s">
        <v>734</v>
      </c>
      <c r="AN416" s="163" t="s">
        <v>394</v>
      </c>
      <c r="AO416" s="171">
        <v>7.75</v>
      </c>
      <c r="AP416" s="163" t="s">
        <v>376</v>
      </c>
      <c r="AQ416" s="163" t="s">
        <v>806</v>
      </c>
      <c r="AR416" s="164"/>
      <c r="AS416" s="163" t="s">
        <v>915</v>
      </c>
      <c r="AT416" s="163">
        <v>280</v>
      </c>
      <c r="AU416" s="171" t="s">
        <v>353</v>
      </c>
      <c r="AV416" s="163">
        <v>3</v>
      </c>
      <c r="AW416" s="163" t="s">
        <v>916</v>
      </c>
      <c r="AX416" s="168"/>
      <c r="AY416" s="166">
        <v>1</v>
      </c>
      <c r="AZ416" s="166" t="s">
        <v>326</v>
      </c>
    </row>
    <row r="417" spans="38:52" hidden="1" x14ac:dyDescent="0.25">
      <c r="AL417" s="15" t="s">
        <v>917</v>
      </c>
      <c r="AM417" s="15" t="s">
        <v>734</v>
      </c>
      <c r="AN417" s="163" t="s">
        <v>394</v>
      </c>
      <c r="AO417" s="163">
        <v>8</v>
      </c>
      <c r="AP417" s="163" t="s">
        <v>544</v>
      </c>
      <c r="AQ417" s="163" t="s">
        <v>806</v>
      </c>
      <c r="AR417" s="164"/>
      <c r="AS417" s="164" t="s">
        <v>735</v>
      </c>
      <c r="AT417" s="163">
        <v>145</v>
      </c>
      <c r="AU417" s="163" t="s">
        <v>475</v>
      </c>
      <c r="AV417" s="163">
        <v>3</v>
      </c>
      <c r="AW417" s="163">
        <v>4</v>
      </c>
      <c r="AX417" s="168"/>
      <c r="AY417" s="166">
        <v>1</v>
      </c>
      <c r="AZ417" s="166" t="s">
        <v>338</v>
      </c>
    </row>
    <row r="418" spans="38:52" hidden="1" x14ac:dyDescent="0.25">
      <c r="AL418" s="15" t="s">
        <v>918</v>
      </c>
      <c r="AM418" s="15" t="s">
        <v>734</v>
      </c>
      <c r="AN418" s="163" t="s">
        <v>394</v>
      </c>
      <c r="AO418" s="163">
        <v>8</v>
      </c>
      <c r="AP418" s="163" t="s">
        <v>544</v>
      </c>
      <c r="AQ418" s="163" t="s">
        <v>806</v>
      </c>
      <c r="AR418" s="164"/>
      <c r="AS418" s="164" t="s">
        <v>826</v>
      </c>
      <c r="AT418" s="163">
        <v>165</v>
      </c>
      <c r="AU418" s="163" t="s">
        <v>475</v>
      </c>
      <c r="AV418" s="163">
        <v>3</v>
      </c>
      <c r="AW418" s="163">
        <v>4</v>
      </c>
      <c r="AX418" s="168"/>
      <c r="AY418" s="166">
        <v>1</v>
      </c>
      <c r="AZ418" s="166" t="s">
        <v>338</v>
      </c>
    </row>
    <row r="419" spans="38:52" hidden="1" x14ac:dyDescent="0.25">
      <c r="AL419" s="15" t="s">
        <v>919</v>
      </c>
      <c r="AM419" s="15" t="s">
        <v>734</v>
      </c>
      <c r="AN419" s="163" t="s">
        <v>394</v>
      </c>
      <c r="AO419" s="171">
        <v>8.875</v>
      </c>
      <c r="AP419" s="163" t="s">
        <v>376</v>
      </c>
      <c r="AQ419" s="163" t="s">
        <v>860</v>
      </c>
      <c r="AR419" s="164"/>
      <c r="AS419" s="164" t="s">
        <v>826</v>
      </c>
      <c r="AT419" s="163">
        <v>195</v>
      </c>
      <c r="AU419" s="171" t="s">
        <v>353</v>
      </c>
      <c r="AV419" s="163">
        <v>3</v>
      </c>
      <c r="AW419" s="163">
        <v>4</v>
      </c>
      <c r="AX419" s="168"/>
      <c r="AY419" s="166">
        <v>1</v>
      </c>
      <c r="AZ419" s="166" t="s">
        <v>338</v>
      </c>
    </row>
    <row r="420" spans="38:52" hidden="1" x14ac:dyDescent="0.25">
      <c r="AL420" s="15" t="s">
        <v>920</v>
      </c>
      <c r="AM420" s="15" t="s">
        <v>734</v>
      </c>
      <c r="AN420" s="163" t="s">
        <v>394</v>
      </c>
      <c r="AO420" s="163">
        <v>10</v>
      </c>
      <c r="AP420" s="163" t="s">
        <v>376</v>
      </c>
      <c r="AQ420" s="163" t="s">
        <v>806</v>
      </c>
      <c r="AR420" s="164"/>
      <c r="AS420" s="163" t="s">
        <v>921</v>
      </c>
      <c r="AT420" s="163">
        <v>202</v>
      </c>
      <c r="AU420" s="171" t="s">
        <v>353</v>
      </c>
      <c r="AV420" s="163">
        <v>3</v>
      </c>
      <c r="AW420" s="163" t="s">
        <v>916</v>
      </c>
      <c r="AX420" s="168"/>
      <c r="AY420" s="166">
        <v>2</v>
      </c>
      <c r="AZ420" s="166" t="s">
        <v>922</v>
      </c>
    </row>
    <row r="421" spans="38:52" hidden="1" x14ac:dyDescent="0.25">
      <c r="AL421" s="15" t="s">
        <v>923</v>
      </c>
      <c r="AM421" s="15" t="s">
        <v>734</v>
      </c>
      <c r="AN421" s="163" t="s">
        <v>394</v>
      </c>
      <c r="AO421" s="163">
        <v>10</v>
      </c>
      <c r="AP421" s="163" t="s">
        <v>376</v>
      </c>
      <c r="AQ421" s="163" t="s">
        <v>806</v>
      </c>
      <c r="AR421" s="164"/>
      <c r="AS421" s="163" t="s">
        <v>924</v>
      </c>
      <c r="AT421" s="163">
        <v>430</v>
      </c>
      <c r="AU421" s="171" t="s">
        <v>353</v>
      </c>
      <c r="AV421" s="163">
        <v>3</v>
      </c>
      <c r="AW421" s="163" t="s">
        <v>916</v>
      </c>
      <c r="AX421" s="168"/>
      <c r="AY421" s="166">
        <v>1</v>
      </c>
      <c r="AZ421" s="166" t="s">
        <v>338</v>
      </c>
    </row>
    <row r="422" spans="38:52" hidden="1" x14ac:dyDescent="0.25">
      <c r="AL422" s="15" t="s">
        <v>925</v>
      </c>
      <c r="AM422" s="15" t="s">
        <v>734</v>
      </c>
      <c r="AN422" s="163" t="s">
        <v>394</v>
      </c>
      <c r="AO422" s="163">
        <v>12</v>
      </c>
      <c r="AP422" s="163" t="s">
        <v>376</v>
      </c>
      <c r="AQ422" s="163" t="s">
        <v>806</v>
      </c>
      <c r="AR422" s="164"/>
      <c r="AS422" s="163" t="s">
        <v>924</v>
      </c>
      <c r="AT422" s="163">
        <v>490</v>
      </c>
      <c r="AU422" s="171" t="s">
        <v>353</v>
      </c>
      <c r="AV422" s="163">
        <v>3</v>
      </c>
      <c r="AW422" s="163" t="s">
        <v>916</v>
      </c>
      <c r="AX422" s="168"/>
      <c r="AY422" s="166">
        <v>1</v>
      </c>
      <c r="AZ422" s="166" t="s">
        <v>338</v>
      </c>
    </row>
    <row r="423" spans="38:52" hidden="1" x14ac:dyDescent="0.25">
      <c r="AL423" s="166" t="s">
        <v>926</v>
      </c>
      <c r="AM423" s="166" t="s">
        <v>734</v>
      </c>
      <c r="AN423" s="165" t="s">
        <v>394</v>
      </c>
      <c r="AO423" s="165" t="s">
        <v>394</v>
      </c>
      <c r="AP423" s="165" t="s">
        <v>376</v>
      </c>
      <c r="AQ423" s="165" t="s">
        <v>376</v>
      </c>
      <c r="AR423" s="167"/>
      <c r="AS423" s="165" t="s">
        <v>927</v>
      </c>
      <c r="AT423" s="165">
        <v>500</v>
      </c>
      <c r="AU423" s="165"/>
      <c r="AV423" s="165">
        <v>3</v>
      </c>
      <c r="AW423" s="165" t="s">
        <v>737</v>
      </c>
      <c r="AX423" s="168"/>
      <c r="AY423" s="166">
        <v>1</v>
      </c>
      <c r="AZ423" s="166" t="s">
        <v>338</v>
      </c>
    </row>
    <row r="424" spans="38:52" hidden="1" x14ac:dyDescent="0.25">
      <c r="AL424" s="166" t="s">
        <v>928</v>
      </c>
      <c r="AM424" s="166" t="s">
        <v>734</v>
      </c>
      <c r="AN424" s="165" t="s">
        <v>394</v>
      </c>
      <c r="AO424" s="165" t="s">
        <v>394</v>
      </c>
      <c r="AP424" s="165" t="s">
        <v>376</v>
      </c>
      <c r="AQ424" s="165" t="s">
        <v>376</v>
      </c>
      <c r="AR424" s="167"/>
      <c r="AS424" s="165" t="s">
        <v>929</v>
      </c>
      <c r="AT424" s="165">
        <v>59</v>
      </c>
      <c r="AU424" s="165" t="s">
        <v>324</v>
      </c>
      <c r="AV424" s="165">
        <v>3</v>
      </c>
      <c r="AW424" s="165" t="s">
        <v>737</v>
      </c>
      <c r="AX424" s="168" t="s">
        <v>930</v>
      </c>
      <c r="AY424" s="166">
        <v>1</v>
      </c>
      <c r="AZ424" s="166"/>
    </row>
    <row r="425" spans="38:52" hidden="1" x14ac:dyDescent="0.25">
      <c r="AL425" s="15" t="s">
        <v>931</v>
      </c>
      <c r="AM425" s="166" t="s">
        <v>734</v>
      </c>
      <c r="AN425" s="163" t="s">
        <v>394</v>
      </c>
      <c r="AO425" s="163" t="s">
        <v>394</v>
      </c>
      <c r="AP425" s="163" t="s">
        <v>376</v>
      </c>
      <c r="AQ425" s="163" t="s">
        <v>376</v>
      </c>
      <c r="AR425" s="164"/>
      <c r="AS425" s="163" t="s">
        <v>714</v>
      </c>
      <c r="AT425" s="163">
        <v>70</v>
      </c>
      <c r="AU425" s="163" t="s">
        <v>324</v>
      </c>
      <c r="AV425" s="163">
        <v>3</v>
      </c>
      <c r="AW425" s="163">
        <v>4</v>
      </c>
      <c r="AX425" s="168"/>
      <c r="AY425" s="166">
        <v>1</v>
      </c>
      <c r="AZ425" s="166" t="s">
        <v>338</v>
      </c>
    </row>
    <row r="426" spans="38:52" hidden="1" x14ac:dyDescent="0.25">
      <c r="AL426" s="15" t="s">
        <v>932</v>
      </c>
      <c r="AM426" s="166" t="s">
        <v>734</v>
      </c>
      <c r="AN426" s="163" t="s">
        <v>394</v>
      </c>
      <c r="AO426" s="163" t="s">
        <v>394</v>
      </c>
      <c r="AP426" s="163" t="s">
        <v>544</v>
      </c>
      <c r="AQ426" s="163" t="s">
        <v>544</v>
      </c>
      <c r="AR426" s="164"/>
      <c r="AS426" s="163" t="s">
        <v>714</v>
      </c>
      <c r="AT426" s="163">
        <v>70</v>
      </c>
      <c r="AU426" s="163" t="s">
        <v>475</v>
      </c>
      <c r="AV426" s="163">
        <v>3</v>
      </c>
      <c r="AW426" s="163">
        <v>4</v>
      </c>
      <c r="AX426" s="168"/>
      <c r="AY426" s="166">
        <v>1</v>
      </c>
      <c r="AZ426" s="166" t="s">
        <v>338</v>
      </c>
    </row>
    <row r="427" spans="38:52" hidden="1" x14ac:dyDescent="0.25">
      <c r="AL427" s="15" t="s">
        <v>933</v>
      </c>
      <c r="AM427" s="15" t="s">
        <v>734</v>
      </c>
      <c r="AN427" s="163" t="s">
        <v>394</v>
      </c>
      <c r="AO427" s="163" t="s">
        <v>394</v>
      </c>
      <c r="AP427" s="163" t="s">
        <v>376</v>
      </c>
      <c r="AQ427" s="163" t="s">
        <v>934</v>
      </c>
      <c r="AR427" s="164"/>
      <c r="AS427" s="164" t="s">
        <v>935</v>
      </c>
      <c r="AT427" s="163">
        <v>88</v>
      </c>
      <c r="AU427" s="171" t="s">
        <v>353</v>
      </c>
      <c r="AV427" s="163">
        <v>3</v>
      </c>
      <c r="AW427" s="163" t="s">
        <v>916</v>
      </c>
      <c r="AX427" s="168"/>
      <c r="AY427" s="166">
        <v>1</v>
      </c>
      <c r="AZ427" s="166" t="s">
        <v>338</v>
      </c>
    </row>
    <row r="428" spans="38:52" hidden="1" x14ac:dyDescent="0.25">
      <c r="AL428" s="15" t="s">
        <v>936</v>
      </c>
      <c r="AM428" s="15" t="s">
        <v>734</v>
      </c>
      <c r="AN428" s="163" t="s">
        <v>394</v>
      </c>
      <c r="AO428" s="163" t="s">
        <v>394</v>
      </c>
      <c r="AP428" s="163" t="s">
        <v>376</v>
      </c>
      <c r="AQ428" s="163" t="s">
        <v>376</v>
      </c>
      <c r="AR428" s="164"/>
      <c r="AS428" s="163" t="s">
        <v>735</v>
      </c>
      <c r="AT428" s="163">
        <v>96</v>
      </c>
      <c r="AU428" s="163" t="s">
        <v>324</v>
      </c>
      <c r="AV428" s="163">
        <v>3</v>
      </c>
      <c r="AW428" s="163" t="s">
        <v>737</v>
      </c>
      <c r="AX428" s="168"/>
      <c r="AY428" s="166">
        <v>1</v>
      </c>
      <c r="AZ428" s="166" t="s">
        <v>338</v>
      </c>
    </row>
    <row r="429" spans="38:52" hidden="1" x14ac:dyDescent="0.25">
      <c r="AL429" s="15" t="s">
        <v>937</v>
      </c>
      <c r="AM429" s="15" t="s">
        <v>734</v>
      </c>
      <c r="AN429" s="163" t="s">
        <v>394</v>
      </c>
      <c r="AO429" s="163" t="s">
        <v>394</v>
      </c>
      <c r="AP429" s="163" t="s">
        <v>391</v>
      </c>
      <c r="AQ429" s="163" t="s">
        <v>376</v>
      </c>
      <c r="AR429" s="164"/>
      <c r="AS429" s="163" t="s">
        <v>735</v>
      </c>
      <c r="AT429" s="163">
        <v>96</v>
      </c>
      <c r="AU429" s="163" t="s">
        <v>324</v>
      </c>
      <c r="AV429" s="163">
        <v>3</v>
      </c>
      <c r="AW429" s="163">
        <v>4</v>
      </c>
      <c r="AX429" s="168"/>
      <c r="AY429" s="166">
        <v>1</v>
      </c>
      <c r="AZ429" s="166" t="s">
        <v>338</v>
      </c>
    </row>
    <row r="430" spans="38:52" hidden="1" x14ac:dyDescent="0.25">
      <c r="AL430" s="15" t="s">
        <v>938</v>
      </c>
      <c r="AM430" s="166" t="s">
        <v>734</v>
      </c>
      <c r="AN430" s="165" t="s">
        <v>394</v>
      </c>
      <c r="AO430" s="165" t="s">
        <v>394</v>
      </c>
      <c r="AP430" s="165" t="s">
        <v>376</v>
      </c>
      <c r="AQ430" s="165" t="s">
        <v>766</v>
      </c>
      <c r="AR430" s="167"/>
      <c r="AS430" s="165" t="s">
        <v>735</v>
      </c>
      <c r="AT430" s="165">
        <v>127</v>
      </c>
      <c r="AU430" s="165" t="s">
        <v>324</v>
      </c>
      <c r="AV430" s="165">
        <v>3</v>
      </c>
      <c r="AW430" s="165">
        <v>4</v>
      </c>
      <c r="AX430" s="168" t="s">
        <v>389</v>
      </c>
      <c r="AY430" s="166">
        <v>1</v>
      </c>
      <c r="AZ430" s="166" t="s">
        <v>338</v>
      </c>
    </row>
    <row r="431" spans="38:52" hidden="1" x14ac:dyDescent="0.25">
      <c r="AL431" s="15" t="s">
        <v>939</v>
      </c>
      <c r="AM431" s="166" t="s">
        <v>734</v>
      </c>
      <c r="AN431" s="163" t="s">
        <v>394</v>
      </c>
      <c r="AO431" s="163" t="s">
        <v>394</v>
      </c>
      <c r="AP431" s="163" t="s">
        <v>376</v>
      </c>
      <c r="AQ431" s="163" t="s">
        <v>940</v>
      </c>
      <c r="AR431" s="164"/>
      <c r="AS431" s="163" t="s">
        <v>735</v>
      </c>
      <c r="AT431" s="163">
        <v>127</v>
      </c>
      <c r="AU431" s="163" t="s">
        <v>324</v>
      </c>
      <c r="AV431" s="163">
        <v>3</v>
      </c>
      <c r="AW431" s="163">
        <v>4</v>
      </c>
      <c r="AX431" s="168" t="s">
        <v>893</v>
      </c>
      <c r="AY431" s="166">
        <v>1</v>
      </c>
      <c r="AZ431" s="166" t="s">
        <v>338</v>
      </c>
    </row>
    <row r="432" spans="38:52" hidden="1" x14ac:dyDescent="0.25">
      <c r="AL432" s="15" t="s">
        <v>941</v>
      </c>
      <c r="AM432" s="15" t="s">
        <v>734</v>
      </c>
      <c r="AN432" s="163" t="s">
        <v>394</v>
      </c>
      <c r="AO432" s="163" t="s">
        <v>394</v>
      </c>
      <c r="AP432" s="163" t="s">
        <v>544</v>
      </c>
      <c r="AQ432" s="163" t="s">
        <v>376</v>
      </c>
      <c r="AR432" s="164"/>
      <c r="AS432" s="163" t="s">
        <v>735</v>
      </c>
      <c r="AT432" s="163">
        <v>96</v>
      </c>
      <c r="AU432" s="163" t="s">
        <v>475</v>
      </c>
      <c r="AV432" s="163">
        <v>3</v>
      </c>
      <c r="AW432" s="163">
        <v>4</v>
      </c>
      <c r="AX432" s="168"/>
      <c r="AY432" s="166">
        <v>1</v>
      </c>
      <c r="AZ432" s="166" t="s">
        <v>338</v>
      </c>
    </row>
    <row r="433" spans="38:52" hidden="1" x14ac:dyDescent="0.25">
      <c r="AL433" s="15" t="s">
        <v>942</v>
      </c>
      <c r="AM433" s="166" t="s">
        <v>734</v>
      </c>
      <c r="AN433" s="163" t="s">
        <v>394</v>
      </c>
      <c r="AO433" s="163" t="s">
        <v>394</v>
      </c>
      <c r="AP433" s="163" t="s">
        <v>376</v>
      </c>
      <c r="AQ433" s="163" t="s">
        <v>376</v>
      </c>
      <c r="AR433" s="164"/>
      <c r="AS433" s="163" t="s">
        <v>735</v>
      </c>
      <c r="AT433" s="163">
        <v>93</v>
      </c>
      <c r="AU433" s="163" t="s">
        <v>324</v>
      </c>
      <c r="AV433" s="163">
        <v>3</v>
      </c>
      <c r="AW433" s="163">
        <v>4</v>
      </c>
      <c r="AX433" s="168"/>
      <c r="AY433" s="166">
        <v>2</v>
      </c>
      <c r="AZ433" s="166" t="s">
        <v>943</v>
      </c>
    </row>
    <row r="434" spans="38:52" hidden="1" x14ac:dyDescent="0.25">
      <c r="AL434" s="15" t="s">
        <v>944</v>
      </c>
      <c r="AM434" s="15" t="s">
        <v>734</v>
      </c>
      <c r="AN434" s="163" t="s">
        <v>394</v>
      </c>
      <c r="AO434" s="163" t="s">
        <v>394</v>
      </c>
      <c r="AP434" s="163" t="s">
        <v>621</v>
      </c>
      <c r="AQ434" s="163" t="s">
        <v>688</v>
      </c>
      <c r="AR434" s="164"/>
      <c r="AS434" s="163" t="s">
        <v>735</v>
      </c>
      <c r="AT434" s="163">
        <v>96</v>
      </c>
      <c r="AU434" s="163" t="s">
        <v>324</v>
      </c>
      <c r="AV434" s="163">
        <v>3</v>
      </c>
      <c r="AW434" s="163">
        <v>4</v>
      </c>
      <c r="AX434" s="168"/>
      <c r="AY434" s="166">
        <v>1</v>
      </c>
      <c r="AZ434" s="166" t="s">
        <v>338</v>
      </c>
    </row>
    <row r="435" spans="38:52" hidden="1" x14ac:dyDescent="0.25">
      <c r="AL435" s="166" t="s">
        <v>945</v>
      </c>
      <c r="AM435" s="166" t="s">
        <v>734</v>
      </c>
      <c r="AN435" s="165" t="s">
        <v>394</v>
      </c>
      <c r="AO435" s="165" t="s">
        <v>394</v>
      </c>
      <c r="AP435" s="165" t="s">
        <v>376</v>
      </c>
      <c r="AQ435" s="165" t="s">
        <v>376</v>
      </c>
      <c r="AR435" s="167"/>
      <c r="AS435" s="165" t="s">
        <v>735</v>
      </c>
      <c r="AT435" s="165">
        <v>96</v>
      </c>
      <c r="AU435" s="165" t="s">
        <v>324</v>
      </c>
      <c r="AV435" s="165">
        <v>3</v>
      </c>
      <c r="AW435" s="165" t="s">
        <v>737</v>
      </c>
      <c r="AX435" s="168" t="s">
        <v>738</v>
      </c>
      <c r="AY435" s="166">
        <v>1</v>
      </c>
      <c r="AZ435" s="166" t="s">
        <v>326</v>
      </c>
    </row>
    <row r="436" spans="38:52" hidden="1" x14ac:dyDescent="0.25">
      <c r="AL436" s="166" t="s">
        <v>946</v>
      </c>
      <c r="AM436" s="166" t="s">
        <v>734</v>
      </c>
      <c r="AN436" s="165" t="s">
        <v>394</v>
      </c>
      <c r="AO436" s="165" t="s">
        <v>394</v>
      </c>
      <c r="AP436" s="165" t="s">
        <v>636</v>
      </c>
      <c r="AQ436" s="165" t="s">
        <v>376</v>
      </c>
      <c r="AR436" s="167"/>
      <c r="AS436" s="165" t="s">
        <v>735</v>
      </c>
      <c r="AT436" s="165">
        <v>91</v>
      </c>
      <c r="AU436" s="165" t="s">
        <v>324</v>
      </c>
      <c r="AV436" s="165">
        <v>3</v>
      </c>
      <c r="AW436" s="165" t="s">
        <v>737</v>
      </c>
      <c r="AX436" s="168"/>
      <c r="AY436" s="166">
        <v>1</v>
      </c>
      <c r="AZ436" s="166" t="s">
        <v>326</v>
      </c>
    </row>
    <row r="437" spans="38:52" hidden="1" x14ac:dyDescent="0.25">
      <c r="AL437" s="166" t="s">
        <v>947</v>
      </c>
      <c r="AM437" s="166" t="s">
        <v>734</v>
      </c>
      <c r="AN437" s="165" t="s">
        <v>394</v>
      </c>
      <c r="AO437" s="165" t="s">
        <v>394</v>
      </c>
      <c r="AP437" s="165" t="s">
        <v>376</v>
      </c>
      <c r="AQ437" s="165" t="s">
        <v>376</v>
      </c>
      <c r="AR437" s="167"/>
      <c r="AS437" s="165" t="s">
        <v>948</v>
      </c>
      <c r="AT437" s="165"/>
      <c r="AU437" s="165" t="s">
        <v>949</v>
      </c>
      <c r="AV437" s="165">
        <v>3</v>
      </c>
      <c r="AW437" s="165" t="s">
        <v>737</v>
      </c>
      <c r="AX437" s="168" t="s">
        <v>950</v>
      </c>
      <c r="AY437" s="166">
        <v>1</v>
      </c>
      <c r="AZ437" s="166" t="s">
        <v>326</v>
      </c>
    </row>
    <row r="438" spans="38:52" hidden="1" x14ac:dyDescent="0.25">
      <c r="AL438" s="15" t="s">
        <v>951</v>
      </c>
      <c r="AM438" s="15" t="s">
        <v>734</v>
      </c>
      <c r="AN438" s="163" t="s">
        <v>394</v>
      </c>
      <c r="AO438" s="163" t="s">
        <v>394</v>
      </c>
      <c r="AP438" s="163" t="s">
        <v>391</v>
      </c>
      <c r="AQ438" s="163" t="s">
        <v>376</v>
      </c>
      <c r="AR438" s="164"/>
      <c r="AS438" s="163" t="s">
        <v>826</v>
      </c>
      <c r="AT438" s="163">
        <v>115</v>
      </c>
      <c r="AU438" s="163" t="s">
        <v>324</v>
      </c>
      <c r="AV438" s="163">
        <v>3</v>
      </c>
      <c r="AW438" s="163">
        <v>4</v>
      </c>
      <c r="AX438" s="168"/>
      <c r="AY438" s="166">
        <v>1</v>
      </c>
      <c r="AZ438" s="166" t="s">
        <v>338</v>
      </c>
    </row>
    <row r="439" spans="38:52" hidden="1" x14ac:dyDescent="0.25">
      <c r="AL439" s="166" t="s">
        <v>952</v>
      </c>
      <c r="AM439" s="166" t="s">
        <v>734</v>
      </c>
      <c r="AN439" s="165" t="s">
        <v>394</v>
      </c>
      <c r="AO439" s="165" t="s">
        <v>394</v>
      </c>
      <c r="AP439" s="165" t="s">
        <v>376</v>
      </c>
      <c r="AQ439" s="165" t="s">
        <v>376</v>
      </c>
      <c r="AR439" s="167"/>
      <c r="AS439" s="165" t="s">
        <v>772</v>
      </c>
      <c r="AT439" s="165">
        <v>128</v>
      </c>
      <c r="AU439" s="165" t="s">
        <v>324</v>
      </c>
      <c r="AV439" s="165">
        <v>3</v>
      </c>
      <c r="AW439" s="165" t="s">
        <v>737</v>
      </c>
      <c r="AX439" s="166"/>
      <c r="AY439" s="166">
        <v>1</v>
      </c>
      <c r="AZ439" s="166"/>
    </row>
    <row r="440" spans="38:52" hidden="1" x14ac:dyDescent="0.25">
      <c r="AL440" s="166" t="s">
        <v>953</v>
      </c>
      <c r="AM440" s="166" t="s">
        <v>734</v>
      </c>
      <c r="AN440" s="165" t="s">
        <v>394</v>
      </c>
      <c r="AO440" s="165" t="s">
        <v>394</v>
      </c>
      <c r="AP440" s="173" t="s">
        <v>361</v>
      </c>
      <c r="AQ440" s="165" t="s">
        <v>376</v>
      </c>
      <c r="AR440" s="167"/>
      <c r="AS440" s="165" t="s">
        <v>601</v>
      </c>
      <c r="AT440" s="165">
        <v>77</v>
      </c>
      <c r="AU440" s="165" t="s">
        <v>324</v>
      </c>
      <c r="AV440" s="165">
        <v>3</v>
      </c>
      <c r="AW440" s="165"/>
      <c r="AX440" s="168" t="s">
        <v>397</v>
      </c>
      <c r="AY440" s="166"/>
      <c r="AZ440" s="166"/>
    </row>
    <row r="441" spans="38:52" hidden="1" x14ac:dyDescent="0.25">
      <c r="AL441" s="15" t="s">
        <v>954</v>
      </c>
      <c r="AM441" s="15" t="s">
        <v>734</v>
      </c>
      <c r="AN441" s="163" t="s">
        <v>394</v>
      </c>
      <c r="AO441" s="163" t="s">
        <v>394</v>
      </c>
      <c r="AP441" s="163" t="s">
        <v>391</v>
      </c>
      <c r="AQ441" s="163" t="s">
        <v>376</v>
      </c>
      <c r="AR441" s="164"/>
      <c r="AS441" s="163" t="s">
        <v>828</v>
      </c>
      <c r="AT441" s="163">
        <v>140</v>
      </c>
      <c r="AU441" s="163" t="s">
        <v>324</v>
      </c>
      <c r="AV441" s="163">
        <v>3</v>
      </c>
      <c r="AW441" s="163">
        <v>4</v>
      </c>
      <c r="AX441" s="168"/>
      <c r="AY441" s="166">
        <v>1</v>
      </c>
      <c r="AZ441" s="166" t="s">
        <v>326</v>
      </c>
    </row>
    <row r="442" spans="38:52" hidden="1" x14ac:dyDescent="0.25">
      <c r="AL442" s="166" t="s">
        <v>955</v>
      </c>
      <c r="AM442" s="166" t="s">
        <v>734</v>
      </c>
      <c r="AN442" s="165" t="s">
        <v>394</v>
      </c>
      <c r="AO442" s="165" t="s">
        <v>394</v>
      </c>
      <c r="AP442" s="165" t="s">
        <v>376</v>
      </c>
      <c r="AQ442" s="165" t="s">
        <v>376</v>
      </c>
      <c r="AR442" s="167"/>
      <c r="AS442" s="165" t="s">
        <v>956</v>
      </c>
      <c r="AT442" s="165">
        <v>264</v>
      </c>
      <c r="AU442" s="165"/>
      <c r="AV442" s="165">
        <v>3</v>
      </c>
      <c r="AW442" s="165" t="s">
        <v>737</v>
      </c>
      <c r="AX442" s="168"/>
      <c r="AY442" s="166">
        <v>1</v>
      </c>
      <c r="AZ442" s="166" t="s">
        <v>338</v>
      </c>
    </row>
    <row r="443" spans="38:52" hidden="1" x14ac:dyDescent="0.25">
      <c r="AL443" s="166" t="s">
        <v>957</v>
      </c>
      <c r="AM443" s="166" t="s">
        <v>734</v>
      </c>
      <c r="AN443" s="165" t="s">
        <v>394</v>
      </c>
      <c r="AO443" s="165" t="s">
        <v>394</v>
      </c>
      <c r="AP443" s="165" t="s">
        <v>376</v>
      </c>
      <c r="AQ443" s="165" t="s">
        <v>376</v>
      </c>
      <c r="AR443" s="167"/>
      <c r="AS443" s="165" t="s">
        <v>958</v>
      </c>
      <c r="AT443" s="165">
        <v>336</v>
      </c>
      <c r="AU443" s="165"/>
      <c r="AV443" s="165">
        <v>3</v>
      </c>
      <c r="AW443" s="165" t="s">
        <v>737</v>
      </c>
      <c r="AX443" s="168"/>
      <c r="AY443" s="166">
        <v>1</v>
      </c>
      <c r="AZ443" s="166" t="s">
        <v>338</v>
      </c>
    </row>
    <row r="444" spans="38:52" hidden="1" x14ac:dyDescent="0.25">
      <c r="AL444" s="15" t="s">
        <v>959</v>
      </c>
      <c r="AM444" s="15" t="s">
        <v>734</v>
      </c>
      <c r="AN444" s="163" t="s">
        <v>394</v>
      </c>
      <c r="AO444" s="163" t="s">
        <v>454</v>
      </c>
      <c r="AP444" s="163" t="s">
        <v>376</v>
      </c>
      <c r="AQ444" s="163" t="s">
        <v>688</v>
      </c>
      <c r="AR444" s="164"/>
      <c r="AS444" s="164" t="s">
        <v>960</v>
      </c>
      <c r="AT444" s="163">
        <v>105</v>
      </c>
      <c r="AU444" s="171" t="s">
        <v>353</v>
      </c>
      <c r="AV444" s="163">
        <v>3</v>
      </c>
      <c r="AW444" s="163">
        <v>4</v>
      </c>
      <c r="AX444" s="168"/>
      <c r="AY444" s="166">
        <v>1</v>
      </c>
      <c r="AZ444" s="166" t="s">
        <v>338</v>
      </c>
    </row>
    <row r="445" spans="38:52" hidden="1" x14ac:dyDescent="0.25">
      <c r="AL445" s="15" t="s">
        <v>961</v>
      </c>
      <c r="AM445" s="166" t="s">
        <v>734</v>
      </c>
      <c r="AN445" s="163" t="s">
        <v>394</v>
      </c>
      <c r="AO445" s="163" t="s">
        <v>454</v>
      </c>
      <c r="AP445" s="163" t="s">
        <v>376</v>
      </c>
      <c r="AQ445" s="163" t="s">
        <v>688</v>
      </c>
      <c r="AR445" s="164"/>
      <c r="AS445" s="163" t="s">
        <v>735</v>
      </c>
      <c r="AT445" s="163">
        <v>100</v>
      </c>
      <c r="AU445" s="171" t="s">
        <v>353</v>
      </c>
      <c r="AV445" s="163">
        <v>3</v>
      </c>
      <c r="AW445" s="163">
        <v>4</v>
      </c>
      <c r="AX445" s="168"/>
      <c r="AY445" s="166">
        <v>2</v>
      </c>
      <c r="AZ445" s="166" t="s">
        <v>338</v>
      </c>
    </row>
    <row r="446" spans="38:52" hidden="1" x14ac:dyDescent="0.25">
      <c r="AL446" s="166" t="s">
        <v>962</v>
      </c>
      <c r="AM446" s="166" t="s">
        <v>734</v>
      </c>
      <c r="AN446" s="165" t="s">
        <v>394</v>
      </c>
      <c r="AO446" s="165" t="s">
        <v>454</v>
      </c>
      <c r="AP446" s="165" t="s">
        <v>376</v>
      </c>
      <c r="AQ446" s="165" t="s">
        <v>688</v>
      </c>
      <c r="AR446" s="167"/>
      <c r="AS446" s="165"/>
      <c r="AT446" s="165"/>
      <c r="AU446" s="165" t="s">
        <v>353</v>
      </c>
      <c r="AV446" s="165">
        <v>3</v>
      </c>
      <c r="AW446" s="165" t="s">
        <v>737</v>
      </c>
      <c r="AX446" s="168" t="s">
        <v>963</v>
      </c>
      <c r="AY446" s="166">
        <v>1</v>
      </c>
      <c r="AZ446" s="166" t="s">
        <v>326</v>
      </c>
    </row>
    <row r="447" spans="38:52" hidden="1" x14ac:dyDescent="0.25">
      <c r="AL447" s="15" t="s">
        <v>964</v>
      </c>
      <c r="AM447" s="15" t="s">
        <v>734</v>
      </c>
      <c r="AN447" s="163" t="s">
        <v>965</v>
      </c>
      <c r="AO447" s="171">
        <v>8.875</v>
      </c>
      <c r="AP447" s="163" t="s">
        <v>376</v>
      </c>
      <c r="AQ447" s="163" t="s">
        <v>966</v>
      </c>
      <c r="AR447" s="164"/>
      <c r="AS447" s="163" t="s">
        <v>915</v>
      </c>
      <c r="AT447" s="163">
        <v>380</v>
      </c>
      <c r="AU447" s="171" t="s">
        <v>353</v>
      </c>
      <c r="AV447" s="163">
        <v>3</v>
      </c>
      <c r="AW447" s="163" t="s">
        <v>916</v>
      </c>
      <c r="AX447" s="168"/>
      <c r="AY447" s="166">
        <v>1</v>
      </c>
      <c r="AZ447" s="166" t="s">
        <v>338</v>
      </c>
    </row>
    <row r="448" spans="38:52" hidden="1" x14ac:dyDescent="0.25">
      <c r="AL448" s="15" t="s">
        <v>967</v>
      </c>
      <c r="AM448" s="166" t="s">
        <v>734</v>
      </c>
      <c r="AN448" s="163" t="s">
        <v>454</v>
      </c>
      <c r="AO448" s="163">
        <v>6</v>
      </c>
      <c r="AP448" s="163" t="s">
        <v>968</v>
      </c>
      <c r="AQ448" s="163" t="s">
        <v>688</v>
      </c>
      <c r="AR448" s="164"/>
      <c r="AS448" s="163" t="s">
        <v>735</v>
      </c>
      <c r="AT448" s="163">
        <v>155</v>
      </c>
      <c r="AU448" s="163" t="s">
        <v>402</v>
      </c>
      <c r="AV448" s="163" t="s">
        <v>671</v>
      </c>
      <c r="AW448" s="163">
        <v>4</v>
      </c>
      <c r="AX448" s="168" t="s">
        <v>969</v>
      </c>
      <c r="AY448" s="166">
        <v>1</v>
      </c>
      <c r="AZ448" s="166" t="s">
        <v>338</v>
      </c>
    </row>
    <row r="449" spans="38:52" hidden="1" x14ac:dyDescent="0.25">
      <c r="AL449" s="15" t="s">
        <v>970</v>
      </c>
      <c r="AM449" s="166" t="s">
        <v>734</v>
      </c>
      <c r="AN449" s="163" t="s">
        <v>454</v>
      </c>
      <c r="AO449" s="163">
        <v>8</v>
      </c>
      <c r="AP449" s="163" t="s">
        <v>968</v>
      </c>
      <c r="AQ449" s="163" t="s">
        <v>806</v>
      </c>
      <c r="AR449" s="164"/>
      <c r="AS449" s="163" t="s">
        <v>735</v>
      </c>
      <c r="AT449" s="163">
        <v>175</v>
      </c>
      <c r="AU449" s="163" t="s">
        <v>402</v>
      </c>
      <c r="AV449" s="163" t="s">
        <v>671</v>
      </c>
      <c r="AW449" s="163">
        <v>4</v>
      </c>
      <c r="AX449" s="168" t="s">
        <v>969</v>
      </c>
      <c r="AY449" s="166">
        <v>1</v>
      </c>
      <c r="AZ449" s="166" t="s">
        <v>338</v>
      </c>
    </row>
    <row r="450" spans="38:52" hidden="1" x14ac:dyDescent="0.25">
      <c r="AL450" s="166" t="s">
        <v>971</v>
      </c>
      <c r="AM450" s="166" t="s">
        <v>734</v>
      </c>
      <c r="AN450" s="165" t="s">
        <v>454</v>
      </c>
      <c r="AO450" s="165" t="s">
        <v>454</v>
      </c>
      <c r="AP450" s="165" t="s">
        <v>395</v>
      </c>
      <c r="AQ450" s="165" t="s">
        <v>688</v>
      </c>
      <c r="AR450" s="167"/>
      <c r="AS450" s="165">
        <v>28</v>
      </c>
      <c r="AT450" s="165">
        <v>169</v>
      </c>
      <c r="AU450" s="165" t="s">
        <v>324</v>
      </c>
      <c r="AV450" s="165">
        <v>3</v>
      </c>
      <c r="AW450" s="165" t="s">
        <v>737</v>
      </c>
      <c r="AX450" s="168"/>
      <c r="AY450" s="166">
        <v>1</v>
      </c>
      <c r="AZ450" s="166" t="s">
        <v>338</v>
      </c>
    </row>
    <row r="451" spans="38:52" hidden="1" x14ac:dyDescent="0.25">
      <c r="AL451" s="166" t="s">
        <v>972</v>
      </c>
      <c r="AM451" s="166" t="s">
        <v>734</v>
      </c>
      <c r="AN451" s="165" t="s">
        <v>454</v>
      </c>
      <c r="AO451" s="165" t="s">
        <v>454</v>
      </c>
      <c r="AP451" s="165" t="s">
        <v>395</v>
      </c>
      <c r="AQ451" s="165" t="s">
        <v>376</v>
      </c>
      <c r="AR451" s="167"/>
      <c r="AS451" s="165">
        <v>28</v>
      </c>
      <c r="AT451" s="165">
        <v>169</v>
      </c>
      <c r="AU451" s="165" t="s">
        <v>324</v>
      </c>
      <c r="AV451" s="165">
        <v>3</v>
      </c>
      <c r="AW451" s="165" t="s">
        <v>737</v>
      </c>
      <c r="AX451" s="168"/>
      <c r="AY451" s="166">
        <v>1</v>
      </c>
      <c r="AZ451" s="166" t="s">
        <v>338</v>
      </c>
    </row>
    <row r="452" spans="38:52" hidden="1" x14ac:dyDescent="0.25">
      <c r="AL452" s="166" t="s">
        <v>973</v>
      </c>
      <c r="AM452" s="166" t="s">
        <v>734</v>
      </c>
      <c r="AN452" s="165" t="s">
        <v>454</v>
      </c>
      <c r="AO452" s="165" t="s">
        <v>454</v>
      </c>
      <c r="AP452" s="165" t="s">
        <v>395</v>
      </c>
      <c r="AQ452" s="165" t="s">
        <v>376</v>
      </c>
      <c r="AR452" s="167"/>
      <c r="AS452" s="165">
        <v>36</v>
      </c>
      <c r="AT452" s="165">
        <v>215</v>
      </c>
      <c r="AU452" s="165" t="s">
        <v>324</v>
      </c>
      <c r="AV452" s="165">
        <v>3</v>
      </c>
      <c r="AW452" s="165" t="s">
        <v>737</v>
      </c>
      <c r="AX452" s="168"/>
      <c r="AY452" s="166">
        <v>1</v>
      </c>
      <c r="AZ452" s="166" t="s">
        <v>326</v>
      </c>
    </row>
    <row r="453" spans="38:52" hidden="1" x14ac:dyDescent="0.25">
      <c r="AL453" s="166" t="s">
        <v>974</v>
      </c>
      <c r="AM453" s="166" t="s">
        <v>734</v>
      </c>
      <c r="AN453" s="165" t="s">
        <v>454</v>
      </c>
      <c r="AO453" s="165" t="s">
        <v>454</v>
      </c>
      <c r="AP453" s="165" t="s">
        <v>395</v>
      </c>
      <c r="AQ453" s="165" t="s">
        <v>376</v>
      </c>
      <c r="AR453" s="167"/>
      <c r="AS453" s="165">
        <v>136</v>
      </c>
      <c r="AT453" s="165">
        <v>822</v>
      </c>
      <c r="AU453" s="165" t="s">
        <v>324</v>
      </c>
      <c r="AV453" s="165">
        <v>3</v>
      </c>
      <c r="AW453" s="165" t="s">
        <v>737</v>
      </c>
      <c r="AX453" s="168"/>
      <c r="AY453" s="166">
        <v>1</v>
      </c>
      <c r="AZ453" s="166" t="s">
        <v>326</v>
      </c>
    </row>
    <row r="454" spans="38:52" hidden="1" x14ac:dyDescent="0.25">
      <c r="AL454" s="15" t="s">
        <v>975</v>
      </c>
      <c r="AM454" s="15" t="s">
        <v>734</v>
      </c>
      <c r="AN454" s="163" t="s">
        <v>454</v>
      </c>
      <c r="AO454" s="163" t="s">
        <v>454</v>
      </c>
      <c r="AP454" s="163" t="s">
        <v>395</v>
      </c>
      <c r="AQ454" s="163" t="s">
        <v>376</v>
      </c>
      <c r="AR454" s="164"/>
      <c r="AS454" s="163" t="s">
        <v>714</v>
      </c>
      <c r="AT454" s="163">
        <v>109</v>
      </c>
      <c r="AU454" s="163" t="s">
        <v>324</v>
      </c>
      <c r="AV454" s="163">
        <v>3</v>
      </c>
      <c r="AW454" s="163" t="s">
        <v>737</v>
      </c>
      <c r="AX454" s="168"/>
      <c r="AY454" s="166">
        <v>1</v>
      </c>
      <c r="AZ454" s="166" t="s">
        <v>326</v>
      </c>
    </row>
    <row r="455" spans="38:52" hidden="1" x14ac:dyDescent="0.25">
      <c r="AL455" s="15" t="s">
        <v>976</v>
      </c>
      <c r="AM455" s="15" t="s">
        <v>734</v>
      </c>
      <c r="AN455" s="163" t="s">
        <v>454</v>
      </c>
      <c r="AO455" s="163" t="s">
        <v>454</v>
      </c>
      <c r="AP455" s="163" t="s">
        <v>391</v>
      </c>
      <c r="AQ455" s="163" t="s">
        <v>376</v>
      </c>
      <c r="AR455" s="164"/>
      <c r="AS455" s="163" t="s">
        <v>735</v>
      </c>
      <c r="AT455" s="163">
        <v>145</v>
      </c>
      <c r="AU455" s="163" t="s">
        <v>324</v>
      </c>
      <c r="AV455" s="163">
        <v>3</v>
      </c>
      <c r="AW455" s="163">
        <v>4</v>
      </c>
      <c r="AX455" s="168" t="s">
        <v>389</v>
      </c>
      <c r="AY455" s="166">
        <v>1</v>
      </c>
      <c r="AZ455" s="166" t="s">
        <v>338</v>
      </c>
    </row>
    <row r="456" spans="38:52" hidden="1" x14ac:dyDescent="0.25">
      <c r="AL456" s="15" t="s">
        <v>977</v>
      </c>
      <c r="AM456" s="15" t="s">
        <v>734</v>
      </c>
      <c r="AN456" s="163" t="s">
        <v>454</v>
      </c>
      <c r="AO456" s="163" t="s">
        <v>454</v>
      </c>
      <c r="AP456" s="163" t="s">
        <v>395</v>
      </c>
      <c r="AQ456" s="163" t="s">
        <v>376</v>
      </c>
      <c r="AR456" s="164"/>
      <c r="AS456" s="163" t="s">
        <v>735</v>
      </c>
      <c r="AT456" s="163">
        <v>145</v>
      </c>
      <c r="AU456" s="163" t="s">
        <v>324</v>
      </c>
      <c r="AV456" s="163">
        <v>3</v>
      </c>
      <c r="AW456" s="163" t="s">
        <v>737</v>
      </c>
      <c r="AX456" s="168"/>
      <c r="AY456" s="166">
        <v>1</v>
      </c>
      <c r="AZ456" s="166" t="s">
        <v>338</v>
      </c>
    </row>
    <row r="457" spans="38:52" hidden="1" x14ac:dyDescent="0.25">
      <c r="AL457" s="15" t="s">
        <v>978</v>
      </c>
      <c r="AM457" s="15" t="s">
        <v>734</v>
      </c>
      <c r="AN457" s="163" t="s">
        <v>454</v>
      </c>
      <c r="AO457" s="163" t="s">
        <v>454</v>
      </c>
      <c r="AP457" s="163" t="s">
        <v>395</v>
      </c>
      <c r="AQ457" s="163" t="s">
        <v>688</v>
      </c>
      <c r="AR457" s="164"/>
      <c r="AS457" s="163" t="s">
        <v>735</v>
      </c>
      <c r="AT457" s="163">
        <v>145</v>
      </c>
      <c r="AU457" s="163" t="s">
        <v>324</v>
      </c>
      <c r="AV457" s="163">
        <v>3</v>
      </c>
      <c r="AW457" s="163" t="s">
        <v>737</v>
      </c>
      <c r="AX457" s="168"/>
      <c r="AY457" s="166">
        <v>1</v>
      </c>
      <c r="AZ457" s="166" t="s">
        <v>338</v>
      </c>
    </row>
    <row r="458" spans="38:52" hidden="1" x14ac:dyDescent="0.25">
      <c r="AL458" s="15" t="s">
        <v>979</v>
      </c>
      <c r="AM458" s="15" t="s">
        <v>734</v>
      </c>
      <c r="AN458" s="163" t="s">
        <v>454</v>
      </c>
      <c r="AO458" s="163" t="s">
        <v>454</v>
      </c>
      <c r="AP458" s="163" t="s">
        <v>376</v>
      </c>
      <c r="AQ458" s="163" t="s">
        <v>376</v>
      </c>
      <c r="AR458" s="164"/>
      <c r="AS458" s="163" t="s">
        <v>735</v>
      </c>
      <c r="AT458" s="163">
        <v>145</v>
      </c>
      <c r="AU458" s="163" t="s">
        <v>324</v>
      </c>
      <c r="AV458" s="163">
        <v>3</v>
      </c>
      <c r="AW458" s="163">
        <v>4</v>
      </c>
      <c r="AX458" s="168"/>
      <c r="AY458" s="166">
        <v>1</v>
      </c>
      <c r="AZ458" s="166" t="s">
        <v>326</v>
      </c>
    </row>
    <row r="459" spans="38:52" hidden="1" x14ac:dyDescent="0.25">
      <c r="AL459" s="15" t="s">
        <v>980</v>
      </c>
      <c r="AM459" s="15" t="s">
        <v>734</v>
      </c>
      <c r="AN459" s="163" t="s">
        <v>454</v>
      </c>
      <c r="AO459" s="163" t="s">
        <v>454</v>
      </c>
      <c r="AP459" s="163" t="s">
        <v>376</v>
      </c>
      <c r="AQ459" s="163" t="s">
        <v>688</v>
      </c>
      <c r="AR459" s="164"/>
      <c r="AS459" s="163" t="s">
        <v>735</v>
      </c>
      <c r="AT459" s="163">
        <v>145</v>
      </c>
      <c r="AU459" s="163" t="s">
        <v>324</v>
      </c>
      <c r="AV459" s="163">
        <v>3</v>
      </c>
      <c r="AW459" s="163">
        <v>4</v>
      </c>
      <c r="AX459" s="168"/>
      <c r="AY459" s="166">
        <v>1</v>
      </c>
      <c r="AZ459" s="166" t="s">
        <v>338</v>
      </c>
    </row>
    <row r="460" spans="38:52" hidden="1" x14ac:dyDescent="0.25">
      <c r="AL460" s="166" t="s">
        <v>981</v>
      </c>
      <c r="AM460" s="166" t="s">
        <v>734</v>
      </c>
      <c r="AN460" s="165" t="s">
        <v>454</v>
      </c>
      <c r="AO460" s="165" t="s">
        <v>454</v>
      </c>
      <c r="AP460" s="165" t="s">
        <v>688</v>
      </c>
      <c r="AQ460" s="165" t="s">
        <v>376</v>
      </c>
      <c r="AR460" s="167"/>
      <c r="AS460" s="165" t="s">
        <v>735</v>
      </c>
      <c r="AT460" s="165">
        <v>145</v>
      </c>
      <c r="AU460" s="165" t="s">
        <v>353</v>
      </c>
      <c r="AV460" s="165">
        <v>4</v>
      </c>
      <c r="AW460" s="165" t="s">
        <v>737</v>
      </c>
      <c r="AX460" s="168"/>
      <c r="AY460" s="166">
        <v>1</v>
      </c>
      <c r="AZ460" s="166" t="s">
        <v>357</v>
      </c>
    </row>
    <row r="461" spans="38:52" hidden="1" x14ac:dyDescent="0.25">
      <c r="AL461" s="15" t="s">
        <v>982</v>
      </c>
      <c r="AM461" s="15" t="s">
        <v>734</v>
      </c>
      <c r="AN461" s="163" t="s">
        <v>454</v>
      </c>
      <c r="AO461" s="163" t="s">
        <v>454</v>
      </c>
      <c r="AP461" s="163" t="s">
        <v>688</v>
      </c>
      <c r="AQ461" s="163" t="s">
        <v>688</v>
      </c>
      <c r="AR461" s="164"/>
      <c r="AS461" s="163" t="s">
        <v>735</v>
      </c>
      <c r="AT461" s="163">
        <v>145</v>
      </c>
      <c r="AU461" s="171" t="s">
        <v>353</v>
      </c>
      <c r="AV461" s="163">
        <v>4</v>
      </c>
      <c r="AW461" s="163" t="s">
        <v>737</v>
      </c>
      <c r="AX461" s="168"/>
      <c r="AY461" s="166">
        <v>1</v>
      </c>
      <c r="AZ461" s="166" t="s">
        <v>326</v>
      </c>
    </row>
    <row r="462" spans="38:52" hidden="1" x14ac:dyDescent="0.25">
      <c r="AL462" s="15" t="s">
        <v>983</v>
      </c>
      <c r="AM462" s="15" t="s">
        <v>734</v>
      </c>
      <c r="AN462" s="163" t="s">
        <v>454</v>
      </c>
      <c r="AO462" s="163" t="s">
        <v>454</v>
      </c>
      <c r="AP462" s="163" t="s">
        <v>376</v>
      </c>
      <c r="AQ462" s="163" t="s">
        <v>376</v>
      </c>
      <c r="AR462" s="164"/>
      <c r="AS462" s="163" t="s">
        <v>735</v>
      </c>
      <c r="AT462" s="163">
        <v>145</v>
      </c>
      <c r="AU462" s="163" t="s">
        <v>324</v>
      </c>
      <c r="AV462" s="163">
        <v>3</v>
      </c>
      <c r="AW462" s="163">
        <v>4</v>
      </c>
      <c r="AX462" s="168" t="s">
        <v>984</v>
      </c>
      <c r="AY462" s="166">
        <v>1</v>
      </c>
      <c r="AZ462" s="166" t="s">
        <v>338</v>
      </c>
    </row>
    <row r="463" spans="38:52" hidden="1" x14ac:dyDescent="0.25">
      <c r="AL463" s="15" t="s">
        <v>985</v>
      </c>
      <c r="AM463" s="15" t="s">
        <v>734</v>
      </c>
      <c r="AN463" s="163" t="s">
        <v>454</v>
      </c>
      <c r="AO463" s="163" t="s">
        <v>454</v>
      </c>
      <c r="AP463" s="163" t="s">
        <v>474</v>
      </c>
      <c r="AQ463" s="163" t="s">
        <v>376</v>
      </c>
      <c r="AR463" s="164"/>
      <c r="AS463" s="163" t="s">
        <v>735</v>
      </c>
      <c r="AT463" s="163">
        <v>142</v>
      </c>
      <c r="AU463" s="171" t="s">
        <v>353</v>
      </c>
      <c r="AV463" s="163">
        <v>3</v>
      </c>
      <c r="AW463" s="163">
        <v>4</v>
      </c>
      <c r="AX463" s="168"/>
      <c r="AY463" s="166">
        <v>1</v>
      </c>
      <c r="AZ463" s="166" t="s">
        <v>338</v>
      </c>
    </row>
    <row r="464" spans="38:52" hidden="1" x14ac:dyDescent="0.25">
      <c r="AL464" s="15" t="s">
        <v>986</v>
      </c>
      <c r="AM464" s="166" t="s">
        <v>734</v>
      </c>
      <c r="AN464" s="163" t="s">
        <v>454</v>
      </c>
      <c r="AO464" s="163" t="s">
        <v>454</v>
      </c>
      <c r="AP464" s="163" t="s">
        <v>968</v>
      </c>
      <c r="AQ464" s="163" t="s">
        <v>376</v>
      </c>
      <c r="AR464" s="164"/>
      <c r="AS464" s="163" t="s">
        <v>735</v>
      </c>
      <c r="AT464" s="163">
        <v>145</v>
      </c>
      <c r="AU464" s="171" t="s">
        <v>353</v>
      </c>
      <c r="AV464" s="163" t="s">
        <v>671</v>
      </c>
      <c r="AW464" s="163">
        <v>4</v>
      </c>
      <c r="AX464" s="168" t="s">
        <v>969</v>
      </c>
      <c r="AY464" s="166">
        <v>1</v>
      </c>
      <c r="AZ464" s="166" t="s">
        <v>338</v>
      </c>
    </row>
    <row r="465" spans="38:52" hidden="1" x14ac:dyDescent="0.25">
      <c r="AL465" s="166" t="s">
        <v>987</v>
      </c>
      <c r="AM465" s="166" t="s">
        <v>734</v>
      </c>
      <c r="AN465" s="165" t="s">
        <v>454</v>
      </c>
      <c r="AO465" s="165"/>
      <c r="AP465" s="165" t="s">
        <v>376</v>
      </c>
      <c r="AQ465" s="165" t="s">
        <v>376</v>
      </c>
      <c r="AR465" s="167"/>
      <c r="AS465" s="165" t="s">
        <v>735</v>
      </c>
      <c r="AT465" s="165">
        <v>145</v>
      </c>
      <c r="AU465" s="165" t="s">
        <v>324</v>
      </c>
      <c r="AV465" s="165">
        <v>3</v>
      </c>
      <c r="AW465" s="165" t="s">
        <v>737</v>
      </c>
      <c r="AX465" s="168"/>
      <c r="AY465" s="166">
        <v>1</v>
      </c>
      <c r="AZ465" s="166" t="s">
        <v>326</v>
      </c>
    </row>
    <row r="466" spans="38:52" hidden="1" x14ac:dyDescent="0.25">
      <c r="AL466" s="166" t="s">
        <v>988</v>
      </c>
      <c r="AM466" s="166" t="s">
        <v>734</v>
      </c>
      <c r="AN466" s="165" t="s">
        <v>454</v>
      </c>
      <c r="AO466" s="165"/>
      <c r="AP466" s="165" t="s">
        <v>688</v>
      </c>
      <c r="AQ466" s="165" t="s">
        <v>376</v>
      </c>
      <c r="AR466" s="167"/>
      <c r="AS466" s="165" t="s">
        <v>828</v>
      </c>
      <c r="AT466" s="165"/>
      <c r="AU466" s="165" t="s">
        <v>324</v>
      </c>
      <c r="AV466" s="165">
        <v>4</v>
      </c>
      <c r="AW466" s="165" t="s">
        <v>737</v>
      </c>
      <c r="AX466" s="168" t="s">
        <v>482</v>
      </c>
      <c r="AY466" s="166">
        <v>1</v>
      </c>
      <c r="AZ466" s="166" t="s">
        <v>326</v>
      </c>
    </row>
    <row r="467" spans="38:52" hidden="1" x14ac:dyDescent="0.25">
      <c r="AL467" s="166" t="s">
        <v>989</v>
      </c>
      <c r="AM467" s="166" t="s">
        <v>734</v>
      </c>
      <c r="AN467" s="165" t="s">
        <v>704</v>
      </c>
      <c r="AO467" s="165" t="s">
        <v>704</v>
      </c>
      <c r="AP467" s="165" t="s">
        <v>452</v>
      </c>
      <c r="AQ467" s="165" t="s">
        <v>688</v>
      </c>
      <c r="AR467" s="167"/>
      <c r="AS467" s="165" t="s">
        <v>735</v>
      </c>
      <c r="AT467" s="165">
        <v>161</v>
      </c>
      <c r="AU467" s="165" t="s">
        <v>453</v>
      </c>
      <c r="AV467" s="165">
        <v>4</v>
      </c>
      <c r="AW467" s="165" t="s">
        <v>737</v>
      </c>
      <c r="AX467" s="168"/>
      <c r="AY467" s="166">
        <v>1</v>
      </c>
      <c r="AZ467" s="166" t="s">
        <v>326</v>
      </c>
    </row>
    <row r="468" spans="38:52" hidden="1" x14ac:dyDescent="0.25">
      <c r="AL468" s="177" t="s">
        <v>990</v>
      </c>
      <c r="AM468" s="177" t="s">
        <v>734</v>
      </c>
      <c r="AN468" s="171" t="s">
        <v>704</v>
      </c>
      <c r="AO468" s="163"/>
      <c r="AP468" s="163" t="s">
        <v>452</v>
      </c>
      <c r="AQ468" s="163" t="s">
        <v>688</v>
      </c>
      <c r="AR468" s="178">
        <v>1.375</v>
      </c>
      <c r="AS468" s="180">
        <v>30</v>
      </c>
      <c r="AT468" s="163"/>
      <c r="AU468" s="163" t="s">
        <v>841</v>
      </c>
      <c r="AV468" s="163">
        <v>5</v>
      </c>
      <c r="AW468" s="163"/>
      <c r="AX468" s="168"/>
      <c r="AY468" s="166"/>
      <c r="AZ468" s="166"/>
    </row>
    <row r="469" spans="38:52" hidden="1" x14ac:dyDescent="0.25">
      <c r="AL469" s="15" t="s">
        <v>991</v>
      </c>
      <c r="AM469" s="15" t="s">
        <v>734</v>
      </c>
      <c r="AN469" s="163" t="s">
        <v>707</v>
      </c>
      <c r="AO469" s="171">
        <v>7.75</v>
      </c>
      <c r="AP469" s="163" t="s">
        <v>452</v>
      </c>
      <c r="AQ469" s="163" t="s">
        <v>806</v>
      </c>
      <c r="AR469" s="164"/>
      <c r="AS469" s="163" t="s">
        <v>810</v>
      </c>
      <c r="AT469" s="163">
        <v>195</v>
      </c>
      <c r="AU469" s="163" t="s">
        <v>402</v>
      </c>
      <c r="AV469" s="163">
        <v>4</v>
      </c>
      <c r="AW469" s="163" t="s">
        <v>348</v>
      </c>
      <c r="AX469" s="168"/>
      <c r="AY469" s="166">
        <v>1</v>
      </c>
      <c r="AZ469" s="166" t="s">
        <v>326</v>
      </c>
    </row>
    <row r="470" spans="38:52" hidden="1" x14ac:dyDescent="0.25">
      <c r="AL470" s="15" t="s">
        <v>992</v>
      </c>
      <c r="AM470" s="15" t="s">
        <v>734</v>
      </c>
      <c r="AN470" s="163" t="s">
        <v>707</v>
      </c>
      <c r="AO470" s="171">
        <v>7.75</v>
      </c>
      <c r="AP470" s="163" t="s">
        <v>452</v>
      </c>
      <c r="AQ470" s="163" t="s">
        <v>806</v>
      </c>
      <c r="AR470" s="164"/>
      <c r="AS470" s="163" t="s">
        <v>735</v>
      </c>
      <c r="AT470" s="163">
        <v>175</v>
      </c>
      <c r="AU470" s="163" t="s">
        <v>453</v>
      </c>
      <c r="AV470" s="163">
        <v>4</v>
      </c>
      <c r="AW470" s="163" t="s">
        <v>737</v>
      </c>
      <c r="AX470" s="168"/>
      <c r="AY470" s="166">
        <v>1</v>
      </c>
      <c r="AZ470" s="166" t="s">
        <v>338</v>
      </c>
    </row>
    <row r="471" spans="38:52" hidden="1" x14ac:dyDescent="0.25">
      <c r="AL471" s="15" t="s">
        <v>993</v>
      </c>
      <c r="AM471" s="15" t="s">
        <v>734</v>
      </c>
      <c r="AN471" s="163" t="s">
        <v>707</v>
      </c>
      <c r="AO471" s="163">
        <v>10</v>
      </c>
      <c r="AP471" s="163" t="s">
        <v>452</v>
      </c>
      <c r="AQ471" s="163" t="s">
        <v>806</v>
      </c>
      <c r="AR471" s="164"/>
      <c r="AS471" s="163" t="s">
        <v>810</v>
      </c>
      <c r="AT471" s="163">
        <v>255</v>
      </c>
      <c r="AU471" s="163" t="s">
        <v>402</v>
      </c>
      <c r="AV471" s="163">
        <v>4</v>
      </c>
      <c r="AW471" s="163">
        <v>2</v>
      </c>
      <c r="AX471" s="168"/>
      <c r="AY471" s="166">
        <v>2</v>
      </c>
      <c r="AZ471" s="166" t="s">
        <v>922</v>
      </c>
    </row>
    <row r="472" spans="38:52" hidden="1" x14ac:dyDescent="0.25">
      <c r="AL472" s="166" t="s">
        <v>994</v>
      </c>
      <c r="AM472" s="166" t="s">
        <v>734</v>
      </c>
      <c r="AN472" s="165" t="s">
        <v>707</v>
      </c>
      <c r="AO472" s="165" t="s">
        <v>707</v>
      </c>
      <c r="AP472" s="165" t="s">
        <v>452</v>
      </c>
      <c r="AQ472" s="165" t="s">
        <v>452</v>
      </c>
      <c r="AR472" s="167"/>
      <c r="AS472" s="165" t="s">
        <v>813</v>
      </c>
      <c r="AT472" s="165"/>
      <c r="AU472" s="165" t="s">
        <v>995</v>
      </c>
      <c r="AV472" s="165">
        <v>5</v>
      </c>
      <c r="AW472" s="165" t="s">
        <v>737</v>
      </c>
      <c r="AX472" s="168" t="s">
        <v>490</v>
      </c>
      <c r="AY472" s="166">
        <v>1</v>
      </c>
      <c r="AZ472" s="166" t="s">
        <v>326</v>
      </c>
    </row>
    <row r="473" spans="38:52" hidden="1" x14ac:dyDescent="0.25">
      <c r="AL473" s="15" t="s">
        <v>996</v>
      </c>
      <c r="AM473" s="15" t="s">
        <v>734</v>
      </c>
      <c r="AN473" s="163" t="s">
        <v>707</v>
      </c>
      <c r="AO473" s="163" t="s">
        <v>707</v>
      </c>
      <c r="AP473" s="163" t="s">
        <v>452</v>
      </c>
      <c r="AQ473" s="163" t="s">
        <v>688</v>
      </c>
      <c r="AR473" s="164"/>
      <c r="AS473" s="163" t="s">
        <v>735</v>
      </c>
      <c r="AT473" s="163">
        <v>161</v>
      </c>
      <c r="AU473" s="163" t="s">
        <v>453</v>
      </c>
      <c r="AV473" s="163">
        <v>4</v>
      </c>
      <c r="AW473" s="163" t="s">
        <v>737</v>
      </c>
      <c r="AX473" s="168"/>
      <c r="AY473" s="166">
        <v>1</v>
      </c>
      <c r="AZ473" s="166" t="s">
        <v>326</v>
      </c>
    </row>
    <row r="474" spans="38:52" hidden="1" x14ac:dyDescent="0.25">
      <c r="AL474" s="166" t="s">
        <v>997</v>
      </c>
      <c r="AM474" s="166" t="s">
        <v>734</v>
      </c>
      <c r="AN474" s="165" t="s">
        <v>707</v>
      </c>
      <c r="AO474" s="165" t="s">
        <v>707</v>
      </c>
      <c r="AP474" s="165" t="s">
        <v>395</v>
      </c>
      <c r="AQ474" s="165" t="s">
        <v>688</v>
      </c>
      <c r="AR474" s="167"/>
      <c r="AS474" s="165" t="s">
        <v>735</v>
      </c>
      <c r="AT474" s="165">
        <v>161</v>
      </c>
      <c r="AU474" s="165" t="s">
        <v>324</v>
      </c>
      <c r="AV474" s="165">
        <v>4</v>
      </c>
      <c r="AW474" s="165" t="s">
        <v>737</v>
      </c>
      <c r="AX474" s="168"/>
      <c r="AY474" s="166">
        <v>1</v>
      </c>
      <c r="AZ474" s="166" t="s">
        <v>338</v>
      </c>
    </row>
    <row r="475" spans="38:52" hidden="1" x14ac:dyDescent="0.25">
      <c r="AL475" s="166" t="s">
        <v>998</v>
      </c>
      <c r="AM475" s="166" t="s">
        <v>734</v>
      </c>
      <c r="AN475" s="165" t="s">
        <v>723</v>
      </c>
      <c r="AO475" s="165" t="s">
        <v>999</v>
      </c>
      <c r="AP475" s="165" t="s">
        <v>452</v>
      </c>
      <c r="AQ475" s="165" t="s">
        <v>806</v>
      </c>
      <c r="AR475" s="167"/>
      <c r="AS475" s="165" t="s">
        <v>1000</v>
      </c>
      <c r="AT475" s="165">
        <v>122</v>
      </c>
      <c r="AU475" s="165" t="s">
        <v>453</v>
      </c>
      <c r="AV475" s="165">
        <v>6</v>
      </c>
      <c r="AW475" s="165" t="s">
        <v>737</v>
      </c>
      <c r="AX475" s="168"/>
      <c r="AY475" s="166">
        <v>1</v>
      </c>
      <c r="AZ475" s="166" t="s">
        <v>326</v>
      </c>
    </row>
    <row r="476" spans="38:52" hidden="1" x14ac:dyDescent="0.25">
      <c r="AL476" s="166" t="s">
        <v>1001</v>
      </c>
      <c r="AM476" s="166" t="s">
        <v>734</v>
      </c>
      <c r="AN476" s="165" t="s">
        <v>726</v>
      </c>
      <c r="AO476" s="165" t="s">
        <v>726</v>
      </c>
      <c r="AP476" s="165" t="s">
        <v>504</v>
      </c>
      <c r="AQ476" s="165" t="s">
        <v>806</v>
      </c>
      <c r="AR476" s="167"/>
      <c r="AS476" s="165" t="s">
        <v>828</v>
      </c>
      <c r="AT476" s="165">
        <v>590</v>
      </c>
      <c r="AU476" s="165" t="s">
        <v>515</v>
      </c>
      <c r="AV476" s="165">
        <v>7</v>
      </c>
      <c r="AW476" s="165" t="s">
        <v>583</v>
      </c>
      <c r="AX476" s="168" t="s">
        <v>727</v>
      </c>
      <c r="AY476" s="166">
        <v>1</v>
      </c>
      <c r="AZ476" s="166" t="s">
        <v>326</v>
      </c>
    </row>
    <row r="477" spans="38:52" hidden="1" x14ac:dyDescent="0.25">
      <c r="AL477" s="166" t="s">
        <v>1002</v>
      </c>
      <c r="AM477" s="166" t="s">
        <v>734</v>
      </c>
      <c r="AN477" s="165" t="s">
        <v>726</v>
      </c>
      <c r="AO477" s="165" t="s">
        <v>726</v>
      </c>
      <c r="AP477" s="165" t="s">
        <v>504</v>
      </c>
      <c r="AQ477" s="165" t="s">
        <v>806</v>
      </c>
      <c r="AR477" s="167"/>
      <c r="AS477" s="165" t="s">
        <v>866</v>
      </c>
      <c r="AT477" s="165"/>
      <c r="AU477" s="165"/>
      <c r="AV477" s="165">
        <v>7</v>
      </c>
      <c r="AW477" s="165" t="s">
        <v>737</v>
      </c>
      <c r="AX477" s="168" t="s">
        <v>1003</v>
      </c>
      <c r="AY477" s="166">
        <v>1</v>
      </c>
      <c r="AZ477" s="166" t="s">
        <v>326</v>
      </c>
    </row>
    <row r="478" spans="38:52" hidden="1" x14ac:dyDescent="0.25">
      <c r="AL478" s="166" t="s">
        <v>1004</v>
      </c>
      <c r="AM478" s="166" t="s">
        <v>734</v>
      </c>
      <c r="AN478" s="165"/>
      <c r="AO478" s="165"/>
      <c r="AP478" s="165"/>
      <c r="AQ478" s="165"/>
      <c r="AR478" s="167"/>
      <c r="AS478" s="165" t="s">
        <v>866</v>
      </c>
      <c r="AT478" s="165">
        <v>539</v>
      </c>
      <c r="AU478" s="165" t="s">
        <v>515</v>
      </c>
      <c r="AV478" s="165">
        <v>6</v>
      </c>
      <c r="AW478" s="165" t="s">
        <v>583</v>
      </c>
      <c r="AX478" s="168" t="s">
        <v>523</v>
      </c>
      <c r="AY478" s="166">
        <v>1</v>
      </c>
      <c r="AZ478" s="166" t="s">
        <v>338</v>
      </c>
    </row>
    <row r="479" spans="38:52" hidden="1" x14ac:dyDescent="0.25">
      <c r="AL479" s="166" t="s">
        <v>1005</v>
      </c>
      <c r="AM479" s="166" t="s">
        <v>1006</v>
      </c>
      <c r="AN479" s="172">
        <v>3.125</v>
      </c>
      <c r="AO479" s="172">
        <v>3.125</v>
      </c>
      <c r="AP479" s="165" t="s">
        <v>1007</v>
      </c>
      <c r="AQ479" s="165" t="s">
        <v>1008</v>
      </c>
      <c r="AR479" s="167"/>
      <c r="AS479" s="165">
        <v>30</v>
      </c>
      <c r="AT479" s="165">
        <v>66</v>
      </c>
      <c r="AU479" s="165" t="s">
        <v>324</v>
      </c>
      <c r="AV479" s="165"/>
      <c r="AW479" s="165"/>
      <c r="AX479" s="168" t="s">
        <v>1009</v>
      </c>
      <c r="AY479" s="166">
        <v>1</v>
      </c>
      <c r="AZ479" s="166" t="s">
        <v>338</v>
      </c>
    </row>
    <row r="480" spans="38:52" hidden="1" x14ac:dyDescent="0.25">
      <c r="AL480" s="15" t="s">
        <v>1010</v>
      </c>
      <c r="AM480" s="15" t="s">
        <v>1006</v>
      </c>
      <c r="AN480" s="171">
        <v>4.625</v>
      </c>
      <c r="AO480" s="171">
        <v>4.625</v>
      </c>
      <c r="AP480" s="163" t="s">
        <v>661</v>
      </c>
      <c r="AQ480" s="163" t="s">
        <v>661</v>
      </c>
      <c r="AR480" s="164"/>
      <c r="AS480" s="163">
        <v>4</v>
      </c>
      <c r="AT480" s="163">
        <v>30</v>
      </c>
      <c r="AU480" s="163" t="s">
        <v>402</v>
      </c>
      <c r="AV480" s="163">
        <v>4</v>
      </c>
      <c r="AW480" s="163">
        <v>2</v>
      </c>
      <c r="AX480" s="168" t="s">
        <v>619</v>
      </c>
      <c r="AY480" s="166">
        <v>1</v>
      </c>
      <c r="AZ480" s="166" t="s">
        <v>326</v>
      </c>
    </row>
    <row r="481" spans="38:52" hidden="1" x14ac:dyDescent="0.25">
      <c r="AL481" s="15" t="s">
        <v>1011</v>
      </c>
      <c r="AM481" s="15" t="s">
        <v>1006</v>
      </c>
      <c r="AN481" s="171">
        <v>4.75</v>
      </c>
      <c r="AO481" s="171">
        <v>4.75</v>
      </c>
      <c r="AP481" s="163" t="s">
        <v>661</v>
      </c>
      <c r="AQ481" s="163" t="s">
        <v>661</v>
      </c>
      <c r="AR481" s="164"/>
      <c r="AS481" s="163" t="s">
        <v>1012</v>
      </c>
      <c r="AT481" s="163">
        <v>125</v>
      </c>
      <c r="AU481" s="171" t="s">
        <v>353</v>
      </c>
      <c r="AV481" s="163">
        <v>4</v>
      </c>
      <c r="AW481" s="163">
        <v>2</v>
      </c>
      <c r="AX481" s="168" t="s">
        <v>619</v>
      </c>
      <c r="AY481" s="166">
        <v>1</v>
      </c>
      <c r="AZ481" s="166" t="s">
        <v>338</v>
      </c>
    </row>
    <row r="482" spans="38:52" hidden="1" x14ac:dyDescent="0.25">
      <c r="AL482" s="15" t="s">
        <v>1013</v>
      </c>
      <c r="AM482" s="15" t="s">
        <v>1006</v>
      </c>
      <c r="AN482" s="171">
        <v>4.75</v>
      </c>
      <c r="AO482" s="171">
        <v>4.75</v>
      </c>
      <c r="AP482" s="163" t="s">
        <v>661</v>
      </c>
      <c r="AQ482" s="163" t="s">
        <v>661</v>
      </c>
      <c r="AR482" s="164"/>
      <c r="AS482" s="163" t="s">
        <v>1014</v>
      </c>
      <c r="AT482" s="163">
        <v>25</v>
      </c>
      <c r="AU482" s="171" t="s">
        <v>353</v>
      </c>
      <c r="AV482" s="163">
        <v>4</v>
      </c>
      <c r="AW482" s="163">
        <v>2</v>
      </c>
      <c r="AX482" s="168" t="s">
        <v>619</v>
      </c>
      <c r="AY482" s="166">
        <v>1</v>
      </c>
      <c r="AZ482" s="166" t="s">
        <v>326</v>
      </c>
    </row>
    <row r="483" spans="38:52" hidden="1" x14ac:dyDescent="0.25">
      <c r="AL483" s="166" t="s">
        <v>1015</v>
      </c>
      <c r="AM483" s="166" t="s">
        <v>1006</v>
      </c>
      <c r="AN483" s="165">
        <v>5</v>
      </c>
      <c r="AO483" s="165">
        <v>5</v>
      </c>
      <c r="AP483" s="165" t="s">
        <v>395</v>
      </c>
      <c r="AQ483" s="165" t="s">
        <v>344</v>
      </c>
      <c r="AR483" s="167"/>
      <c r="AS483" s="165">
        <v>6</v>
      </c>
      <c r="AT483" s="165">
        <v>24</v>
      </c>
      <c r="AU483" s="165" t="s">
        <v>324</v>
      </c>
      <c r="AV483" s="165"/>
      <c r="AW483" s="165"/>
      <c r="AX483" s="168" t="s">
        <v>1016</v>
      </c>
      <c r="AY483" s="166"/>
      <c r="AZ483" s="166"/>
    </row>
    <row r="484" spans="38:52" hidden="1" x14ac:dyDescent="0.25">
      <c r="AL484" s="15" t="s">
        <v>1017</v>
      </c>
      <c r="AM484" s="15" t="s">
        <v>1006</v>
      </c>
      <c r="AN484" s="163">
        <v>5</v>
      </c>
      <c r="AO484" s="163">
        <v>5</v>
      </c>
      <c r="AP484" s="163" t="s">
        <v>661</v>
      </c>
      <c r="AQ484" s="163" t="s">
        <v>395</v>
      </c>
      <c r="AR484" s="164"/>
      <c r="AS484" s="163" t="s">
        <v>1014</v>
      </c>
      <c r="AT484" s="163">
        <v>25</v>
      </c>
      <c r="AU484" s="171" t="s">
        <v>353</v>
      </c>
      <c r="AV484" s="163">
        <v>4</v>
      </c>
      <c r="AW484" s="163">
        <v>2</v>
      </c>
      <c r="AX484" s="168" t="s">
        <v>619</v>
      </c>
      <c r="AY484" s="166">
        <v>1</v>
      </c>
      <c r="AZ484" s="166" t="s">
        <v>338</v>
      </c>
    </row>
    <row r="485" spans="38:52" hidden="1" x14ac:dyDescent="0.25">
      <c r="AL485" s="15" t="s">
        <v>1018</v>
      </c>
      <c r="AM485" s="15" t="s">
        <v>1006</v>
      </c>
      <c r="AN485" s="163">
        <v>5</v>
      </c>
      <c r="AO485" s="163" t="s">
        <v>454</v>
      </c>
      <c r="AP485" s="163" t="s">
        <v>424</v>
      </c>
      <c r="AQ485" s="163" t="s">
        <v>456</v>
      </c>
      <c r="AR485" s="164"/>
      <c r="AS485" s="163">
        <v>24</v>
      </c>
      <c r="AT485" s="165">
        <v>125</v>
      </c>
      <c r="AU485" s="163"/>
      <c r="AV485" s="163">
        <v>3</v>
      </c>
      <c r="AW485" s="163">
        <v>4</v>
      </c>
      <c r="AX485" s="168"/>
      <c r="AY485" s="166"/>
      <c r="AZ485" s="166"/>
    </row>
    <row r="486" spans="38:52" hidden="1" x14ac:dyDescent="0.25">
      <c r="AL486" s="15" t="s">
        <v>1019</v>
      </c>
      <c r="AM486" s="166" t="s">
        <v>1006</v>
      </c>
      <c r="AN486" s="163">
        <v>6</v>
      </c>
      <c r="AO486" s="163">
        <v>6</v>
      </c>
      <c r="AP486" s="163" t="s">
        <v>452</v>
      </c>
      <c r="AQ486" s="163" t="s">
        <v>391</v>
      </c>
      <c r="AR486" s="164"/>
      <c r="AS486" s="163">
        <v>6</v>
      </c>
      <c r="AT486" s="163">
        <v>50</v>
      </c>
      <c r="AU486" s="163" t="s">
        <v>324</v>
      </c>
      <c r="AV486" s="163">
        <v>5</v>
      </c>
      <c r="AW486" s="163" t="s">
        <v>916</v>
      </c>
      <c r="AX486" s="168" t="s">
        <v>1020</v>
      </c>
      <c r="AY486" s="166">
        <v>1</v>
      </c>
      <c r="AZ486" s="166" t="s">
        <v>338</v>
      </c>
    </row>
    <row r="487" spans="38:52" hidden="1" x14ac:dyDescent="0.25">
      <c r="AL487" s="15" t="s">
        <v>1021</v>
      </c>
      <c r="AM487" s="15" t="s">
        <v>1006</v>
      </c>
      <c r="AN487" s="163">
        <v>6</v>
      </c>
      <c r="AO487" s="163">
        <v>6</v>
      </c>
      <c r="AP487" s="163" t="s">
        <v>452</v>
      </c>
      <c r="AQ487" s="163" t="s">
        <v>1022</v>
      </c>
      <c r="AR487" s="164"/>
      <c r="AS487" s="163">
        <v>6</v>
      </c>
      <c r="AT487" s="163">
        <v>50</v>
      </c>
      <c r="AU487" s="163" t="s">
        <v>324</v>
      </c>
      <c r="AV487" s="163">
        <v>5</v>
      </c>
      <c r="AW487" s="163" t="s">
        <v>916</v>
      </c>
      <c r="AX487" s="168" t="s">
        <v>1020</v>
      </c>
      <c r="AY487" s="166">
        <v>1</v>
      </c>
      <c r="AZ487" s="166" t="s">
        <v>338</v>
      </c>
    </row>
    <row r="488" spans="38:52" hidden="1" x14ac:dyDescent="0.25">
      <c r="AL488" s="15" t="s">
        <v>1023</v>
      </c>
      <c r="AM488" s="15" t="s">
        <v>1006</v>
      </c>
      <c r="AN488" s="163">
        <v>6</v>
      </c>
      <c r="AO488" s="163">
        <v>6</v>
      </c>
      <c r="AP488" s="163" t="s">
        <v>376</v>
      </c>
      <c r="AQ488" s="163" t="s">
        <v>688</v>
      </c>
      <c r="AR488" s="164"/>
      <c r="AS488" s="163">
        <v>6</v>
      </c>
      <c r="AT488" s="163">
        <v>50</v>
      </c>
      <c r="AU488" s="171" t="s">
        <v>1024</v>
      </c>
      <c r="AV488" s="163"/>
      <c r="AW488" s="163"/>
      <c r="AX488" s="168"/>
      <c r="AY488" s="166">
        <v>1</v>
      </c>
      <c r="AZ488" s="166" t="s">
        <v>326</v>
      </c>
    </row>
    <row r="489" spans="38:52" hidden="1" x14ac:dyDescent="0.25">
      <c r="AL489" s="166" t="s">
        <v>1025</v>
      </c>
      <c r="AM489" s="166" t="s">
        <v>1006</v>
      </c>
      <c r="AN489" s="172">
        <v>10.75</v>
      </c>
      <c r="AO489" s="172">
        <v>10.75</v>
      </c>
      <c r="AP489" s="165" t="s">
        <v>570</v>
      </c>
      <c r="AQ489" s="165" t="s">
        <v>1026</v>
      </c>
      <c r="AR489" s="167"/>
      <c r="AS489" s="165">
        <v>12</v>
      </c>
      <c r="AT489" s="165">
        <v>395</v>
      </c>
      <c r="AU489" s="165" t="s">
        <v>571</v>
      </c>
      <c r="AV489" s="165">
        <v>8</v>
      </c>
      <c r="AW489" s="165" t="s">
        <v>583</v>
      </c>
      <c r="AX489" s="168" t="s">
        <v>1027</v>
      </c>
      <c r="AY489" s="166">
        <v>1</v>
      </c>
      <c r="AZ489" s="166" t="s">
        <v>326</v>
      </c>
    </row>
    <row r="490" spans="38:52" hidden="1" x14ac:dyDescent="0.25">
      <c r="AL490" s="166" t="s">
        <v>1028</v>
      </c>
      <c r="AM490" s="166" t="s">
        <v>1006</v>
      </c>
      <c r="AN490" s="165" t="s">
        <v>596</v>
      </c>
      <c r="AO490" s="165" t="s">
        <v>596</v>
      </c>
      <c r="AP490" s="165" t="s">
        <v>570</v>
      </c>
      <c r="AQ490" s="165" t="s">
        <v>1026</v>
      </c>
      <c r="AR490" s="167"/>
      <c r="AS490" s="165">
        <v>12</v>
      </c>
      <c r="AT490" s="165">
        <v>375</v>
      </c>
      <c r="AU490" s="165" t="s">
        <v>571</v>
      </c>
      <c r="AV490" s="165">
        <v>8</v>
      </c>
      <c r="AW490" s="165" t="s">
        <v>583</v>
      </c>
      <c r="AX490" s="168" t="s">
        <v>1027</v>
      </c>
      <c r="AY490" s="166">
        <v>1</v>
      </c>
      <c r="AZ490" s="166" t="s">
        <v>326</v>
      </c>
    </row>
    <row r="491" spans="38:52" hidden="1" x14ac:dyDescent="0.25">
      <c r="AL491" s="15" t="s">
        <v>1029</v>
      </c>
      <c r="AM491" s="166" t="s">
        <v>1006</v>
      </c>
      <c r="AN491" s="163" t="s">
        <v>394</v>
      </c>
      <c r="AO491" s="171">
        <v>7.75</v>
      </c>
      <c r="AP491" s="163" t="s">
        <v>376</v>
      </c>
      <c r="AQ491" s="163" t="s">
        <v>1030</v>
      </c>
      <c r="AR491" s="164"/>
      <c r="AS491" s="163">
        <v>9</v>
      </c>
      <c r="AT491" s="163">
        <v>95</v>
      </c>
      <c r="AU491" s="171" t="s">
        <v>353</v>
      </c>
      <c r="AV491" s="163">
        <v>3</v>
      </c>
      <c r="AW491" s="163">
        <v>2</v>
      </c>
      <c r="AX491" s="168" t="s">
        <v>1031</v>
      </c>
      <c r="AY491" s="166">
        <v>1</v>
      </c>
      <c r="AZ491" s="166" t="s">
        <v>357</v>
      </c>
    </row>
    <row r="492" spans="38:52" hidden="1" x14ac:dyDescent="0.25">
      <c r="AL492" s="15" t="s">
        <v>1032</v>
      </c>
      <c r="AM492" s="15" t="s">
        <v>1006</v>
      </c>
      <c r="AN492" s="163" t="s">
        <v>394</v>
      </c>
      <c r="AO492" s="163" t="s">
        <v>394</v>
      </c>
      <c r="AP492" s="163" t="s">
        <v>376</v>
      </c>
      <c r="AQ492" s="163" t="s">
        <v>376</v>
      </c>
      <c r="AR492" s="164"/>
      <c r="AS492" s="163">
        <v>6</v>
      </c>
      <c r="AT492" s="163">
        <v>23</v>
      </c>
      <c r="AU492" s="171" t="s">
        <v>353</v>
      </c>
      <c r="AV492" s="163"/>
      <c r="AW492" s="163"/>
      <c r="AX492" s="168"/>
      <c r="AY492" s="166">
        <v>1</v>
      </c>
      <c r="AZ492" s="166" t="s">
        <v>338</v>
      </c>
    </row>
    <row r="493" spans="38:52" hidden="1" x14ac:dyDescent="0.25">
      <c r="AL493" s="15" t="s">
        <v>1033</v>
      </c>
      <c r="AM493" s="15" t="s">
        <v>1006</v>
      </c>
      <c r="AN493" s="163" t="s">
        <v>394</v>
      </c>
      <c r="AO493" s="163" t="s">
        <v>394</v>
      </c>
      <c r="AP493" s="163" t="s">
        <v>376</v>
      </c>
      <c r="AQ493" s="163" t="s">
        <v>544</v>
      </c>
      <c r="AR493" s="164"/>
      <c r="AS493" s="163">
        <v>6</v>
      </c>
      <c r="AT493" s="163">
        <v>23</v>
      </c>
      <c r="AU493" s="171" t="s">
        <v>353</v>
      </c>
      <c r="AV493" s="163"/>
      <c r="AW493" s="163"/>
      <c r="AX493" s="168"/>
      <c r="AY493" s="166">
        <v>1</v>
      </c>
      <c r="AZ493" s="166" t="s">
        <v>338</v>
      </c>
    </row>
    <row r="494" spans="38:52" hidden="1" x14ac:dyDescent="0.25">
      <c r="AL494" s="15" t="s">
        <v>1034</v>
      </c>
      <c r="AM494" s="15" t="s">
        <v>1006</v>
      </c>
      <c r="AN494" s="163" t="s">
        <v>394</v>
      </c>
      <c r="AO494" s="163" t="s">
        <v>394</v>
      </c>
      <c r="AP494" s="163" t="s">
        <v>376</v>
      </c>
      <c r="AQ494" s="163" t="s">
        <v>344</v>
      </c>
      <c r="AR494" s="164"/>
      <c r="AS494" s="163" t="s">
        <v>726</v>
      </c>
      <c r="AT494" s="163">
        <v>45</v>
      </c>
      <c r="AU494" s="171" t="s">
        <v>353</v>
      </c>
      <c r="AV494" s="163">
        <v>3</v>
      </c>
      <c r="AW494" s="163">
        <v>4</v>
      </c>
      <c r="AX494" s="168"/>
      <c r="AY494" s="166">
        <v>1</v>
      </c>
      <c r="AZ494" s="166" t="s">
        <v>338</v>
      </c>
    </row>
    <row r="495" spans="38:52" hidden="1" x14ac:dyDescent="0.25">
      <c r="AL495" s="15" t="s">
        <v>1035</v>
      </c>
      <c r="AM495" s="15" t="s">
        <v>1006</v>
      </c>
      <c r="AN495" s="163" t="s">
        <v>454</v>
      </c>
      <c r="AO495" s="163" t="s">
        <v>454</v>
      </c>
      <c r="AP495" s="163" t="s">
        <v>452</v>
      </c>
      <c r="AQ495" s="163" t="s">
        <v>376</v>
      </c>
      <c r="AR495" s="164"/>
      <c r="AS495" s="163">
        <v>6</v>
      </c>
      <c r="AT495" s="163">
        <v>45</v>
      </c>
      <c r="AU495" s="171" t="s">
        <v>353</v>
      </c>
      <c r="AV495" s="163"/>
      <c r="AW495" s="163"/>
      <c r="AX495" s="168"/>
      <c r="AY495" s="166">
        <v>1</v>
      </c>
      <c r="AZ495" s="166" t="s">
        <v>338</v>
      </c>
    </row>
    <row r="496" spans="38:52" hidden="1" x14ac:dyDescent="0.25">
      <c r="AL496" s="15" t="s">
        <v>1036</v>
      </c>
      <c r="AM496" s="15" t="s">
        <v>1006</v>
      </c>
      <c r="AN496" s="163" t="s">
        <v>454</v>
      </c>
      <c r="AO496" s="163" t="s">
        <v>454</v>
      </c>
      <c r="AP496" s="163" t="s">
        <v>688</v>
      </c>
      <c r="AQ496" s="163" t="s">
        <v>1037</v>
      </c>
      <c r="AR496" s="164"/>
      <c r="AS496" s="163">
        <v>6</v>
      </c>
      <c r="AT496" s="163">
        <v>45</v>
      </c>
      <c r="AU496" s="163" t="s">
        <v>402</v>
      </c>
      <c r="AV496" s="163"/>
      <c r="AW496" s="163"/>
      <c r="AX496" s="168"/>
      <c r="AY496" s="166">
        <v>1</v>
      </c>
      <c r="AZ496" s="166" t="s">
        <v>338</v>
      </c>
    </row>
    <row r="497" spans="38:52" hidden="1" x14ac:dyDescent="0.25">
      <c r="AL497" s="15" t="s">
        <v>1038</v>
      </c>
      <c r="AM497" s="15" t="s">
        <v>1006</v>
      </c>
      <c r="AN497" s="163" t="s">
        <v>454</v>
      </c>
      <c r="AO497" s="163" t="s">
        <v>454</v>
      </c>
      <c r="AP497" s="163" t="s">
        <v>688</v>
      </c>
      <c r="AQ497" s="163" t="s">
        <v>544</v>
      </c>
      <c r="AR497" s="164"/>
      <c r="AS497" s="163">
        <v>6</v>
      </c>
      <c r="AT497" s="163">
        <v>45</v>
      </c>
      <c r="AU497" s="163" t="s">
        <v>475</v>
      </c>
      <c r="AV497" s="163"/>
      <c r="AW497" s="163"/>
      <c r="AX497" s="168"/>
      <c r="AY497" s="166">
        <v>1</v>
      </c>
      <c r="AZ497" s="166" t="s">
        <v>338</v>
      </c>
    </row>
    <row r="498" spans="38:52" hidden="1" x14ac:dyDescent="0.25">
      <c r="AL498" s="15" t="s">
        <v>1039</v>
      </c>
      <c r="AM498" s="15" t="s">
        <v>1006</v>
      </c>
      <c r="AN498" s="163" t="s">
        <v>704</v>
      </c>
      <c r="AO498" s="163" t="s">
        <v>704</v>
      </c>
      <c r="AP498" s="163" t="s">
        <v>395</v>
      </c>
      <c r="AQ498" s="163" t="s">
        <v>452</v>
      </c>
      <c r="AR498" s="164"/>
      <c r="AS498" s="163">
        <v>9</v>
      </c>
      <c r="AT498" s="163">
        <v>20</v>
      </c>
      <c r="AU498" s="171" t="s">
        <v>353</v>
      </c>
      <c r="AV498" s="163"/>
      <c r="AW498" s="163"/>
      <c r="AX498" s="168"/>
      <c r="AY498" s="166">
        <v>1</v>
      </c>
      <c r="AZ498" s="166" t="s">
        <v>326</v>
      </c>
    </row>
    <row r="499" spans="38:52" hidden="1" x14ac:dyDescent="0.25">
      <c r="AL499" s="166" t="s">
        <v>1040</v>
      </c>
      <c r="AM499" s="166" t="s">
        <v>1006</v>
      </c>
      <c r="AN499" s="165" t="s">
        <v>704</v>
      </c>
      <c r="AO499" s="165"/>
      <c r="AP499" s="165" t="s">
        <v>452</v>
      </c>
      <c r="AQ499" s="165" t="s">
        <v>376</v>
      </c>
      <c r="AR499" s="167"/>
      <c r="AS499" s="165" t="s">
        <v>1041</v>
      </c>
      <c r="AT499" s="165">
        <v>50</v>
      </c>
      <c r="AU499" s="165" t="s">
        <v>353</v>
      </c>
      <c r="AV499" s="165"/>
      <c r="AW499" s="165"/>
      <c r="AX499" s="168" t="s">
        <v>1042</v>
      </c>
      <c r="AY499" s="166">
        <v>1</v>
      </c>
      <c r="AZ499" s="166" t="s">
        <v>326</v>
      </c>
    </row>
    <row r="500" spans="38:52" hidden="1" x14ac:dyDescent="0.25">
      <c r="AL500" s="15" t="s">
        <v>1043</v>
      </c>
      <c r="AM500" s="166" t="s">
        <v>1006</v>
      </c>
      <c r="AN500" s="163" t="s">
        <v>707</v>
      </c>
      <c r="AO500" s="171">
        <v>7.75</v>
      </c>
      <c r="AP500" s="163" t="s">
        <v>452</v>
      </c>
      <c r="AQ500" s="163" t="s">
        <v>1030</v>
      </c>
      <c r="AR500" s="164"/>
      <c r="AS500" s="163">
        <v>9</v>
      </c>
      <c r="AT500" s="163">
        <v>120</v>
      </c>
      <c r="AU500" s="163" t="s">
        <v>453</v>
      </c>
      <c r="AV500" s="163">
        <v>4</v>
      </c>
      <c r="AW500" s="163">
        <v>2</v>
      </c>
      <c r="AX500" s="168" t="s">
        <v>1031</v>
      </c>
      <c r="AY500" s="166">
        <v>1</v>
      </c>
      <c r="AZ500" s="166" t="s">
        <v>326</v>
      </c>
    </row>
    <row r="501" spans="38:52" hidden="1" x14ac:dyDescent="0.25">
      <c r="AL501" s="166" t="s">
        <v>1044</v>
      </c>
      <c r="AM501" s="166" t="s">
        <v>1045</v>
      </c>
      <c r="AN501" s="165">
        <v>4</v>
      </c>
      <c r="AO501" s="165">
        <v>3</v>
      </c>
      <c r="AP501" s="165" t="s">
        <v>544</v>
      </c>
      <c r="AQ501" s="165" t="s">
        <v>321</v>
      </c>
      <c r="AR501" s="167"/>
      <c r="AS501" s="165" t="s">
        <v>529</v>
      </c>
      <c r="AT501" s="165">
        <v>40</v>
      </c>
      <c r="AU501" s="165" t="s">
        <v>330</v>
      </c>
      <c r="AV501" s="165" t="s">
        <v>325</v>
      </c>
      <c r="AW501" s="165" t="s">
        <v>737</v>
      </c>
      <c r="AX501" s="168" t="s">
        <v>331</v>
      </c>
      <c r="AY501" s="166">
        <v>1</v>
      </c>
      <c r="AZ501" s="166" t="s">
        <v>326</v>
      </c>
    </row>
    <row r="502" spans="38:52" hidden="1" x14ac:dyDescent="0.25">
      <c r="AL502" s="166" t="s">
        <v>1046</v>
      </c>
      <c r="AM502" s="166" t="s">
        <v>1045</v>
      </c>
      <c r="AN502" s="165">
        <v>4</v>
      </c>
      <c r="AO502" s="165"/>
      <c r="AP502" s="165" t="s">
        <v>544</v>
      </c>
      <c r="AQ502" s="165" t="s">
        <v>361</v>
      </c>
      <c r="AR502" s="167"/>
      <c r="AS502" s="165" t="s">
        <v>529</v>
      </c>
      <c r="AT502" s="165">
        <v>70</v>
      </c>
      <c r="AU502" s="165" t="s">
        <v>363</v>
      </c>
      <c r="AV502" s="172">
        <v>2.75</v>
      </c>
      <c r="AW502" s="165" t="s">
        <v>737</v>
      </c>
      <c r="AX502" s="168" t="s">
        <v>331</v>
      </c>
      <c r="AY502" s="166">
        <v>1</v>
      </c>
      <c r="AZ502" s="166" t="s">
        <v>326</v>
      </c>
    </row>
    <row r="503" spans="38:52" hidden="1" x14ac:dyDescent="0.25">
      <c r="AL503" s="166" t="s">
        <v>1047</v>
      </c>
      <c r="AM503" s="166" t="s">
        <v>1045</v>
      </c>
      <c r="AN503" s="165">
        <v>4</v>
      </c>
      <c r="AO503" s="165"/>
      <c r="AP503" s="165" t="s">
        <v>544</v>
      </c>
      <c r="AQ503" s="165" t="s">
        <v>335</v>
      </c>
      <c r="AR503" s="167"/>
      <c r="AS503" s="165" t="s">
        <v>529</v>
      </c>
      <c r="AT503" s="165">
        <v>53</v>
      </c>
      <c r="AU503" s="165" t="s">
        <v>330</v>
      </c>
      <c r="AV503" s="165" t="s">
        <v>325</v>
      </c>
      <c r="AW503" s="165" t="s">
        <v>737</v>
      </c>
      <c r="AX503" s="168" t="s">
        <v>331</v>
      </c>
      <c r="AY503" s="166">
        <v>1</v>
      </c>
      <c r="AZ503" s="166" t="s">
        <v>326</v>
      </c>
    </row>
    <row r="504" spans="38:52" hidden="1" x14ac:dyDescent="0.25">
      <c r="AL504" s="166" t="s">
        <v>1048</v>
      </c>
      <c r="AM504" s="166" t="s">
        <v>1045</v>
      </c>
      <c r="AN504" s="165">
        <v>4</v>
      </c>
      <c r="AO504" s="165"/>
      <c r="AP504" s="165" t="s">
        <v>544</v>
      </c>
      <c r="AQ504" s="165" t="s">
        <v>361</v>
      </c>
      <c r="AR504" s="167"/>
      <c r="AS504" s="165" t="s">
        <v>529</v>
      </c>
      <c r="AT504" s="165">
        <v>88</v>
      </c>
      <c r="AU504" s="165" t="s">
        <v>353</v>
      </c>
      <c r="AV504" s="172">
        <v>2.75</v>
      </c>
      <c r="AW504" s="165" t="s">
        <v>737</v>
      </c>
      <c r="AX504" s="168" t="s">
        <v>331</v>
      </c>
      <c r="AY504" s="166">
        <v>1</v>
      </c>
      <c r="AZ504" s="166" t="s">
        <v>326</v>
      </c>
    </row>
    <row r="505" spans="38:52" hidden="1" x14ac:dyDescent="0.25">
      <c r="AL505" s="15" t="s">
        <v>1049</v>
      </c>
      <c r="AM505" s="15" t="s">
        <v>1045</v>
      </c>
      <c r="AN505" s="171">
        <v>4.25</v>
      </c>
      <c r="AO505" s="171">
        <v>3.5</v>
      </c>
      <c r="AP505" s="163" t="s">
        <v>1050</v>
      </c>
      <c r="AQ505" s="163" t="s">
        <v>1051</v>
      </c>
      <c r="AR505" s="164"/>
      <c r="AS505" s="163" t="s">
        <v>1052</v>
      </c>
      <c r="AT505" s="163">
        <v>49.5</v>
      </c>
      <c r="AU505" s="171">
        <v>1.75</v>
      </c>
      <c r="AV505" s="181" t="s">
        <v>1053</v>
      </c>
      <c r="AW505" s="163"/>
      <c r="AX505" s="168" t="s">
        <v>1054</v>
      </c>
      <c r="AY505" s="166"/>
      <c r="AZ505" s="166"/>
    </row>
    <row r="506" spans="38:52" hidden="1" x14ac:dyDescent="0.25">
      <c r="AL506" s="15" t="s">
        <v>1055</v>
      </c>
      <c r="AM506" s="15" t="s">
        <v>1045</v>
      </c>
      <c r="AN506" s="163">
        <v>4.5</v>
      </c>
      <c r="AO506" s="163">
        <v>3.5</v>
      </c>
      <c r="AP506" s="163" t="s">
        <v>1056</v>
      </c>
      <c r="AQ506" s="163" t="s">
        <v>1057</v>
      </c>
      <c r="AR506" s="164"/>
      <c r="AS506" s="163" t="s">
        <v>1041</v>
      </c>
      <c r="AT506" s="163">
        <v>24</v>
      </c>
      <c r="AU506" s="171">
        <v>1.75</v>
      </c>
      <c r="AV506" s="163"/>
      <c r="AW506" s="163"/>
      <c r="AX506" s="168"/>
      <c r="AY506" s="166"/>
      <c r="AZ506" s="166"/>
    </row>
    <row r="507" spans="38:52" hidden="1" x14ac:dyDescent="0.25">
      <c r="AL507" s="15" t="s">
        <v>1058</v>
      </c>
      <c r="AM507" s="15" t="s">
        <v>1045</v>
      </c>
      <c r="AN507" s="171">
        <v>4.75</v>
      </c>
      <c r="AO507" s="171">
        <v>4.75</v>
      </c>
      <c r="AP507" s="163" t="s">
        <v>376</v>
      </c>
      <c r="AQ507" s="163" t="s">
        <v>1037</v>
      </c>
      <c r="AR507" s="164"/>
      <c r="AS507" s="163" t="s">
        <v>571</v>
      </c>
      <c r="AT507" s="163">
        <v>47</v>
      </c>
      <c r="AU507" s="163" t="s">
        <v>475</v>
      </c>
      <c r="AV507" s="163">
        <v>4</v>
      </c>
      <c r="AW507" s="163">
        <v>2</v>
      </c>
      <c r="AX507" s="168" t="s">
        <v>893</v>
      </c>
      <c r="AY507" s="166">
        <v>1</v>
      </c>
      <c r="AZ507" s="166" t="s">
        <v>326</v>
      </c>
    </row>
    <row r="508" spans="38:52" hidden="1" x14ac:dyDescent="0.25">
      <c r="AL508" s="166" t="s">
        <v>1059</v>
      </c>
      <c r="AM508" s="166" t="s">
        <v>1045</v>
      </c>
      <c r="AN508" s="165">
        <v>5</v>
      </c>
      <c r="AO508" s="165">
        <v>5</v>
      </c>
      <c r="AP508" s="165" t="s">
        <v>376</v>
      </c>
      <c r="AQ508" s="165" t="s">
        <v>395</v>
      </c>
      <c r="AR508" s="167"/>
      <c r="AS508" s="165">
        <v>16</v>
      </c>
      <c r="AT508" s="165">
        <v>71</v>
      </c>
      <c r="AU508" s="165" t="s">
        <v>324</v>
      </c>
      <c r="AV508" s="165"/>
      <c r="AW508" s="165"/>
      <c r="AX508" s="168"/>
      <c r="AY508" s="166">
        <v>1</v>
      </c>
      <c r="AZ508" s="166" t="s">
        <v>338</v>
      </c>
    </row>
    <row r="509" spans="38:52" hidden="1" x14ac:dyDescent="0.25">
      <c r="AL509" s="166" t="s">
        <v>1060</v>
      </c>
      <c r="AM509" s="166" t="s">
        <v>1045</v>
      </c>
      <c r="AN509" s="165">
        <v>5</v>
      </c>
      <c r="AO509" s="165">
        <v>5</v>
      </c>
      <c r="AP509" s="165" t="s">
        <v>376</v>
      </c>
      <c r="AQ509" s="165" t="s">
        <v>395</v>
      </c>
      <c r="AR509" s="167"/>
      <c r="AS509" s="165">
        <v>30</v>
      </c>
      <c r="AT509" s="165">
        <v>150</v>
      </c>
      <c r="AU509" s="165" t="s">
        <v>324</v>
      </c>
      <c r="AV509" s="165">
        <v>4</v>
      </c>
      <c r="AW509" s="165" t="s">
        <v>1061</v>
      </c>
      <c r="AX509" s="168"/>
      <c r="AY509" s="166">
        <v>1</v>
      </c>
      <c r="AZ509" s="166" t="s">
        <v>326</v>
      </c>
    </row>
    <row r="510" spans="38:52" hidden="1" x14ac:dyDescent="0.25">
      <c r="AL510" s="166" t="s">
        <v>1062</v>
      </c>
      <c r="AM510" s="166" t="s">
        <v>1045</v>
      </c>
      <c r="AN510" s="165">
        <v>5</v>
      </c>
      <c r="AO510" s="165">
        <v>5</v>
      </c>
      <c r="AP510" s="165" t="s">
        <v>376</v>
      </c>
      <c r="AQ510" s="165" t="s">
        <v>1063</v>
      </c>
      <c r="AR510" s="167"/>
      <c r="AS510" s="165" t="s">
        <v>761</v>
      </c>
      <c r="AT510" s="165">
        <v>60</v>
      </c>
      <c r="AU510" s="165" t="s">
        <v>324</v>
      </c>
      <c r="AV510" s="165">
        <v>3</v>
      </c>
      <c r="AW510" s="165" t="s">
        <v>737</v>
      </c>
      <c r="AX510" s="168"/>
      <c r="AY510" s="166">
        <v>1</v>
      </c>
      <c r="AZ510" s="166" t="s">
        <v>326</v>
      </c>
    </row>
    <row r="511" spans="38:52" hidden="1" x14ac:dyDescent="0.25">
      <c r="AL511" s="15" t="s">
        <v>1064</v>
      </c>
      <c r="AM511" s="15" t="s">
        <v>1045</v>
      </c>
      <c r="AN511" s="163">
        <v>5</v>
      </c>
      <c r="AO511" s="163">
        <v>5</v>
      </c>
      <c r="AP511" s="163" t="s">
        <v>376</v>
      </c>
      <c r="AQ511" s="163" t="s">
        <v>424</v>
      </c>
      <c r="AR511" s="164"/>
      <c r="AS511" s="163" t="s">
        <v>1065</v>
      </c>
      <c r="AT511" s="163">
        <v>65</v>
      </c>
      <c r="AU511" s="163" t="s">
        <v>1066</v>
      </c>
      <c r="AV511" s="163"/>
      <c r="AW511" s="163"/>
      <c r="AX511" s="168"/>
      <c r="AY511" s="166">
        <v>1</v>
      </c>
      <c r="AZ511" s="166" t="s">
        <v>338</v>
      </c>
    </row>
    <row r="512" spans="38:52" hidden="1" x14ac:dyDescent="0.25">
      <c r="AL512" s="15" t="s">
        <v>1067</v>
      </c>
      <c r="AM512" s="15" t="s">
        <v>1045</v>
      </c>
      <c r="AN512" s="163">
        <v>5</v>
      </c>
      <c r="AO512" s="163">
        <v>5</v>
      </c>
      <c r="AP512" s="163" t="s">
        <v>376</v>
      </c>
      <c r="AQ512" s="163" t="s">
        <v>1068</v>
      </c>
      <c r="AR512" s="164"/>
      <c r="AS512" s="163" t="s">
        <v>1065</v>
      </c>
      <c r="AT512" s="163">
        <v>38</v>
      </c>
      <c r="AU512" s="163" t="s">
        <v>1069</v>
      </c>
      <c r="AV512" s="163"/>
      <c r="AW512" s="163"/>
      <c r="AX512" s="168" t="s">
        <v>403</v>
      </c>
      <c r="AY512" s="166">
        <v>1</v>
      </c>
      <c r="AZ512" s="166" t="s">
        <v>326</v>
      </c>
    </row>
    <row r="513" spans="38:52" hidden="1" x14ac:dyDescent="0.25">
      <c r="AL513" s="15" t="s">
        <v>1070</v>
      </c>
      <c r="AM513" s="15" t="s">
        <v>1045</v>
      </c>
      <c r="AN513" s="163">
        <v>5</v>
      </c>
      <c r="AO513" s="163">
        <v>5</v>
      </c>
      <c r="AP513" s="163" t="s">
        <v>376</v>
      </c>
      <c r="AQ513" s="163" t="s">
        <v>1071</v>
      </c>
      <c r="AR513" s="164"/>
      <c r="AS513" s="163" t="s">
        <v>1072</v>
      </c>
      <c r="AT513" s="163">
        <v>37</v>
      </c>
      <c r="AU513" s="163" t="s">
        <v>324</v>
      </c>
      <c r="AV513" s="163"/>
      <c r="AW513" s="163"/>
      <c r="AX513" s="168" t="s">
        <v>893</v>
      </c>
      <c r="AY513" s="166">
        <v>1</v>
      </c>
      <c r="AZ513" s="166" t="s">
        <v>326</v>
      </c>
    </row>
    <row r="514" spans="38:52" hidden="1" x14ac:dyDescent="0.25">
      <c r="AL514" s="15" t="s">
        <v>1073</v>
      </c>
      <c r="AM514" s="15" t="s">
        <v>1045</v>
      </c>
      <c r="AN514" s="165">
        <v>5</v>
      </c>
      <c r="AO514" s="165">
        <v>5</v>
      </c>
      <c r="AP514" s="165" t="s">
        <v>376</v>
      </c>
      <c r="AQ514" s="165" t="s">
        <v>391</v>
      </c>
      <c r="AR514" s="164"/>
      <c r="AS514" s="163" t="s">
        <v>1074</v>
      </c>
      <c r="AT514" s="165">
        <v>43</v>
      </c>
      <c r="AU514" s="165" t="s">
        <v>324</v>
      </c>
      <c r="AV514" s="163"/>
      <c r="AW514" s="163"/>
      <c r="AX514" s="168" t="s">
        <v>389</v>
      </c>
      <c r="AY514" s="166">
        <v>1</v>
      </c>
      <c r="AZ514" s="166" t="s">
        <v>338</v>
      </c>
    </row>
    <row r="515" spans="38:52" hidden="1" x14ac:dyDescent="0.25">
      <c r="AL515" s="15" t="s">
        <v>1075</v>
      </c>
      <c r="AM515" s="15" t="s">
        <v>1045</v>
      </c>
      <c r="AN515" s="163">
        <v>5</v>
      </c>
      <c r="AO515" s="163">
        <v>5</v>
      </c>
      <c r="AP515" s="163" t="s">
        <v>376</v>
      </c>
      <c r="AQ515" s="163" t="s">
        <v>376</v>
      </c>
      <c r="AR515" s="164"/>
      <c r="AS515" s="163" t="s">
        <v>1074</v>
      </c>
      <c r="AT515" s="163">
        <v>40</v>
      </c>
      <c r="AU515" s="163" t="s">
        <v>324</v>
      </c>
      <c r="AV515" s="163"/>
      <c r="AW515" s="163"/>
      <c r="AX515" s="168"/>
      <c r="AY515" s="166">
        <v>1</v>
      </c>
      <c r="AZ515" s="166" t="s">
        <v>338</v>
      </c>
    </row>
    <row r="516" spans="38:52" hidden="1" x14ac:dyDescent="0.25">
      <c r="AL516" s="15" t="s">
        <v>1076</v>
      </c>
      <c r="AM516" s="15" t="s">
        <v>1045</v>
      </c>
      <c r="AN516" s="163">
        <v>5</v>
      </c>
      <c r="AO516" s="163">
        <v>5</v>
      </c>
      <c r="AP516" s="163" t="s">
        <v>376</v>
      </c>
      <c r="AQ516" s="163" t="s">
        <v>395</v>
      </c>
      <c r="AR516" s="164"/>
      <c r="AS516" s="163" t="s">
        <v>1074</v>
      </c>
      <c r="AT516" s="163">
        <v>40</v>
      </c>
      <c r="AU516" s="163" t="s">
        <v>324</v>
      </c>
      <c r="AV516" s="163"/>
      <c r="AW516" s="163"/>
      <c r="AX516" s="168"/>
      <c r="AY516" s="166">
        <v>1</v>
      </c>
      <c r="AZ516" s="166" t="s">
        <v>338</v>
      </c>
    </row>
    <row r="517" spans="38:52" hidden="1" x14ac:dyDescent="0.25">
      <c r="AL517" s="15" t="s">
        <v>1077</v>
      </c>
      <c r="AM517" s="15" t="s">
        <v>1045</v>
      </c>
      <c r="AN517" s="163">
        <v>5</v>
      </c>
      <c r="AO517" s="163">
        <v>7</v>
      </c>
      <c r="AP517" s="163" t="s">
        <v>513</v>
      </c>
      <c r="AQ517" s="163" t="s">
        <v>395</v>
      </c>
      <c r="AR517" s="164" t="s">
        <v>1078</v>
      </c>
      <c r="AS517" s="163" t="s">
        <v>714</v>
      </c>
      <c r="AT517" s="163"/>
      <c r="AU517" s="163" t="s">
        <v>916</v>
      </c>
      <c r="AV517" s="163">
        <v>3</v>
      </c>
      <c r="AW517" s="163"/>
      <c r="AX517" s="168" t="s">
        <v>397</v>
      </c>
      <c r="AY517" s="166"/>
      <c r="AZ517" s="166"/>
    </row>
    <row r="518" spans="38:52" hidden="1" x14ac:dyDescent="0.25">
      <c r="AL518" s="166" t="s">
        <v>1079</v>
      </c>
      <c r="AM518" s="166" t="s">
        <v>1045</v>
      </c>
      <c r="AN518" s="165">
        <v>5</v>
      </c>
      <c r="AO518" s="165">
        <v>8</v>
      </c>
      <c r="AP518" s="165" t="s">
        <v>376</v>
      </c>
      <c r="AQ518" s="165" t="s">
        <v>513</v>
      </c>
      <c r="AR518" s="167"/>
      <c r="AS518" s="165" t="s">
        <v>1080</v>
      </c>
      <c r="AT518" s="165">
        <v>315</v>
      </c>
      <c r="AU518" s="165" t="s">
        <v>475</v>
      </c>
      <c r="AV518" s="165"/>
      <c r="AW518" s="165"/>
      <c r="AX518" s="168" t="s">
        <v>1081</v>
      </c>
      <c r="AY518" s="166">
        <v>1</v>
      </c>
      <c r="AZ518" s="166" t="s">
        <v>326</v>
      </c>
    </row>
    <row r="519" spans="38:52" hidden="1" x14ac:dyDescent="0.25">
      <c r="AL519" s="166" t="s">
        <v>1082</v>
      </c>
      <c r="AM519" s="166" t="s">
        <v>1045</v>
      </c>
      <c r="AN519" s="165">
        <v>6</v>
      </c>
      <c r="AO519" s="165">
        <v>6</v>
      </c>
      <c r="AP519" s="165" t="s">
        <v>452</v>
      </c>
      <c r="AQ519" s="165" t="s">
        <v>688</v>
      </c>
      <c r="AR519" s="164"/>
      <c r="AS519" s="165" t="s">
        <v>828</v>
      </c>
      <c r="AT519" s="165"/>
      <c r="AU519" s="165" t="s">
        <v>453</v>
      </c>
      <c r="AV519" s="165">
        <v>4</v>
      </c>
      <c r="AW519" s="163" t="s">
        <v>737</v>
      </c>
      <c r="AX519" s="168"/>
      <c r="AY519" s="166">
        <v>1</v>
      </c>
      <c r="AZ519" s="166" t="s">
        <v>536</v>
      </c>
    </row>
    <row r="520" spans="38:52" hidden="1" x14ac:dyDescent="0.25">
      <c r="AL520" s="166" t="s">
        <v>1083</v>
      </c>
      <c r="AM520" s="166" t="s">
        <v>1045</v>
      </c>
      <c r="AN520" s="165">
        <v>6</v>
      </c>
      <c r="AO520" s="165">
        <v>6</v>
      </c>
      <c r="AP520" s="165" t="s">
        <v>376</v>
      </c>
      <c r="AQ520" s="165" t="s">
        <v>452</v>
      </c>
      <c r="AR520" s="167"/>
      <c r="AS520" s="165" t="s">
        <v>828</v>
      </c>
      <c r="AT520" s="165">
        <v>270</v>
      </c>
      <c r="AU520" s="165" t="s">
        <v>324</v>
      </c>
      <c r="AV520" s="165">
        <v>4</v>
      </c>
      <c r="AW520" s="165" t="s">
        <v>583</v>
      </c>
      <c r="AX520" s="168"/>
      <c r="AY520" s="166">
        <v>1</v>
      </c>
      <c r="AZ520" s="166" t="s">
        <v>338</v>
      </c>
    </row>
    <row r="521" spans="38:52" hidden="1" x14ac:dyDescent="0.25">
      <c r="AL521" s="15" t="s">
        <v>1084</v>
      </c>
      <c r="AM521" s="15" t="s">
        <v>1045</v>
      </c>
      <c r="AN521" s="163">
        <v>6</v>
      </c>
      <c r="AO521" s="163">
        <v>6</v>
      </c>
      <c r="AP521" s="163" t="s">
        <v>688</v>
      </c>
      <c r="AQ521" s="163" t="s">
        <v>376</v>
      </c>
      <c r="AR521" s="164"/>
      <c r="AS521" s="163" t="s">
        <v>1041</v>
      </c>
      <c r="AT521" s="163">
        <v>60</v>
      </c>
      <c r="AU521" s="171" t="s">
        <v>1024</v>
      </c>
      <c r="AV521" s="163"/>
      <c r="AW521" s="163"/>
      <c r="AX521" s="168"/>
      <c r="AY521" s="166">
        <v>1</v>
      </c>
      <c r="AZ521" s="166" t="s">
        <v>326</v>
      </c>
    </row>
    <row r="522" spans="38:52" hidden="1" x14ac:dyDescent="0.25">
      <c r="AL522" s="15" t="s">
        <v>1085</v>
      </c>
      <c r="AM522" s="15" t="s">
        <v>1045</v>
      </c>
      <c r="AN522" s="163">
        <v>6</v>
      </c>
      <c r="AO522" s="163">
        <v>6</v>
      </c>
      <c r="AP522" s="163" t="s">
        <v>376</v>
      </c>
      <c r="AQ522" s="163" t="s">
        <v>462</v>
      </c>
      <c r="AR522" s="164"/>
      <c r="AS522" s="163" t="s">
        <v>1074</v>
      </c>
      <c r="AT522" s="163">
        <v>65</v>
      </c>
      <c r="AU522" s="163" t="s">
        <v>324</v>
      </c>
      <c r="AV522" s="163"/>
      <c r="AW522" s="163"/>
      <c r="AX522" s="168"/>
      <c r="AY522" s="166">
        <v>1</v>
      </c>
      <c r="AZ522" s="166" t="s">
        <v>338</v>
      </c>
    </row>
    <row r="523" spans="38:52" hidden="1" x14ac:dyDescent="0.25">
      <c r="AL523" s="166" t="s">
        <v>1086</v>
      </c>
      <c r="AM523" s="166" t="s">
        <v>1045</v>
      </c>
      <c r="AN523" s="165">
        <v>6</v>
      </c>
      <c r="AO523" s="165" t="s">
        <v>454</v>
      </c>
      <c r="AP523" s="165" t="s">
        <v>376</v>
      </c>
      <c r="AQ523" s="165" t="s">
        <v>1087</v>
      </c>
      <c r="AR523" s="167"/>
      <c r="AS523" s="165" t="s">
        <v>1088</v>
      </c>
      <c r="AT523" s="165"/>
      <c r="AU523" s="165" t="s">
        <v>324</v>
      </c>
      <c r="AV523" s="165">
        <v>4</v>
      </c>
      <c r="AW523" s="165" t="s">
        <v>583</v>
      </c>
      <c r="AX523" s="168"/>
      <c r="AY523" s="166">
        <v>1</v>
      </c>
      <c r="AZ523" s="166" t="s">
        <v>326</v>
      </c>
    </row>
    <row r="524" spans="38:52" hidden="1" x14ac:dyDescent="0.25">
      <c r="AL524" s="166" t="s">
        <v>1089</v>
      </c>
      <c r="AM524" s="166" t="s">
        <v>1045</v>
      </c>
      <c r="AN524" s="172">
        <v>6.75</v>
      </c>
      <c r="AO524" s="165"/>
      <c r="AP524" s="165" t="s">
        <v>376</v>
      </c>
      <c r="AQ524" s="165" t="s">
        <v>1090</v>
      </c>
      <c r="AR524" s="167"/>
      <c r="AS524" s="165" t="s">
        <v>1041</v>
      </c>
      <c r="AT524" s="165"/>
      <c r="AU524" s="165" t="s">
        <v>353</v>
      </c>
      <c r="AV524" s="165"/>
      <c r="AW524" s="165"/>
      <c r="AX524" s="168"/>
      <c r="AY524" s="166">
        <v>1</v>
      </c>
      <c r="AZ524" s="166" t="s">
        <v>326</v>
      </c>
    </row>
    <row r="525" spans="38:52" hidden="1" x14ac:dyDescent="0.25">
      <c r="AL525" s="166" t="s">
        <v>1091</v>
      </c>
      <c r="AM525" s="166" t="s">
        <v>1045</v>
      </c>
      <c r="AN525" s="165">
        <v>7</v>
      </c>
      <c r="AO525" s="165">
        <v>4</v>
      </c>
      <c r="AP525" s="165" t="s">
        <v>513</v>
      </c>
      <c r="AQ525" s="165" t="s">
        <v>361</v>
      </c>
      <c r="AR525" s="167"/>
      <c r="AS525" s="165">
        <v>16</v>
      </c>
      <c r="AT525" s="165">
        <v>120</v>
      </c>
      <c r="AU525" s="165" t="s">
        <v>353</v>
      </c>
      <c r="AV525" s="165">
        <v>3</v>
      </c>
      <c r="AW525" s="165" t="s">
        <v>348</v>
      </c>
      <c r="AX525" s="168"/>
      <c r="AY525" s="166">
        <v>1</v>
      </c>
      <c r="AZ525" s="166" t="s">
        <v>326</v>
      </c>
    </row>
    <row r="526" spans="38:52" hidden="1" x14ac:dyDescent="0.25">
      <c r="AL526" s="166" t="s">
        <v>1092</v>
      </c>
      <c r="AM526" s="166" t="s">
        <v>1045</v>
      </c>
      <c r="AN526" s="165">
        <v>7</v>
      </c>
      <c r="AO526" s="172">
        <v>4.75</v>
      </c>
      <c r="AP526" s="165" t="s">
        <v>513</v>
      </c>
      <c r="AQ526" s="165" t="s">
        <v>1093</v>
      </c>
      <c r="AR526" s="167"/>
      <c r="AS526" s="165" t="s">
        <v>571</v>
      </c>
      <c r="AT526" s="165">
        <v>95</v>
      </c>
      <c r="AU526" s="165" t="s">
        <v>623</v>
      </c>
      <c r="AV526" s="165"/>
      <c r="AW526" s="165"/>
      <c r="AX526" s="168"/>
      <c r="AY526" s="166">
        <v>1</v>
      </c>
      <c r="AZ526" s="166" t="s">
        <v>326</v>
      </c>
    </row>
    <row r="527" spans="38:52" hidden="1" x14ac:dyDescent="0.25">
      <c r="AL527" s="166" t="s">
        <v>1094</v>
      </c>
      <c r="AM527" s="166" t="s">
        <v>1045</v>
      </c>
      <c r="AN527" s="165">
        <v>7</v>
      </c>
      <c r="AO527" s="172">
        <v>5.75</v>
      </c>
      <c r="AP527" s="165" t="s">
        <v>513</v>
      </c>
      <c r="AQ527" s="165" t="s">
        <v>376</v>
      </c>
      <c r="AR527" s="167"/>
      <c r="AS527" s="165" t="s">
        <v>735</v>
      </c>
      <c r="AT527" s="165">
        <v>270</v>
      </c>
      <c r="AU527" s="165" t="s">
        <v>475</v>
      </c>
      <c r="AV527" s="165"/>
      <c r="AW527" s="165"/>
      <c r="AX527" s="168" t="s">
        <v>1095</v>
      </c>
      <c r="AY527" s="166">
        <v>1</v>
      </c>
      <c r="AZ527" s="166" t="s">
        <v>326</v>
      </c>
    </row>
    <row r="528" spans="38:52" hidden="1" x14ac:dyDescent="0.25">
      <c r="AL528" s="15" t="s">
        <v>1096</v>
      </c>
      <c r="AM528" s="15" t="s">
        <v>1045</v>
      </c>
      <c r="AN528" s="163">
        <v>7</v>
      </c>
      <c r="AO528" s="171">
        <v>5.75</v>
      </c>
      <c r="AP528" s="163" t="s">
        <v>513</v>
      </c>
      <c r="AQ528" s="163" t="s">
        <v>376</v>
      </c>
      <c r="AR528" s="164"/>
      <c r="AS528" s="163" t="s">
        <v>1074</v>
      </c>
      <c r="AT528" s="163">
        <v>92</v>
      </c>
      <c r="AU528" s="163" t="s">
        <v>475</v>
      </c>
      <c r="AV528" s="165"/>
      <c r="AW528" s="165"/>
      <c r="AX528" s="168" t="s">
        <v>1097</v>
      </c>
      <c r="AY528" s="166">
        <v>1</v>
      </c>
      <c r="AZ528" s="166" t="s">
        <v>326</v>
      </c>
    </row>
    <row r="529" spans="38:52" hidden="1" x14ac:dyDescent="0.25">
      <c r="AL529" s="166" t="s">
        <v>1098</v>
      </c>
      <c r="AM529" s="166" t="s">
        <v>1045</v>
      </c>
      <c r="AN529" s="165">
        <v>7</v>
      </c>
      <c r="AO529" s="165">
        <v>7</v>
      </c>
      <c r="AP529" s="165" t="s">
        <v>376</v>
      </c>
      <c r="AQ529" s="165" t="s">
        <v>452</v>
      </c>
      <c r="AR529" s="164"/>
      <c r="AS529" s="165" t="s">
        <v>885</v>
      </c>
      <c r="AT529" s="165"/>
      <c r="AU529" s="165" t="s">
        <v>353</v>
      </c>
      <c r="AV529" s="165">
        <v>5</v>
      </c>
      <c r="AW529" s="163" t="s">
        <v>1099</v>
      </c>
      <c r="AX529" s="168"/>
      <c r="AY529" s="166">
        <v>1</v>
      </c>
      <c r="AZ529" s="166" t="s">
        <v>326</v>
      </c>
    </row>
    <row r="530" spans="38:52" hidden="1" x14ac:dyDescent="0.25">
      <c r="AL530" s="15" t="s">
        <v>1100</v>
      </c>
      <c r="AM530" s="15" t="s">
        <v>1045</v>
      </c>
      <c r="AN530" s="163">
        <v>7</v>
      </c>
      <c r="AO530" s="163">
        <v>7</v>
      </c>
      <c r="AP530" s="163" t="s">
        <v>513</v>
      </c>
      <c r="AQ530" s="163" t="s">
        <v>452</v>
      </c>
      <c r="AR530" s="164"/>
      <c r="AS530" s="163" t="s">
        <v>735</v>
      </c>
      <c r="AT530" s="163">
        <v>245</v>
      </c>
      <c r="AU530" s="163"/>
      <c r="AV530" s="163"/>
      <c r="AW530" s="163"/>
      <c r="AX530" s="168" t="s">
        <v>478</v>
      </c>
      <c r="AY530" s="166">
        <v>1</v>
      </c>
      <c r="AZ530" s="166" t="s">
        <v>338</v>
      </c>
    </row>
    <row r="531" spans="38:52" hidden="1" x14ac:dyDescent="0.25">
      <c r="AL531" s="15" t="s">
        <v>1101</v>
      </c>
      <c r="AM531" s="166" t="s">
        <v>1045</v>
      </c>
      <c r="AN531" s="163">
        <v>7</v>
      </c>
      <c r="AO531" s="163">
        <v>7</v>
      </c>
      <c r="AP531" s="163" t="s">
        <v>376</v>
      </c>
      <c r="AQ531" s="163" t="s">
        <v>452</v>
      </c>
      <c r="AR531" s="164"/>
      <c r="AS531" s="163" t="s">
        <v>828</v>
      </c>
      <c r="AT531" s="165"/>
      <c r="AU531" s="171" t="s">
        <v>353</v>
      </c>
      <c r="AV531" s="163">
        <v>5</v>
      </c>
      <c r="AW531" s="163" t="s">
        <v>1099</v>
      </c>
      <c r="AX531" s="168" t="s">
        <v>490</v>
      </c>
      <c r="AY531" s="166">
        <v>1</v>
      </c>
      <c r="AZ531" s="166" t="s">
        <v>326</v>
      </c>
    </row>
    <row r="532" spans="38:52" hidden="1" x14ac:dyDescent="0.25">
      <c r="AL532" s="166" t="s">
        <v>1102</v>
      </c>
      <c r="AM532" s="166" t="s">
        <v>1045</v>
      </c>
      <c r="AN532" s="165">
        <v>7</v>
      </c>
      <c r="AO532" s="165">
        <v>7</v>
      </c>
      <c r="AP532" s="165" t="s">
        <v>688</v>
      </c>
      <c r="AQ532" s="165" t="s">
        <v>688</v>
      </c>
      <c r="AR532" s="164"/>
      <c r="AS532" s="165" t="s">
        <v>828</v>
      </c>
      <c r="AT532" s="165"/>
      <c r="AU532" s="165" t="s">
        <v>453</v>
      </c>
      <c r="AV532" s="165">
        <v>5</v>
      </c>
      <c r="AW532" s="163" t="s">
        <v>1099</v>
      </c>
      <c r="AX532" s="168"/>
      <c r="AY532" s="166">
        <v>1</v>
      </c>
      <c r="AZ532" s="166" t="s">
        <v>326</v>
      </c>
    </row>
    <row r="533" spans="38:52" hidden="1" x14ac:dyDescent="0.25">
      <c r="AL533" s="166" t="s">
        <v>1103</v>
      </c>
      <c r="AM533" s="166" t="s">
        <v>1045</v>
      </c>
      <c r="AN533" s="172">
        <v>7</v>
      </c>
      <c r="AO533" s="172">
        <v>7</v>
      </c>
      <c r="AP533" s="165" t="s">
        <v>1104</v>
      </c>
      <c r="AQ533" s="165" t="s">
        <v>1104</v>
      </c>
      <c r="AR533" s="167"/>
      <c r="AS533" s="165" t="s">
        <v>1105</v>
      </c>
      <c r="AT533" s="165"/>
      <c r="AU533" s="172" t="s">
        <v>353</v>
      </c>
      <c r="AV533" s="165"/>
      <c r="AW533" s="165"/>
      <c r="AX533" s="168" t="s">
        <v>490</v>
      </c>
      <c r="AY533" s="166">
        <v>1</v>
      </c>
      <c r="AZ533" s="166" t="s">
        <v>326</v>
      </c>
    </row>
    <row r="534" spans="38:52" hidden="1" x14ac:dyDescent="0.25">
      <c r="AL534" s="166" t="s">
        <v>1106</v>
      </c>
      <c r="AM534" s="166" t="s">
        <v>1045</v>
      </c>
      <c r="AN534" s="165">
        <v>7</v>
      </c>
      <c r="AO534" s="165" t="s">
        <v>394</v>
      </c>
      <c r="AP534" s="165" t="s">
        <v>513</v>
      </c>
      <c r="AQ534" s="165" t="s">
        <v>335</v>
      </c>
      <c r="AR534" s="167"/>
      <c r="AS534" s="165">
        <v>9</v>
      </c>
      <c r="AT534" s="165">
        <v>92</v>
      </c>
      <c r="AU534" s="165" t="s">
        <v>353</v>
      </c>
      <c r="AV534" s="165"/>
      <c r="AW534" s="165"/>
      <c r="AX534" s="168"/>
      <c r="AY534" s="166">
        <v>1</v>
      </c>
      <c r="AZ534" s="166" t="s">
        <v>338</v>
      </c>
    </row>
    <row r="535" spans="38:52" hidden="1" x14ac:dyDescent="0.25">
      <c r="AL535" s="166" t="s">
        <v>1107</v>
      </c>
      <c r="AM535" s="166" t="s">
        <v>1045</v>
      </c>
      <c r="AN535" s="165">
        <v>7</v>
      </c>
      <c r="AO535" s="165" t="s">
        <v>394</v>
      </c>
      <c r="AP535" s="165" t="s">
        <v>513</v>
      </c>
      <c r="AQ535" s="165" t="s">
        <v>376</v>
      </c>
      <c r="AR535" s="167"/>
      <c r="AS535" s="165" t="s">
        <v>1065</v>
      </c>
      <c r="AT535" s="165">
        <v>132</v>
      </c>
      <c r="AU535" s="165" t="s">
        <v>475</v>
      </c>
      <c r="AV535" s="165">
        <v>3</v>
      </c>
      <c r="AW535" s="165" t="s">
        <v>348</v>
      </c>
      <c r="AX535" s="168" t="s">
        <v>1097</v>
      </c>
      <c r="AY535" s="166">
        <v>1</v>
      </c>
      <c r="AZ535" s="166" t="s">
        <v>338</v>
      </c>
    </row>
    <row r="536" spans="38:52" hidden="1" x14ac:dyDescent="0.25">
      <c r="AL536" s="15" t="s">
        <v>1108</v>
      </c>
      <c r="AM536" s="15" t="s">
        <v>1045</v>
      </c>
      <c r="AN536" s="163">
        <v>7</v>
      </c>
      <c r="AO536" s="163" t="s">
        <v>394</v>
      </c>
      <c r="AP536" s="163" t="s">
        <v>513</v>
      </c>
      <c r="AQ536" s="163" t="s">
        <v>544</v>
      </c>
      <c r="AR536" s="164"/>
      <c r="AS536" s="163" t="s">
        <v>1074</v>
      </c>
      <c r="AT536" s="163">
        <v>92</v>
      </c>
      <c r="AU536" s="171" t="s">
        <v>623</v>
      </c>
      <c r="AV536" s="163"/>
      <c r="AW536" s="163"/>
      <c r="AX536" s="168"/>
      <c r="AY536" s="166">
        <v>1</v>
      </c>
      <c r="AZ536" s="166" t="s">
        <v>338</v>
      </c>
    </row>
    <row r="537" spans="38:52" hidden="1" x14ac:dyDescent="0.25">
      <c r="AL537" s="166" t="s">
        <v>1109</v>
      </c>
      <c r="AM537" s="166" t="s">
        <v>1045</v>
      </c>
      <c r="AN537" s="165">
        <v>7</v>
      </c>
      <c r="AO537" s="165" t="s">
        <v>454</v>
      </c>
      <c r="AP537" s="165" t="s">
        <v>513</v>
      </c>
      <c r="AQ537" s="165" t="s">
        <v>376</v>
      </c>
      <c r="AR537" s="167"/>
      <c r="AS537" s="165" t="s">
        <v>735</v>
      </c>
      <c r="AT537" s="165">
        <v>192</v>
      </c>
      <c r="AU537" s="165" t="s">
        <v>475</v>
      </c>
      <c r="AV537" s="165"/>
      <c r="AW537" s="165"/>
      <c r="AX537" s="168"/>
      <c r="AY537" s="166">
        <v>1</v>
      </c>
      <c r="AZ537" s="166" t="s">
        <v>326</v>
      </c>
    </row>
    <row r="538" spans="38:52" hidden="1" x14ac:dyDescent="0.25">
      <c r="AL538" s="166" t="s">
        <v>1110</v>
      </c>
      <c r="AM538" s="166" t="s">
        <v>1045</v>
      </c>
      <c r="AN538" s="165">
        <v>7</v>
      </c>
      <c r="AO538" s="165" t="s">
        <v>454</v>
      </c>
      <c r="AP538" s="165" t="s">
        <v>513</v>
      </c>
      <c r="AQ538" s="165" t="s">
        <v>688</v>
      </c>
      <c r="AR538" s="167"/>
      <c r="AS538" s="165" t="s">
        <v>735</v>
      </c>
      <c r="AT538" s="165">
        <v>260</v>
      </c>
      <c r="AU538" s="165" t="s">
        <v>453</v>
      </c>
      <c r="AV538" s="165">
        <v>4</v>
      </c>
      <c r="AW538" s="165" t="s">
        <v>737</v>
      </c>
      <c r="AX538" s="168" t="s">
        <v>482</v>
      </c>
      <c r="AY538" s="166">
        <v>1</v>
      </c>
      <c r="AZ538" s="166" t="s">
        <v>326</v>
      </c>
    </row>
    <row r="539" spans="38:52" hidden="1" x14ac:dyDescent="0.25">
      <c r="AL539" s="166" t="s">
        <v>1111</v>
      </c>
      <c r="AM539" s="166" t="s">
        <v>1045</v>
      </c>
      <c r="AN539" s="165">
        <v>7</v>
      </c>
      <c r="AO539" s="165" t="s">
        <v>454</v>
      </c>
      <c r="AP539" s="165" t="s">
        <v>513</v>
      </c>
      <c r="AQ539" s="165" t="s">
        <v>376</v>
      </c>
      <c r="AR539" s="167"/>
      <c r="AS539" s="165" t="s">
        <v>1074</v>
      </c>
      <c r="AT539" s="165">
        <v>92</v>
      </c>
      <c r="AU539" s="165" t="s">
        <v>475</v>
      </c>
      <c r="AV539" s="165"/>
      <c r="AW539" s="165"/>
      <c r="AX539" s="168"/>
      <c r="AY539" s="166">
        <v>1</v>
      </c>
      <c r="AZ539" s="166" t="s">
        <v>326</v>
      </c>
    </row>
    <row r="540" spans="38:52" hidden="1" x14ac:dyDescent="0.25">
      <c r="AL540" s="15" t="s">
        <v>1112</v>
      </c>
      <c r="AM540" s="15" t="s">
        <v>1045</v>
      </c>
      <c r="AN540" s="163">
        <v>7</v>
      </c>
      <c r="AO540" s="163" t="s">
        <v>707</v>
      </c>
      <c r="AP540" s="163" t="s">
        <v>513</v>
      </c>
      <c r="AQ540" s="163" t="s">
        <v>452</v>
      </c>
      <c r="AR540" s="164"/>
      <c r="AS540" s="163" t="s">
        <v>885</v>
      </c>
      <c r="AT540" s="163">
        <v>130</v>
      </c>
      <c r="AU540" s="163" t="s">
        <v>475</v>
      </c>
      <c r="AV540" s="163"/>
      <c r="AW540" s="163"/>
      <c r="AX540" s="168"/>
      <c r="AY540" s="166">
        <v>1</v>
      </c>
      <c r="AZ540" s="166" t="s">
        <v>326</v>
      </c>
    </row>
    <row r="541" spans="38:52" hidden="1" x14ac:dyDescent="0.25">
      <c r="AL541" s="166" t="s">
        <v>1113</v>
      </c>
      <c r="AM541" s="166" t="s">
        <v>1045</v>
      </c>
      <c r="AN541" s="165">
        <v>7</v>
      </c>
      <c r="AO541" s="165" t="s">
        <v>707</v>
      </c>
      <c r="AP541" s="165" t="s">
        <v>513</v>
      </c>
      <c r="AQ541" s="165" t="s">
        <v>688</v>
      </c>
      <c r="AR541" s="167"/>
      <c r="AS541" s="165" t="s">
        <v>735</v>
      </c>
      <c r="AT541" s="165">
        <v>260</v>
      </c>
      <c r="AU541" s="165" t="s">
        <v>453</v>
      </c>
      <c r="AV541" s="165">
        <v>4</v>
      </c>
      <c r="AW541" s="165" t="s">
        <v>737</v>
      </c>
      <c r="AX541" s="168"/>
      <c r="AY541" s="166">
        <v>1</v>
      </c>
      <c r="AZ541" s="166" t="s">
        <v>326</v>
      </c>
    </row>
    <row r="542" spans="38:52" hidden="1" x14ac:dyDescent="0.25">
      <c r="AL542" s="166" t="s">
        <v>1114</v>
      </c>
      <c r="AM542" s="166" t="s">
        <v>1045</v>
      </c>
      <c r="AN542" s="172">
        <v>7.625</v>
      </c>
      <c r="AO542" s="172">
        <v>7.625</v>
      </c>
      <c r="AP542" s="165" t="s">
        <v>513</v>
      </c>
      <c r="AQ542" s="165" t="s">
        <v>504</v>
      </c>
      <c r="AR542" s="167"/>
      <c r="AS542" s="165">
        <v>24</v>
      </c>
      <c r="AT542" s="165">
        <v>269</v>
      </c>
      <c r="AU542" s="165" t="s">
        <v>515</v>
      </c>
      <c r="AV542" s="165"/>
      <c r="AW542" s="165"/>
      <c r="AX542" s="168"/>
      <c r="AY542" s="166">
        <v>1</v>
      </c>
      <c r="AZ542" s="166" t="s">
        <v>326</v>
      </c>
    </row>
    <row r="543" spans="38:52" hidden="1" x14ac:dyDescent="0.25">
      <c r="AL543" s="166" t="s">
        <v>1115</v>
      </c>
      <c r="AM543" s="166" t="s">
        <v>1045</v>
      </c>
      <c r="AN543" s="172">
        <v>7.625</v>
      </c>
      <c r="AO543" s="172">
        <v>7.625</v>
      </c>
      <c r="AP543" s="165" t="s">
        <v>504</v>
      </c>
      <c r="AQ543" s="165" t="s">
        <v>806</v>
      </c>
      <c r="AR543" s="164"/>
      <c r="AS543" s="165" t="s">
        <v>761</v>
      </c>
      <c r="AT543" s="165"/>
      <c r="AU543" s="165" t="s">
        <v>453</v>
      </c>
      <c r="AV543" s="165">
        <v>5</v>
      </c>
      <c r="AW543" s="163" t="s">
        <v>737</v>
      </c>
      <c r="AX543" s="168"/>
      <c r="AY543" s="166">
        <v>1</v>
      </c>
      <c r="AZ543" s="166" t="s">
        <v>326</v>
      </c>
    </row>
    <row r="544" spans="38:52" hidden="1" x14ac:dyDescent="0.25">
      <c r="AL544" s="166" t="s">
        <v>1116</v>
      </c>
      <c r="AM544" s="166" t="s">
        <v>1045</v>
      </c>
      <c r="AN544" s="172">
        <v>7.625</v>
      </c>
      <c r="AO544" s="172">
        <v>7.625</v>
      </c>
      <c r="AP544" s="165" t="s">
        <v>376</v>
      </c>
      <c r="AQ544" s="165" t="s">
        <v>504</v>
      </c>
      <c r="AR544" s="164"/>
      <c r="AS544" s="165" t="s">
        <v>885</v>
      </c>
      <c r="AT544" s="165"/>
      <c r="AU544" s="165" t="s">
        <v>353</v>
      </c>
      <c r="AV544" s="165">
        <v>5</v>
      </c>
      <c r="AW544" s="163" t="s">
        <v>737</v>
      </c>
      <c r="AX544" s="168"/>
      <c r="AY544" s="166">
        <v>1</v>
      </c>
      <c r="AZ544" s="166" t="s">
        <v>326</v>
      </c>
    </row>
    <row r="545" spans="38:52" hidden="1" x14ac:dyDescent="0.25">
      <c r="AL545" s="15" t="s">
        <v>1117</v>
      </c>
      <c r="AM545" s="15" t="s">
        <v>1045</v>
      </c>
      <c r="AN545" s="171">
        <v>7.625</v>
      </c>
      <c r="AO545" s="171">
        <v>7.625</v>
      </c>
      <c r="AP545" s="163" t="s">
        <v>806</v>
      </c>
      <c r="AQ545" s="163" t="s">
        <v>504</v>
      </c>
      <c r="AR545" s="164"/>
      <c r="AS545" s="163" t="s">
        <v>735</v>
      </c>
      <c r="AT545" s="163">
        <v>125</v>
      </c>
      <c r="AU545" s="163" t="s">
        <v>515</v>
      </c>
      <c r="AV545" s="163"/>
      <c r="AW545" s="163"/>
      <c r="AX545" s="168"/>
      <c r="AY545" s="166">
        <v>1</v>
      </c>
      <c r="AZ545" s="166" t="s">
        <v>338</v>
      </c>
    </row>
    <row r="546" spans="38:52" hidden="1" x14ac:dyDescent="0.25">
      <c r="AL546" s="15" t="s">
        <v>1118</v>
      </c>
      <c r="AM546" s="15" t="s">
        <v>1045</v>
      </c>
      <c r="AN546" s="171">
        <v>7.625</v>
      </c>
      <c r="AO546" s="171">
        <v>7.625</v>
      </c>
      <c r="AP546" s="163" t="s">
        <v>806</v>
      </c>
      <c r="AQ546" s="163" t="s">
        <v>504</v>
      </c>
      <c r="AR546" s="164"/>
      <c r="AS546" s="163" t="s">
        <v>828</v>
      </c>
      <c r="AT546" s="163">
        <v>395</v>
      </c>
      <c r="AU546" s="163" t="s">
        <v>515</v>
      </c>
      <c r="AV546" s="163">
        <v>6</v>
      </c>
      <c r="AW546" s="163">
        <v>6</v>
      </c>
      <c r="AX546" s="168"/>
      <c r="AY546" s="166">
        <v>1</v>
      </c>
      <c r="AZ546" s="166" t="s">
        <v>405</v>
      </c>
    </row>
    <row r="547" spans="38:52" hidden="1" x14ac:dyDescent="0.25">
      <c r="AL547" s="15" t="s">
        <v>1119</v>
      </c>
      <c r="AM547" s="166" t="s">
        <v>1045</v>
      </c>
      <c r="AN547" s="171">
        <v>7.625</v>
      </c>
      <c r="AO547" s="171">
        <v>7.625</v>
      </c>
      <c r="AP547" s="163" t="s">
        <v>376</v>
      </c>
      <c r="AQ547" s="163" t="s">
        <v>504</v>
      </c>
      <c r="AR547" s="164"/>
      <c r="AS547" s="163" t="s">
        <v>828</v>
      </c>
      <c r="AT547" s="165"/>
      <c r="AU547" s="171" t="s">
        <v>353</v>
      </c>
      <c r="AV547" s="163">
        <v>5</v>
      </c>
      <c r="AW547" s="163" t="s">
        <v>1099</v>
      </c>
      <c r="AX547" s="168" t="s">
        <v>490</v>
      </c>
      <c r="AY547" s="166">
        <v>1</v>
      </c>
      <c r="AZ547" s="166" t="s">
        <v>326</v>
      </c>
    </row>
    <row r="548" spans="38:52" hidden="1" x14ac:dyDescent="0.25">
      <c r="AL548" s="166" t="s">
        <v>1120</v>
      </c>
      <c r="AM548" s="166" t="s">
        <v>1045</v>
      </c>
      <c r="AN548" s="172">
        <v>7.625</v>
      </c>
      <c r="AO548" s="172">
        <v>7.625</v>
      </c>
      <c r="AP548" s="165" t="s">
        <v>513</v>
      </c>
      <c r="AQ548" s="165" t="s">
        <v>504</v>
      </c>
      <c r="AR548" s="164"/>
      <c r="AS548" s="165" t="s">
        <v>828</v>
      </c>
      <c r="AT548" s="165"/>
      <c r="AU548" s="165" t="s">
        <v>1121</v>
      </c>
      <c r="AV548" s="165">
        <v>5</v>
      </c>
      <c r="AW548" s="163" t="s">
        <v>1099</v>
      </c>
      <c r="AX548" s="168"/>
      <c r="AY548" s="166">
        <v>1</v>
      </c>
      <c r="AZ548" s="166" t="s">
        <v>326</v>
      </c>
    </row>
    <row r="549" spans="38:52" hidden="1" x14ac:dyDescent="0.25">
      <c r="AL549" s="15" t="s">
        <v>1122</v>
      </c>
      <c r="AM549" s="15" t="s">
        <v>1045</v>
      </c>
      <c r="AN549" s="171">
        <v>7.625</v>
      </c>
      <c r="AO549" s="171">
        <v>7.625</v>
      </c>
      <c r="AP549" s="163" t="s">
        <v>688</v>
      </c>
      <c r="AQ549" s="163" t="s">
        <v>517</v>
      </c>
      <c r="AR549" s="164"/>
      <c r="AS549" s="163" t="s">
        <v>1105</v>
      </c>
      <c r="AT549" s="163">
        <v>100</v>
      </c>
      <c r="AU549" s="171" t="s">
        <v>1024</v>
      </c>
      <c r="AV549" s="163"/>
      <c r="AW549" s="163"/>
      <c r="AX549" s="168"/>
      <c r="AY549" s="166">
        <v>1</v>
      </c>
      <c r="AZ549" s="166" t="s">
        <v>326</v>
      </c>
    </row>
    <row r="550" spans="38:52" hidden="1" x14ac:dyDescent="0.25">
      <c r="AL550" s="15" t="s">
        <v>1123</v>
      </c>
      <c r="AM550" s="166" t="s">
        <v>1045</v>
      </c>
      <c r="AN550" s="171">
        <v>7.625</v>
      </c>
      <c r="AO550" s="171">
        <v>7.625</v>
      </c>
      <c r="AP550" s="163" t="s">
        <v>504</v>
      </c>
      <c r="AQ550" s="163" t="s">
        <v>504</v>
      </c>
      <c r="AR550" s="164"/>
      <c r="AS550" s="163" t="s">
        <v>1105</v>
      </c>
      <c r="AT550" s="165"/>
      <c r="AU550" s="171" t="s">
        <v>509</v>
      </c>
      <c r="AV550" s="163"/>
      <c r="AW550" s="163"/>
      <c r="AX550" s="168" t="s">
        <v>490</v>
      </c>
      <c r="AY550" s="166">
        <v>1</v>
      </c>
      <c r="AZ550" s="166" t="s">
        <v>326</v>
      </c>
    </row>
    <row r="551" spans="38:52" hidden="1" x14ac:dyDescent="0.25">
      <c r="AL551" s="166" t="s">
        <v>1124</v>
      </c>
      <c r="AM551" s="166" t="s">
        <v>1045</v>
      </c>
      <c r="AN551" s="172">
        <v>7.625</v>
      </c>
      <c r="AO551" s="172">
        <v>7.625</v>
      </c>
      <c r="AP551" s="165" t="s">
        <v>513</v>
      </c>
      <c r="AQ551" s="165" t="s">
        <v>504</v>
      </c>
      <c r="AR551" s="164"/>
      <c r="AS551" s="165" t="s">
        <v>1080</v>
      </c>
      <c r="AT551" s="165"/>
      <c r="AU551" s="165" t="s">
        <v>1125</v>
      </c>
      <c r="AV551" s="165"/>
      <c r="AW551" s="163"/>
      <c r="AX551" s="168"/>
      <c r="AY551" s="166">
        <v>1</v>
      </c>
      <c r="AZ551" s="166" t="s">
        <v>326</v>
      </c>
    </row>
    <row r="552" spans="38:52" hidden="1" x14ac:dyDescent="0.25">
      <c r="AL552" s="166" t="s">
        <v>1126</v>
      </c>
      <c r="AM552" s="166" t="s">
        <v>1045</v>
      </c>
      <c r="AN552" s="172">
        <v>7.625</v>
      </c>
      <c r="AO552" s="165"/>
      <c r="AP552" s="165" t="s">
        <v>806</v>
      </c>
      <c r="AQ552" s="165" t="s">
        <v>504</v>
      </c>
      <c r="AR552" s="167"/>
      <c r="AS552" s="165" t="s">
        <v>866</v>
      </c>
      <c r="AT552" s="165">
        <v>528</v>
      </c>
      <c r="AU552" s="165" t="s">
        <v>515</v>
      </c>
      <c r="AV552" s="165">
        <v>6</v>
      </c>
      <c r="AW552" s="165" t="s">
        <v>583</v>
      </c>
      <c r="AX552" s="168" t="s">
        <v>523</v>
      </c>
      <c r="AY552" s="166">
        <v>1</v>
      </c>
      <c r="AZ552" s="166" t="s">
        <v>338</v>
      </c>
    </row>
    <row r="553" spans="38:52" hidden="1" x14ac:dyDescent="0.25">
      <c r="AL553" s="166" t="s">
        <v>1127</v>
      </c>
      <c r="AM553" s="166" t="s">
        <v>1045</v>
      </c>
      <c r="AN553" s="172">
        <v>7.875</v>
      </c>
      <c r="AO553" s="172">
        <v>7.875</v>
      </c>
      <c r="AP553" s="165" t="s">
        <v>513</v>
      </c>
      <c r="AQ553" s="165" t="s">
        <v>504</v>
      </c>
      <c r="AR553" s="167"/>
      <c r="AS553" s="165">
        <v>24</v>
      </c>
      <c r="AT553" s="165">
        <v>266</v>
      </c>
      <c r="AU553" s="165" t="s">
        <v>515</v>
      </c>
      <c r="AV553" s="165">
        <v>6</v>
      </c>
      <c r="AW553" s="165" t="s">
        <v>1099</v>
      </c>
      <c r="AX553" s="168"/>
      <c r="AY553" s="166">
        <v>1</v>
      </c>
      <c r="AZ553" s="166" t="s">
        <v>326</v>
      </c>
    </row>
    <row r="554" spans="38:52" hidden="1" x14ac:dyDescent="0.25">
      <c r="AL554" s="15" t="s">
        <v>1128</v>
      </c>
      <c r="AM554" s="15" t="s">
        <v>1045</v>
      </c>
      <c r="AN554" s="163">
        <v>8</v>
      </c>
      <c r="AO554" s="163">
        <v>8</v>
      </c>
      <c r="AP554" s="163" t="s">
        <v>513</v>
      </c>
      <c r="AQ554" s="163" t="s">
        <v>504</v>
      </c>
      <c r="AR554" s="164"/>
      <c r="AS554" s="163" t="s">
        <v>735</v>
      </c>
      <c r="AT554" s="163">
        <v>290</v>
      </c>
      <c r="AU554" s="163" t="s">
        <v>515</v>
      </c>
      <c r="AV554" s="163"/>
      <c r="AW554" s="163"/>
      <c r="AX554" s="168" t="s">
        <v>1129</v>
      </c>
      <c r="AY554" s="166">
        <v>1</v>
      </c>
      <c r="AZ554" s="166" t="s">
        <v>338</v>
      </c>
    </row>
    <row r="555" spans="38:52" hidden="1" x14ac:dyDescent="0.25">
      <c r="AL555" s="15" t="s">
        <v>1130</v>
      </c>
      <c r="AM555" s="15" t="s">
        <v>1045</v>
      </c>
      <c r="AN555" s="171">
        <v>8.625</v>
      </c>
      <c r="AO555" s="171">
        <v>8.625</v>
      </c>
      <c r="AP555" s="163" t="s">
        <v>806</v>
      </c>
      <c r="AQ555" s="163" t="s">
        <v>504</v>
      </c>
      <c r="AR555" s="164"/>
      <c r="AS555" s="163" t="s">
        <v>735</v>
      </c>
      <c r="AT555" s="163">
        <v>345</v>
      </c>
      <c r="AU555" s="163" t="s">
        <v>515</v>
      </c>
      <c r="AV555" s="163">
        <v>7</v>
      </c>
      <c r="AW555" s="163">
        <v>5</v>
      </c>
      <c r="AX555" s="168"/>
      <c r="AY555" s="166">
        <v>1</v>
      </c>
      <c r="AZ555" s="166" t="s">
        <v>338</v>
      </c>
    </row>
    <row r="556" spans="38:52" hidden="1" x14ac:dyDescent="0.25">
      <c r="AL556" s="15" t="s">
        <v>1131</v>
      </c>
      <c r="AM556" s="15" t="s">
        <v>1045</v>
      </c>
      <c r="AN556" s="171">
        <v>8.625</v>
      </c>
      <c r="AO556" s="171">
        <v>8.625</v>
      </c>
      <c r="AP556" s="163" t="s">
        <v>513</v>
      </c>
      <c r="AQ556" s="163" t="s">
        <v>504</v>
      </c>
      <c r="AR556" s="164"/>
      <c r="AS556" s="163" t="s">
        <v>735</v>
      </c>
      <c r="AT556" s="163">
        <v>348</v>
      </c>
      <c r="AU556" s="163" t="s">
        <v>515</v>
      </c>
      <c r="AV556" s="163">
        <v>7</v>
      </c>
      <c r="AW556" s="163" t="s">
        <v>1099</v>
      </c>
      <c r="AX556" s="168"/>
      <c r="AY556" s="166">
        <v>1</v>
      </c>
      <c r="AZ556" s="166" t="s">
        <v>326</v>
      </c>
    </row>
    <row r="557" spans="38:52" hidden="1" x14ac:dyDescent="0.25">
      <c r="AL557" s="15" t="s">
        <v>1132</v>
      </c>
      <c r="AM557" s="15" t="s">
        <v>1045</v>
      </c>
      <c r="AN557" s="171">
        <v>8.625</v>
      </c>
      <c r="AO557" s="171">
        <v>8.625</v>
      </c>
      <c r="AP557" s="163" t="s">
        <v>806</v>
      </c>
      <c r="AQ557" s="163" t="s">
        <v>504</v>
      </c>
      <c r="AR557" s="164"/>
      <c r="AS557" s="163" t="s">
        <v>828</v>
      </c>
      <c r="AT557" s="163">
        <v>517</v>
      </c>
      <c r="AU557" s="163" t="s">
        <v>515</v>
      </c>
      <c r="AV557" s="163">
        <v>7</v>
      </c>
      <c r="AW557" s="163">
        <v>5</v>
      </c>
      <c r="AX557" s="168"/>
      <c r="AY557" s="166">
        <v>1</v>
      </c>
      <c r="AZ557" s="166" t="s">
        <v>338</v>
      </c>
    </row>
    <row r="558" spans="38:52" hidden="1" x14ac:dyDescent="0.25">
      <c r="AL558" s="166" t="s">
        <v>1133</v>
      </c>
      <c r="AM558" s="166" t="s">
        <v>1045</v>
      </c>
      <c r="AN558" s="172">
        <v>8.625</v>
      </c>
      <c r="AO558" s="172">
        <v>8.625</v>
      </c>
      <c r="AP558" s="165" t="s">
        <v>806</v>
      </c>
      <c r="AQ558" s="165" t="s">
        <v>504</v>
      </c>
      <c r="AR558" s="167"/>
      <c r="AS558" s="165" t="s">
        <v>866</v>
      </c>
      <c r="AT558" s="165">
        <v>603</v>
      </c>
      <c r="AU558" s="165" t="s">
        <v>515</v>
      </c>
      <c r="AV558" s="165">
        <v>7</v>
      </c>
      <c r="AW558" s="165" t="s">
        <v>583</v>
      </c>
      <c r="AX558" s="168" t="s">
        <v>523</v>
      </c>
      <c r="AY558" s="166">
        <v>1</v>
      </c>
      <c r="AZ558" s="166" t="s">
        <v>326</v>
      </c>
    </row>
    <row r="559" spans="38:52" hidden="1" x14ac:dyDescent="0.25">
      <c r="AL559" s="15" t="s">
        <v>1134</v>
      </c>
      <c r="AM559" s="166" t="s">
        <v>1045</v>
      </c>
      <c r="AN559" s="171">
        <v>8.625</v>
      </c>
      <c r="AO559" s="171">
        <v>8.625</v>
      </c>
      <c r="AP559" s="163" t="s">
        <v>513</v>
      </c>
      <c r="AQ559" s="163" t="s">
        <v>504</v>
      </c>
      <c r="AR559" s="164"/>
      <c r="AS559" s="163" t="s">
        <v>1074</v>
      </c>
      <c r="AT559" s="163">
        <v>75</v>
      </c>
      <c r="AU559" s="163" t="s">
        <v>515</v>
      </c>
      <c r="AV559" s="163"/>
      <c r="AW559" s="163"/>
      <c r="AX559" s="168"/>
      <c r="AY559" s="166">
        <v>1</v>
      </c>
      <c r="AZ559" s="166" t="s">
        <v>326</v>
      </c>
    </row>
    <row r="560" spans="38:52" hidden="1" x14ac:dyDescent="0.25">
      <c r="AL560" s="15" t="s">
        <v>1135</v>
      </c>
      <c r="AM560" s="15" t="s">
        <v>1045</v>
      </c>
      <c r="AN560" s="163">
        <v>9</v>
      </c>
      <c r="AO560" s="163">
        <v>9</v>
      </c>
      <c r="AP560" s="163" t="s">
        <v>513</v>
      </c>
      <c r="AQ560" s="163" t="s">
        <v>504</v>
      </c>
      <c r="AR560" s="164"/>
      <c r="AS560" s="163" t="s">
        <v>735</v>
      </c>
      <c r="AT560" s="163">
        <v>463</v>
      </c>
      <c r="AU560" s="163" t="s">
        <v>515</v>
      </c>
      <c r="AV560" s="163">
        <v>7</v>
      </c>
      <c r="AW560" s="163" t="s">
        <v>1099</v>
      </c>
      <c r="AX560" s="168"/>
      <c r="AY560" s="166">
        <v>1</v>
      </c>
      <c r="AZ560" s="166" t="s">
        <v>357</v>
      </c>
    </row>
    <row r="561" spans="38:52" hidden="1" x14ac:dyDescent="0.25">
      <c r="AL561" s="166" t="s">
        <v>1136</v>
      </c>
      <c r="AM561" s="166" t="s">
        <v>1045</v>
      </c>
      <c r="AN561" s="172">
        <v>9.625</v>
      </c>
      <c r="AO561" s="172">
        <v>9.625</v>
      </c>
      <c r="AP561" s="165" t="s">
        <v>504</v>
      </c>
      <c r="AQ561" s="165" t="s">
        <v>504</v>
      </c>
      <c r="AR561" s="167"/>
      <c r="AS561" s="165">
        <v>13</v>
      </c>
      <c r="AT561" s="165">
        <v>270</v>
      </c>
      <c r="AU561" s="165" t="s">
        <v>515</v>
      </c>
      <c r="AV561" s="165">
        <v>7</v>
      </c>
      <c r="AW561" s="165" t="s">
        <v>348</v>
      </c>
      <c r="AX561" s="168" t="s">
        <v>1137</v>
      </c>
      <c r="AY561" s="166">
        <v>1</v>
      </c>
      <c r="AZ561" s="166" t="s">
        <v>326</v>
      </c>
    </row>
    <row r="562" spans="38:52" hidden="1" x14ac:dyDescent="0.25">
      <c r="AL562" s="15" t="s">
        <v>1138</v>
      </c>
      <c r="AM562" s="15" t="s">
        <v>1045</v>
      </c>
      <c r="AN562" s="171">
        <v>9.625</v>
      </c>
      <c r="AO562" s="171">
        <v>9.625</v>
      </c>
      <c r="AP562" s="163" t="s">
        <v>513</v>
      </c>
      <c r="AQ562" s="163" t="s">
        <v>504</v>
      </c>
      <c r="AR562" s="164"/>
      <c r="AS562" s="163" t="s">
        <v>735</v>
      </c>
      <c r="AT562" s="163">
        <v>477</v>
      </c>
      <c r="AU562" s="163" t="s">
        <v>515</v>
      </c>
      <c r="AV562" s="163">
        <v>7</v>
      </c>
      <c r="AW562" s="163" t="s">
        <v>1099</v>
      </c>
      <c r="AX562" s="168"/>
      <c r="AY562" s="166">
        <v>1</v>
      </c>
      <c r="AZ562" s="166" t="s">
        <v>326</v>
      </c>
    </row>
    <row r="563" spans="38:52" hidden="1" x14ac:dyDescent="0.25">
      <c r="AL563" s="166" t="s">
        <v>1139</v>
      </c>
      <c r="AM563" s="166" t="s">
        <v>1045</v>
      </c>
      <c r="AN563" s="172">
        <v>9.625</v>
      </c>
      <c r="AO563" s="172">
        <v>9.625</v>
      </c>
      <c r="AP563" s="165" t="s">
        <v>806</v>
      </c>
      <c r="AQ563" s="165" t="s">
        <v>504</v>
      </c>
      <c r="AR563" s="167"/>
      <c r="AS563" s="165" t="s">
        <v>866</v>
      </c>
      <c r="AT563" s="165">
        <v>835</v>
      </c>
      <c r="AU563" s="165" t="s">
        <v>515</v>
      </c>
      <c r="AV563" s="165">
        <v>7</v>
      </c>
      <c r="AW563" s="165" t="s">
        <v>583</v>
      </c>
      <c r="AX563" s="168" t="s">
        <v>523</v>
      </c>
      <c r="AY563" s="166">
        <v>1</v>
      </c>
      <c r="AZ563" s="166" t="s">
        <v>326</v>
      </c>
    </row>
    <row r="564" spans="38:52" hidden="1" x14ac:dyDescent="0.25">
      <c r="AL564" s="166" t="s">
        <v>1140</v>
      </c>
      <c r="AM564" s="166" t="s">
        <v>1045</v>
      </c>
      <c r="AN564" s="172">
        <v>9.625</v>
      </c>
      <c r="AO564" s="172">
        <v>9.625</v>
      </c>
      <c r="AP564" s="165" t="s">
        <v>806</v>
      </c>
      <c r="AQ564" s="165" t="s">
        <v>1141</v>
      </c>
      <c r="AR564" s="167"/>
      <c r="AS564" s="165" t="s">
        <v>866</v>
      </c>
      <c r="AT564" s="165">
        <v>830</v>
      </c>
      <c r="AU564" s="172" t="s">
        <v>1142</v>
      </c>
      <c r="AV564" s="165">
        <v>7</v>
      </c>
      <c r="AW564" s="165">
        <v>6</v>
      </c>
      <c r="AX564" s="168" t="s">
        <v>523</v>
      </c>
      <c r="AY564" s="166">
        <v>1</v>
      </c>
      <c r="AZ564" s="166" t="s">
        <v>338</v>
      </c>
    </row>
    <row r="565" spans="38:52" hidden="1" x14ac:dyDescent="0.25">
      <c r="AL565" s="166" t="s">
        <v>1143</v>
      </c>
      <c r="AM565" s="166" t="s">
        <v>1045</v>
      </c>
      <c r="AN565" s="165">
        <v>10</v>
      </c>
      <c r="AO565" s="165">
        <v>10</v>
      </c>
      <c r="AP565" s="165" t="s">
        <v>806</v>
      </c>
      <c r="AQ565" s="165" t="s">
        <v>504</v>
      </c>
      <c r="AR565" s="167"/>
      <c r="AS565" s="165" t="s">
        <v>866</v>
      </c>
      <c r="AT565" s="165">
        <v>850</v>
      </c>
      <c r="AU565" s="165" t="s">
        <v>515</v>
      </c>
      <c r="AV565" s="165">
        <v>8</v>
      </c>
      <c r="AW565" s="165" t="s">
        <v>583</v>
      </c>
      <c r="AX565" s="168" t="s">
        <v>523</v>
      </c>
      <c r="AY565" s="166">
        <v>1</v>
      </c>
      <c r="AZ565" s="166" t="s">
        <v>326</v>
      </c>
    </row>
    <row r="566" spans="38:52" hidden="1" x14ac:dyDescent="0.25">
      <c r="AL566" s="15" t="s">
        <v>1144</v>
      </c>
      <c r="AM566" s="15" t="s">
        <v>1045</v>
      </c>
      <c r="AN566" s="171">
        <v>10.75</v>
      </c>
      <c r="AO566" s="171">
        <v>10.75</v>
      </c>
      <c r="AP566" s="163" t="s">
        <v>806</v>
      </c>
      <c r="AQ566" s="163" t="s">
        <v>570</v>
      </c>
      <c r="AR566" s="164"/>
      <c r="AS566" s="163" t="s">
        <v>1145</v>
      </c>
      <c r="AT566" s="163">
        <v>608</v>
      </c>
      <c r="AU566" s="163" t="s">
        <v>566</v>
      </c>
      <c r="AV566" s="163">
        <v>8</v>
      </c>
      <c r="AW566" s="163">
        <v>6</v>
      </c>
      <c r="AX566" s="168"/>
      <c r="AY566" s="166">
        <v>1</v>
      </c>
      <c r="AZ566" s="166" t="s">
        <v>338</v>
      </c>
    </row>
    <row r="567" spans="38:52" hidden="1" x14ac:dyDescent="0.25">
      <c r="AL567" s="15" t="s">
        <v>1146</v>
      </c>
      <c r="AM567" s="15" t="s">
        <v>1045</v>
      </c>
      <c r="AN567" s="171">
        <v>10.75</v>
      </c>
      <c r="AO567" s="171">
        <v>10.75</v>
      </c>
      <c r="AP567" s="163" t="s">
        <v>806</v>
      </c>
      <c r="AQ567" s="163" t="s">
        <v>570</v>
      </c>
      <c r="AR567" s="164"/>
      <c r="AS567" s="163" t="s">
        <v>828</v>
      </c>
      <c r="AT567" s="163">
        <v>830</v>
      </c>
      <c r="AU567" s="163" t="s">
        <v>566</v>
      </c>
      <c r="AV567" s="163">
        <v>8</v>
      </c>
      <c r="AW567" s="163">
        <v>6</v>
      </c>
      <c r="AX567" s="168"/>
      <c r="AY567" s="166">
        <v>1</v>
      </c>
      <c r="AZ567" s="166" t="s">
        <v>338</v>
      </c>
    </row>
    <row r="568" spans="38:52" hidden="1" x14ac:dyDescent="0.25">
      <c r="AL568" s="166" t="s">
        <v>1147</v>
      </c>
      <c r="AM568" s="166" t="s">
        <v>1045</v>
      </c>
      <c r="AN568" s="172">
        <v>10.75</v>
      </c>
      <c r="AO568" s="172">
        <v>10.75</v>
      </c>
      <c r="AP568" s="165" t="s">
        <v>570</v>
      </c>
      <c r="AQ568" s="165" t="s">
        <v>570</v>
      </c>
      <c r="AR568" s="167"/>
      <c r="AS568" s="165" t="s">
        <v>828</v>
      </c>
      <c r="AT568" s="165">
        <v>829</v>
      </c>
      <c r="AU568" s="165" t="s">
        <v>566</v>
      </c>
      <c r="AV568" s="165">
        <v>7</v>
      </c>
      <c r="AW568" s="165" t="s">
        <v>348</v>
      </c>
      <c r="AX568" s="168" t="s">
        <v>552</v>
      </c>
      <c r="AY568" s="166">
        <v>1</v>
      </c>
      <c r="AZ568" s="166" t="s">
        <v>326</v>
      </c>
    </row>
    <row r="569" spans="38:52" hidden="1" x14ac:dyDescent="0.25">
      <c r="AL569" s="166" t="s">
        <v>1148</v>
      </c>
      <c r="AM569" s="166" t="s">
        <v>1045</v>
      </c>
      <c r="AN569" s="172">
        <v>10.75</v>
      </c>
      <c r="AO569" s="172">
        <v>10.75</v>
      </c>
      <c r="AP569" s="165" t="s">
        <v>806</v>
      </c>
      <c r="AQ569" s="165" t="s">
        <v>570</v>
      </c>
      <c r="AR569" s="167"/>
      <c r="AS569" s="165" t="s">
        <v>866</v>
      </c>
      <c r="AT569" s="165">
        <v>968</v>
      </c>
      <c r="AU569" s="165" t="s">
        <v>515</v>
      </c>
      <c r="AV569" s="165">
        <v>8</v>
      </c>
      <c r="AW569" s="165" t="s">
        <v>583</v>
      </c>
      <c r="AX569" s="168" t="s">
        <v>523</v>
      </c>
      <c r="AY569" s="166">
        <v>1</v>
      </c>
      <c r="AZ569" s="166" t="s">
        <v>326</v>
      </c>
    </row>
    <row r="570" spans="38:52" hidden="1" x14ac:dyDescent="0.25">
      <c r="AL570" s="166" t="s">
        <v>1149</v>
      </c>
      <c r="AM570" s="166" t="s">
        <v>1045</v>
      </c>
      <c r="AN570" s="165" t="s">
        <v>596</v>
      </c>
      <c r="AO570" s="165" t="s">
        <v>596</v>
      </c>
      <c r="AP570" s="165" t="s">
        <v>806</v>
      </c>
      <c r="AQ570" s="165" t="s">
        <v>1026</v>
      </c>
      <c r="AR570" s="167"/>
      <c r="AS570" s="165" t="s">
        <v>866</v>
      </c>
      <c r="AT570" s="165">
        <v>1015</v>
      </c>
      <c r="AU570" s="165" t="s">
        <v>515</v>
      </c>
      <c r="AV570" s="165">
        <v>8</v>
      </c>
      <c r="AW570" s="165">
        <v>6</v>
      </c>
      <c r="AX570" s="168" t="s">
        <v>598</v>
      </c>
      <c r="AY570" s="166">
        <v>1</v>
      </c>
      <c r="AZ570" s="166" t="s">
        <v>326</v>
      </c>
    </row>
    <row r="571" spans="38:52" hidden="1" x14ac:dyDescent="0.25">
      <c r="AL571" s="166" t="s">
        <v>1150</v>
      </c>
      <c r="AM571" s="166" t="s">
        <v>1045</v>
      </c>
      <c r="AN571" s="165" t="s">
        <v>600</v>
      </c>
      <c r="AO571" s="165"/>
      <c r="AP571" s="165" t="s">
        <v>806</v>
      </c>
      <c r="AQ571" s="165" t="s">
        <v>570</v>
      </c>
      <c r="AR571" s="167"/>
      <c r="AS571" s="165" t="s">
        <v>866</v>
      </c>
      <c r="AT571" s="165">
        <v>860</v>
      </c>
      <c r="AU571" s="165" t="s">
        <v>515</v>
      </c>
      <c r="AV571" s="165">
        <v>9</v>
      </c>
      <c r="AW571" s="165" t="s">
        <v>583</v>
      </c>
      <c r="AX571" s="168" t="s">
        <v>881</v>
      </c>
      <c r="AY571" s="166">
        <v>1</v>
      </c>
      <c r="AZ571" s="166" t="s">
        <v>326</v>
      </c>
    </row>
    <row r="572" spans="38:52" hidden="1" x14ac:dyDescent="0.25">
      <c r="AL572" s="15" t="s">
        <v>1151</v>
      </c>
      <c r="AM572" s="15" t="s">
        <v>1045</v>
      </c>
      <c r="AN572" s="163" t="s">
        <v>354</v>
      </c>
      <c r="AO572" s="163" t="s">
        <v>394</v>
      </c>
      <c r="AP572" s="163" t="s">
        <v>376</v>
      </c>
      <c r="AQ572" s="163" t="s">
        <v>688</v>
      </c>
      <c r="AR572" s="164"/>
      <c r="AS572" s="163" t="s">
        <v>1065</v>
      </c>
      <c r="AT572" s="163">
        <v>92</v>
      </c>
      <c r="AU572" s="171" t="s">
        <v>353</v>
      </c>
      <c r="AV572" s="163">
        <v>4</v>
      </c>
      <c r="AW572" s="163">
        <v>2</v>
      </c>
      <c r="AX572" s="168"/>
      <c r="AY572" s="166">
        <v>1</v>
      </c>
      <c r="AZ572" s="166" t="s">
        <v>338</v>
      </c>
    </row>
    <row r="573" spans="38:52" hidden="1" x14ac:dyDescent="0.25">
      <c r="AL573" s="15" t="s">
        <v>1152</v>
      </c>
      <c r="AM573" s="15" t="s">
        <v>1045</v>
      </c>
      <c r="AN573" s="163" t="s">
        <v>671</v>
      </c>
      <c r="AO573" s="163">
        <v>3</v>
      </c>
      <c r="AP573" s="163" t="s">
        <v>376</v>
      </c>
      <c r="AQ573" s="163" t="s">
        <v>335</v>
      </c>
      <c r="AR573" s="164"/>
      <c r="AS573" s="163" t="s">
        <v>1074</v>
      </c>
      <c r="AT573" s="163">
        <v>24</v>
      </c>
      <c r="AU573" s="163" t="s">
        <v>330</v>
      </c>
      <c r="AV573" s="163"/>
      <c r="AW573" s="163"/>
      <c r="AX573" s="168"/>
      <c r="AY573" s="166">
        <v>1</v>
      </c>
      <c r="AZ573" s="166" t="s">
        <v>338</v>
      </c>
    </row>
    <row r="574" spans="38:52" hidden="1" x14ac:dyDescent="0.25">
      <c r="AL574" s="15" t="s">
        <v>1153</v>
      </c>
      <c r="AM574" s="15" t="s">
        <v>1045</v>
      </c>
      <c r="AN574" s="163" t="s">
        <v>671</v>
      </c>
      <c r="AO574" s="163" t="s">
        <v>354</v>
      </c>
      <c r="AP574" s="163" t="s">
        <v>376</v>
      </c>
      <c r="AQ574" s="163" t="s">
        <v>344</v>
      </c>
      <c r="AR574" s="164"/>
      <c r="AS574" s="163" t="s">
        <v>1065</v>
      </c>
      <c r="AT574" s="163">
        <v>48</v>
      </c>
      <c r="AU574" s="171" t="s">
        <v>353</v>
      </c>
      <c r="AV574" s="163"/>
      <c r="AW574" s="163"/>
      <c r="AX574" s="168" t="s">
        <v>1154</v>
      </c>
      <c r="AY574" s="166">
        <v>1</v>
      </c>
      <c r="AZ574" s="166" t="s">
        <v>326</v>
      </c>
    </row>
    <row r="575" spans="38:52" hidden="1" x14ac:dyDescent="0.25">
      <c r="AL575" s="15" t="s">
        <v>1155</v>
      </c>
      <c r="AM575" s="15" t="s">
        <v>1045</v>
      </c>
      <c r="AN575" s="163" t="s">
        <v>671</v>
      </c>
      <c r="AO575" s="163" t="s">
        <v>354</v>
      </c>
      <c r="AP575" s="163" t="s">
        <v>376</v>
      </c>
      <c r="AQ575" s="163" t="s">
        <v>344</v>
      </c>
      <c r="AR575" s="164"/>
      <c r="AS575" s="163" t="s">
        <v>1074</v>
      </c>
      <c r="AT575" s="163">
        <v>24</v>
      </c>
      <c r="AU575" s="171" t="s">
        <v>353</v>
      </c>
      <c r="AV575" s="163"/>
      <c r="AW575" s="163"/>
      <c r="AX575" s="168"/>
      <c r="AY575" s="166">
        <v>1</v>
      </c>
      <c r="AZ575" s="166" t="s">
        <v>338</v>
      </c>
    </row>
    <row r="576" spans="38:52" hidden="1" x14ac:dyDescent="0.25">
      <c r="AL576" s="15" t="s">
        <v>1156</v>
      </c>
      <c r="AM576" s="15" t="s">
        <v>1045</v>
      </c>
      <c r="AN576" s="163" t="s">
        <v>671</v>
      </c>
      <c r="AO576" s="163" t="s">
        <v>671</v>
      </c>
      <c r="AP576" s="163" t="s">
        <v>376</v>
      </c>
      <c r="AQ576" s="163" t="s">
        <v>391</v>
      </c>
      <c r="AR576" s="164"/>
      <c r="AS576" s="163" t="s">
        <v>714</v>
      </c>
      <c r="AT576" s="163">
        <v>63</v>
      </c>
      <c r="AU576" s="163" t="s">
        <v>324</v>
      </c>
      <c r="AV576" s="163">
        <v>3</v>
      </c>
      <c r="AW576" s="163">
        <v>2</v>
      </c>
      <c r="AX576" s="168"/>
      <c r="AY576" s="166">
        <v>1</v>
      </c>
      <c r="AZ576" s="166" t="s">
        <v>338</v>
      </c>
    </row>
    <row r="577" spans="38:52" hidden="1" x14ac:dyDescent="0.25">
      <c r="AL577" s="15" t="s">
        <v>1157</v>
      </c>
      <c r="AM577" s="15" t="s">
        <v>1045</v>
      </c>
      <c r="AN577" s="163" t="s">
        <v>671</v>
      </c>
      <c r="AO577" s="163" t="s">
        <v>671</v>
      </c>
      <c r="AP577" s="163" t="s">
        <v>940</v>
      </c>
      <c r="AQ577" s="163" t="s">
        <v>1158</v>
      </c>
      <c r="AR577" s="164"/>
      <c r="AS577" s="163" t="s">
        <v>1074</v>
      </c>
      <c r="AT577" s="163">
        <v>38</v>
      </c>
      <c r="AU577" s="163" t="s">
        <v>324</v>
      </c>
      <c r="AV577" s="163"/>
      <c r="AW577" s="163"/>
      <c r="AX577" s="168"/>
      <c r="AY577" s="166">
        <v>1</v>
      </c>
      <c r="AZ577" s="166" t="s">
        <v>338</v>
      </c>
    </row>
    <row r="578" spans="38:52" hidden="1" x14ac:dyDescent="0.25">
      <c r="AL578" s="15" t="s">
        <v>1159</v>
      </c>
      <c r="AM578" s="177" t="s">
        <v>1045</v>
      </c>
      <c r="AN578" s="163" t="s">
        <v>394</v>
      </c>
      <c r="AO578" s="163">
        <v>3</v>
      </c>
      <c r="AP578" s="163" t="s">
        <v>361</v>
      </c>
      <c r="AQ578" s="163" t="s">
        <v>321</v>
      </c>
      <c r="AR578" s="164" t="s">
        <v>1160</v>
      </c>
      <c r="AS578" s="179" t="s">
        <v>1161</v>
      </c>
      <c r="AT578" s="163">
        <v>29</v>
      </c>
      <c r="AU578" s="179">
        <v>1.75</v>
      </c>
      <c r="AV578" s="163" t="s">
        <v>325</v>
      </c>
      <c r="AW578" s="163"/>
      <c r="AX578" s="168" t="s">
        <v>1162</v>
      </c>
      <c r="AY578" s="166"/>
      <c r="AZ578" s="166"/>
    </row>
    <row r="579" spans="38:52" hidden="1" x14ac:dyDescent="0.25">
      <c r="AL579" s="166" t="s">
        <v>1163</v>
      </c>
      <c r="AM579" s="166" t="s">
        <v>1045</v>
      </c>
      <c r="AN579" s="165" t="s">
        <v>394</v>
      </c>
      <c r="AO579" s="165">
        <v>3</v>
      </c>
      <c r="AP579" s="165" t="s">
        <v>376</v>
      </c>
      <c r="AQ579" s="165" t="s">
        <v>321</v>
      </c>
      <c r="AR579" s="167"/>
      <c r="AS579" s="165" t="s">
        <v>1074</v>
      </c>
      <c r="AT579" s="165">
        <v>40</v>
      </c>
      <c r="AU579" s="165" t="s">
        <v>324</v>
      </c>
      <c r="AV579" s="165"/>
      <c r="AW579" s="165"/>
      <c r="AX579" s="168"/>
      <c r="AY579" s="166">
        <v>1</v>
      </c>
      <c r="AZ579" s="166" t="s">
        <v>326</v>
      </c>
    </row>
    <row r="580" spans="38:52" hidden="1" x14ac:dyDescent="0.25">
      <c r="AL580" s="15" t="s">
        <v>1164</v>
      </c>
      <c r="AM580" s="15" t="s">
        <v>1045</v>
      </c>
      <c r="AN580" s="163" t="s">
        <v>394</v>
      </c>
      <c r="AO580" s="163">
        <v>4</v>
      </c>
      <c r="AP580" s="178" t="s">
        <v>361</v>
      </c>
      <c r="AQ580" s="163" t="s">
        <v>361</v>
      </c>
      <c r="AR580" s="178" t="s">
        <v>1165</v>
      </c>
      <c r="AS580" s="179" t="s">
        <v>1161</v>
      </c>
      <c r="AT580" s="163">
        <v>37</v>
      </c>
      <c r="AU580" s="163" t="s">
        <v>1166</v>
      </c>
      <c r="AV580" s="179">
        <v>2.75</v>
      </c>
      <c r="AW580" s="163"/>
      <c r="AX580" s="168" t="s">
        <v>1162</v>
      </c>
      <c r="AY580" s="166"/>
      <c r="AZ580" s="166"/>
    </row>
    <row r="581" spans="38:52" hidden="1" x14ac:dyDescent="0.25">
      <c r="AL581" s="15" t="s">
        <v>1167</v>
      </c>
      <c r="AM581" s="15" t="s">
        <v>1045</v>
      </c>
      <c r="AN581" s="163" t="s">
        <v>394</v>
      </c>
      <c r="AO581" s="163">
        <v>4</v>
      </c>
      <c r="AP581" s="178" t="s">
        <v>361</v>
      </c>
      <c r="AQ581" s="163" t="s">
        <v>361</v>
      </c>
      <c r="AR581" s="171" t="s">
        <v>1168</v>
      </c>
      <c r="AS581" s="163" t="s">
        <v>1161</v>
      </c>
      <c r="AT581" s="163">
        <v>33</v>
      </c>
      <c r="AU581" s="171">
        <v>1.75</v>
      </c>
      <c r="AV581" s="171">
        <v>2.75</v>
      </c>
      <c r="AW581" s="163"/>
      <c r="AX581" s="168" t="s">
        <v>1162</v>
      </c>
      <c r="AY581" s="166"/>
      <c r="AZ581" s="166"/>
    </row>
    <row r="582" spans="38:52" hidden="1" x14ac:dyDescent="0.25">
      <c r="AL582" s="15" t="s">
        <v>1169</v>
      </c>
      <c r="AM582" s="15" t="s">
        <v>1045</v>
      </c>
      <c r="AN582" s="163" t="s">
        <v>394</v>
      </c>
      <c r="AO582" s="163">
        <v>4</v>
      </c>
      <c r="AP582" s="163" t="s">
        <v>376</v>
      </c>
      <c r="AQ582" s="163" t="s">
        <v>344</v>
      </c>
      <c r="AR582" s="164"/>
      <c r="AS582" s="163" t="s">
        <v>1065</v>
      </c>
      <c r="AT582" s="163">
        <v>35</v>
      </c>
      <c r="AU582" s="171" t="s">
        <v>353</v>
      </c>
      <c r="AV582" s="163"/>
      <c r="AW582" s="163"/>
      <c r="AX582" s="168"/>
      <c r="AY582" s="166">
        <v>1</v>
      </c>
      <c r="AZ582" s="166" t="s">
        <v>338</v>
      </c>
    </row>
    <row r="583" spans="38:52" hidden="1" x14ac:dyDescent="0.25">
      <c r="AL583" s="15" t="s">
        <v>1170</v>
      </c>
      <c r="AM583" s="15" t="s">
        <v>1045</v>
      </c>
      <c r="AN583" s="163" t="s">
        <v>394</v>
      </c>
      <c r="AO583" s="163">
        <v>4</v>
      </c>
      <c r="AP583" s="163" t="s">
        <v>361</v>
      </c>
      <c r="AQ583" s="163" t="s">
        <v>361</v>
      </c>
      <c r="AR583" s="164"/>
      <c r="AS583" s="163" t="s">
        <v>1065</v>
      </c>
      <c r="AT583" s="163">
        <v>63</v>
      </c>
      <c r="AU583" s="163" t="s">
        <v>324</v>
      </c>
      <c r="AV583" s="163"/>
      <c r="AW583" s="163"/>
      <c r="AX583" s="168" t="s">
        <v>1171</v>
      </c>
      <c r="AY583" s="166">
        <v>1</v>
      </c>
      <c r="AZ583" s="166" t="s">
        <v>326</v>
      </c>
    </row>
    <row r="584" spans="38:52" hidden="1" x14ac:dyDescent="0.25">
      <c r="AL584" s="15" t="s">
        <v>1172</v>
      </c>
      <c r="AM584" s="15" t="s">
        <v>1045</v>
      </c>
      <c r="AN584" s="165" t="s">
        <v>394</v>
      </c>
      <c r="AO584" s="165">
        <v>6</v>
      </c>
      <c r="AP584" s="165" t="s">
        <v>376</v>
      </c>
      <c r="AQ584" s="165" t="s">
        <v>452</v>
      </c>
      <c r="AR584" s="164"/>
      <c r="AS584" s="163" t="s">
        <v>1074</v>
      </c>
      <c r="AT584" s="165">
        <v>55</v>
      </c>
      <c r="AU584" s="165" t="s">
        <v>324</v>
      </c>
      <c r="AV584" s="163"/>
      <c r="AW584" s="163"/>
      <c r="AX584" s="168"/>
      <c r="AY584" s="166">
        <v>1</v>
      </c>
      <c r="AZ584" s="166" t="s">
        <v>357</v>
      </c>
    </row>
    <row r="585" spans="38:52" hidden="1" x14ac:dyDescent="0.25">
      <c r="AL585" s="15" t="s">
        <v>1173</v>
      </c>
      <c r="AM585" s="15" t="s">
        <v>1045</v>
      </c>
      <c r="AN585" s="165" t="s">
        <v>394</v>
      </c>
      <c r="AO585" s="165">
        <v>7</v>
      </c>
      <c r="AP585" s="165" t="s">
        <v>376</v>
      </c>
      <c r="AQ585" s="165" t="s">
        <v>395</v>
      </c>
      <c r="AR585" s="164"/>
      <c r="AS585" s="163" t="s">
        <v>1074</v>
      </c>
      <c r="AT585" s="165">
        <v>55</v>
      </c>
      <c r="AU585" s="165" t="s">
        <v>324</v>
      </c>
      <c r="AV585" s="163"/>
      <c r="AW585" s="163"/>
      <c r="AX585" s="168"/>
      <c r="AY585" s="166">
        <v>1</v>
      </c>
      <c r="AZ585" s="166" t="s">
        <v>338</v>
      </c>
    </row>
    <row r="586" spans="38:52" hidden="1" x14ac:dyDescent="0.25">
      <c r="AL586" s="15" t="s">
        <v>1174</v>
      </c>
      <c r="AM586" s="15" t="s">
        <v>1045</v>
      </c>
      <c r="AN586" s="163" t="s">
        <v>394</v>
      </c>
      <c r="AO586" s="171">
        <v>7.625</v>
      </c>
      <c r="AP586" s="163" t="s">
        <v>376</v>
      </c>
      <c r="AQ586" s="163" t="s">
        <v>504</v>
      </c>
      <c r="AR586" s="164"/>
      <c r="AS586" s="163" t="s">
        <v>761</v>
      </c>
      <c r="AT586" s="163">
        <v>125</v>
      </c>
      <c r="AU586" s="171" t="s">
        <v>1024</v>
      </c>
      <c r="AV586" s="163"/>
      <c r="AW586" s="163"/>
      <c r="AX586" s="168"/>
      <c r="AY586" s="166">
        <v>1</v>
      </c>
      <c r="AZ586" s="166" t="s">
        <v>338</v>
      </c>
    </row>
    <row r="587" spans="38:52" hidden="1" x14ac:dyDescent="0.25">
      <c r="AL587" s="15" t="s">
        <v>1175</v>
      </c>
      <c r="AM587" s="15" t="s">
        <v>1045</v>
      </c>
      <c r="AN587" s="163" t="s">
        <v>394</v>
      </c>
      <c r="AO587" s="171">
        <v>7.625</v>
      </c>
      <c r="AP587" s="163" t="s">
        <v>376</v>
      </c>
      <c r="AQ587" s="163" t="s">
        <v>517</v>
      </c>
      <c r="AR587" s="164"/>
      <c r="AS587" s="163" t="s">
        <v>761</v>
      </c>
      <c r="AT587" s="163">
        <v>125</v>
      </c>
      <c r="AU587" s="171" t="s">
        <v>1024</v>
      </c>
      <c r="AV587" s="163"/>
      <c r="AW587" s="163"/>
      <c r="AX587" s="168"/>
      <c r="AY587" s="166">
        <v>1</v>
      </c>
      <c r="AZ587" s="166" t="s">
        <v>338</v>
      </c>
    </row>
    <row r="588" spans="38:52" hidden="1" x14ac:dyDescent="0.25">
      <c r="AL588" s="15" t="s">
        <v>1176</v>
      </c>
      <c r="AM588" s="166" t="s">
        <v>1045</v>
      </c>
      <c r="AN588" s="163" t="s">
        <v>394</v>
      </c>
      <c r="AO588" s="171">
        <v>7.625</v>
      </c>
      <c r="AP588" s="163" t="s">
        <v>376</v>
      </c>
      <c r="AQ588" s="163" t="s">
        <v>1177</v>
      </c>
      <c r="AR588" s="164"/>
      <c r="AS588" s="163" t="s">
        <v>1074</v>
      </c>
      <c r="AT588" s="163">
        <v>50</v>
      </c>
      <c r="AU588" s="171" t="s">
        <v>1024</v>
      </c>
      <c r="AV588" s="163"/>
      <c r="AW588" s="163"/>
      <c r="AX588" s="168" t="s">
        <v>1178</v>
      </c>
      <c r="AY588" s="166">
        <v>1</v>
      </c>
      <c r="AZ588" s="166" t="s">
        <v>338</v>
      </c>
    </row>
    <row r="589" spans="38:52" hidden="1" x14ac:dyDescent="0.25">
      <c r="AL589" s="15" t="s">
        <v>1179</v>
      </c>
      <c r="AM589" s="15" t="s">
        <v>1045</v>
      </c>
      <c r="AN589" s="163" t="s">
        <v>394</v>
      </c>
      <c r="AO589" s="171">
        <v>7.75</v>
      </c>
      <c r="AP589" s="163" t="s">
        <v>376</v>
      </c>
      <c r="AQ589" s="163" t="s">
        <v>806</v>
      </c>
      <c r="AR589" s="164"/>
      <c r="AS589" s="163" t="s">
        <v>1000</v>
      </c>
      <c r="AT589" s="163">
        <v>58</v>
      </c>
      <c r="AU589" s="163" t="s">
        <v>324</v>
      </c>
      <c r="AV589" s="163">
        <v>3</v>
      </c>
      <c r="AW589" s="163" t="s">
        <v>916</v>
      </c>
      <c r="AX589" s="168"/>
      <c r="AY589" s="166">
        <v>1</v>
      </c>
      <c r="AZ589" s="166" t="s">
        <v>338</v>
      </c>
    </row>
    <row r="590" spans="38:52" hidden="1" x14ac:dyDescent="0.25">
      <c r="AL590" s="15" t="s">
        <v>1180</v>
      </c>
      <c r="AM590" s="15" t="s">
        <v>1045</v>
      </c>
      <c r="AN590" s="163" t="s">
        <v>394</v>
      </c>
      <c r="AO590" s="171">
        <v>8.625</v>
      </c>
      <c r="AP590" s="163" t="s">
        <v>376</v>
      </c>
      <c r="AQ590" s="163" t="s">
        <v>504</v>
      </c>
      <c r="AR590" s="164"/>
      <c r="AS590" s="163" t="s">
        <v>761</v>
      </c>
      <c r="AT590" s="163">
        <v>125</v>
      </c>
      <c r="AU590" s="171" t="s">
        <v>1024</v>
      </c>
      <c r="AV590" s="163"/>
      <c r="AW590" s="163"/>
      <c r="AX590" s="168"/>
      <c r="AY590" s="166">
        <v>1</v>
      </c>
      <c r="AZ590" s="166" t="s">
        <v>338</v>
      </c>
    </row>
    <row r="591" spans="38:52" hidden="1" x14ac:dyDescent="0.25">
      <c r="AL591" s="15" t="s">
        <v>1181</v>
      </c>
      <c r="AM591" s="166" t="s">
        <v>1045</v>
      </c>
      <c r="AN591" s="163" t="s">
        <v>394</v>
      </c>
      <c r="AO591" s="171">
        <v>8.625</v>
      </c>
      <c r="AP591" s="163" t="s">
        <v>376</v>
      </c>
      <c r="AQ591" s="163" t="s">
        <v>504</v>
      </c>
      <c r="AR591" s="164"/>
      <c r="AS591" s="163" t="s">
        <v>1074</v>
      </c>
      <c r="AT591" s="163">
        <v>79</v>
      </c>
      <c r="AU591" s="171" t="s">
        <v>1024</v>
      </c>
      <c r="AV591" s="163"/>
      <c r="AW591" s="163"/>
      <c r="AX591" s="168"/>
      <c r="AY591" s="166">
        <v>1</v>
      </c>
      <c r="AZ591" s="166" t="s">
        <v>338</v>
      </c>
    </row>
    <row r="592" spans="38:52" hidden="1" x14ac:dyDescent="0.25">
      <c r="AL592" s="15" t="s">
        <v>1182</v>
      </c>
      <c r="AM592" s="15" t="s">
        <v>1045</v>
      </c>
      <c r="AN592" s="163" t="s">
        <v>394</v>
      </c>
      <c r="AO592" s="163" t="s">
        <v>354</v>
      </c>
      <c r="AP592" s="163" t="s">
        <v>376</v>
      </c>
      <c r="AQ592" s="163" t="s">
        <v>344</v>
      </c>
      <c r="AR592" s="164"/>
      <c r="AS592" s="163" t="s">
        <v>1041</v>
      </c>
      <c r="AT592" s="163">
        <v>24</v>
      </c>
      <c r="AU592" s="171" t="s">
        <v>353</v>
      </c>
      <c r="AV592" s="163"/>
      <c r="AW592" s="163"/>
      <c r="AX592" s="168"/>
      <c r="AY592" s="166">
        <v>1</v>
      </c>
      <c r="AZ592" s="166" t="s">
        <v>338</v>
      </c>
    </row>
    <row r="593" spans="38:52" hidden="1" x14ac:dyDescent="0.25">
      <c r="AL593" s="166" t="s">
        <v>1183</v>
      </c>
      <c r="AM593" s="166" t="s">
        <v>1045</v>
      </c>
      <c r="AN593" s="165" t="s">
        <v>394</v>
      </c>
      <c r="AO593" s="165" t="s">
        <v>354</v>
      </c>
      <c r="AP593" s="165" t="s">
        <v>376</v>
      </c>
      <c r="AQ593" s="165" t="s">
        <v>361</v>
      </c>
      <c r="AR593" s="167"/>
      <c r="AS593" s="165" t="s">
        <v>1074</v>
      </c>
      <c r="AT593" s="165">
        <v>30</v>
      </c>
      <c r="AU593" s="165" t="s">
        <v>353</v>
      </c>
      <c r="AV593" s="165"/>
      <c r="AW593" s="165"/>
      <c r="AX593" s="168"/>
      <c r="AY593" s="166">
        <v>1</v>
      </c>
      <c r="AZ593" s="166" t="s">
        <v>326</v>
      </c>
    </row>
    <row r="594" spans="38:52" hidden="1" x14ac:dyDescent="0.25">
      <c r="AL594" s="177" t="s">
        <v>1184</v>
      </c>
      <c r="AM594" s="177" t="s">
        <v>1045</v>
      </c>
      <c r="AN594" s="163" t="s">
        <v>394</v>
      </c>
      <c r="AO594" s="163" t="s">
        <v>394</v>
      </c>
      <c r="AP594" s="163" t="s">
        <v>361</v>
      </c>
      <c r="AQ594" s="163" t="s">
        <v>376</v>
      </c>
      <c r="AR594" s="178" t="s">
        <v>1165</v>
      </c>
      <c r="AS594" s="179" t="s">
        <v>1161</v>
      </c>
      <c r="AT594" s="163">
        <v>38</v>
      </c>
      <c r="AU594" s="171">
        <v>1.75</v>
      </c>
      <c r="AV594" s="163">
        <v>3</v>
      </c>
      <c r="AW594" s="163"/>
      <c r="AX594" s="168" t="s">
        <v>1162</v>
      </c>
      <c r="AY594" s="166"/>
      <c r="AZ594" s="166"/>
    </row>
    <row r="595" spans="38:52" hidden="1" x14ac:dyDescent="0.25">
      <c r="AL595" s="15" t="s">
        <v>1185</v>
      </c>
      <c r="AM595" s="15" t="s">
        <v>1045</v>
      </c>
      <c r="AN595" s="165" t="s">
        <v>394</v>
      </c>
      <c r="AO595" s="165" t="s">
        <v>394</v>
      </c>
      <c r="AP595" s="165" t="s">
        <v>376</v>
      </c>
      <c r="AQ595" s="165" t="s">
        <v>376</v>
      </c>
      <c r="AR595" s="164"/>
      <c r="AS595" s="165" t="s">
        <v>885</v>
      </c>
      <c r="AT595" s="165">
        <v>65</v>
      </c>
      <c r="AU595" s="172" t="s">
        <v>353</v>
      </c>
      <c r="AV595" s="163"/>
      <c r="AW595" s="163"/>
      <c r="AX595" s="168"/>
      <c r="AY595" s="166">
        <v>1</v>
      </c>
      <c r="AZ595" s="166" t="s">
        <v>338</v>
      </c>
    </row>
    <row r="596" spans="38:52" hidden="1" x14ac:dyDescent="0.25">
      <c r="AL596" s="15" t="s">
        <v>1186</v>
      </c>
      <c r="AM596" s="166" t="s">
        <v>1045</v>
      </c>
      <c r="AN596" s="163" t="s">
        <v>394</v>
      </c>
      <c r="AO596" s="163" t="s">
        <v>394</v>
      </c>
      <c r="AP596" s="163" t="s">
        <v>376</v>
      </c>
      <c r="AQ596" s="163" t="s">
        <v>544</v>
      </c>
      <c r="AR596" s="164"/>
      <c r="AS596" s="163" t="s">
        <v>885</v>
      </c>
      <c r="AT596" s="163">
        <v>39</v>
      </c>
      <c r="AU596" s="163" t="s">
        <v>1187</v>
      </c>
      <c r="AV596" s="163">
        <v>3</v>
      </c>
      <c r="AW596" s="163">
        <v>2</v>
      </c>
      <c r="AX596" s="168"/>
      <c r="AY596" s="166">
        <v>1</v>
      </c>
      <c r="AZ596" s="166" t="s">
        <v>326</v>
      </c>
    </row>
    <row r="597" spans="38:52" hidden="1" x14ac:dyDescent="0.25">
      <c r="AL597" s="166" t="s">
        <v>1188</v>
      </c>
      <c r="AM597" s="166" t="s">
        <v>1045</v>
      </c>
      <c r="AN597" s="165" t="s">
        <v>394</v>
      </c>
      <c r="AO597" s="165" t="s">
        <v>394</v>
      </c>
      <c r="AP597" s="165" t="s">
        <v>376</v>
      </c>
      <c r="AQ597" s="165" t="s">
        <v>636</v>
      </c>
      <c r="AR597" s="167"/>
      <c r="AS597" s="165" t="s">
        <v>885</v>
      </c>
      <c r="AT597" s="165">
        <v>52</v>
      </c>
      <c r="AU597" s="165" t="s">
        <v>353</v>
      </c>
      <c r="AV597" s="165">
        <v>3</v>
      </c>
      <c r="AW597" s="165" t="s">
        <v>737</v>
      </c>
      <c r="AX597" s="168"/>
      <c r="AY597" s="166">
        <v>1</v>
      </c>
      <c r="AZ597" s="166" t="s">
        <v>326</v>
      </c>
    </row>
    <row r="598" spans="38:52" hidden="1" x14ac:dyDescent="0.25">
      <c r="AL598" s="15" t="s">
        <v>1189</v>
      </c>
      <c r="AM598" s="15" t="s">
        <v>1045</v>
      </c>
      <c r="AN598" s="163" t="s">
        <v>394</v>
      </c>
      <c r="AO598" s="163" t="s">
        <v>394</v>
      </c>
      <c r="AP598" s="163" t="s">
        <v>376</v>
      </c>
      <c r="AQ598" s="163" t="s">
        <v>376</v>
      </c>
      <c r="AR598" s="164"/>
      <c r="AS598" s="163" t="s">
        <v>1065</v>
      </c>
      <c r="AT598" s="163">
        <v>65</v>
      </c>
      <c r="AU598" s="171" t="s">
        <v>353</v>
      </c>
      <c r="AV598" s="163"/>
      <c r="AW598" s="163"/>
      <c r="AX598" s="168"/>
      <c r="AY598" s="166">
        <v>1</v>
      </c>
      <c r="AZ598" s="166" t="s">
        <v>338</v>
      </c>
    </row>
    <row r="599" spans="38:52" hidden="1" x14ac:dyDescent="0.25">
      <c r="AL599" s="15" t="s">
        <v>1190</v>
      </c>
      <c r="AM599" s="15" t="s">
        <v>1045</v>
      </c>
      <c r="AN599" s="163" t="s">
        <v>394</v>
      </c>
      <c r="AO599" s="163" t="s">
        <v>394</v>
      </c>
      <c r="AP599" s="163" t="s">
        <v>376</v>
      </c>
      <c r="AQ599" s="163" t="s">
        <v>544</v>
      </c>
      <c r="AR599" s="164"/>
      <c r="AS599" s="163" t="s">
        <v>1065</v>
      </c>
      <c r="AT599" s="163">
        <v>65</v>
      </c>
      <c r="AU599" s="171" t="s">
        <v>353</v>
      </c>
      <c r="AV599" s="163"/>
      <c r="AW599" s="163"/>
      <c r="AX599" s="168"/>
      <c r="AY599" s="166">
        <v>1</v>
      </c>
      <c r="AZ599" s="166" t="s">
        <v>338</v>
      </c>
    </row>
    <row r="600" spans="38:52" hidden="1" x14ac:dyDescent="0.25">
      <c r="AL600" s="15" t="s">
        <v>1191</v>
      </c>
      <c r="AM600" s="15" t="s">
        <v>1045</v>
      </c>
      <c r="AN600" s="163" t="s">
        <v>394</v>
      </c>
      <c r="AO600" s="163" t="s">
        <v>394</v>
      </c>
      <c r="AP600" s="163" t="s">
        <v>376</v>
      </c>
      <c r="AQ600" s="163" t="s">
        <v>344</v>
      </c>
      <c r="AR600" s="164"/>
      <c r="AS600" s="163" t="s">
        <v>1065</v>
      </c>
      <c r="AT600" s="163">
        <v>65</v>
      </c>
      <c r="AU600" s="171" t="s">
        <v>353</v>
      </c>
      <c r="AV600" s="163"/>
      <c r="AW600" s="163"/>
      <c r="AX600" s="168"/>
      <c r="AY600" s="166">
        <v>1</v>
      </c>
      <c r="AZ600" s="166" t="s">
        <v>338</v>
      </c>
    </row>
    <row r="601" spans="38:52" hidden="1" x14ac:dyDescent="0.25">
      <c r="AL601" s="15" t="s">
        <v>1192</v>
      </c>
      <c r="AM601" s="15" t="s">
        <v>1045</v>
      </c>
      <c r="AN601" s="163" t="s">
        <v>394</v>
      </c>
      <c r="AO601" s="163" t="s">
        <v>394</v>
      </c>
      <c r="AP601" s="163" t="s">
        <v>376</v>
      </c>
      <c r="AQ601" s="163" t="s">
        <v>621</v>
      </c>
      <c r="AR601" s="164"/>
      <c r="AS601" s="163" t="s">
        <v>1065</v>
      </c>
      <c r="AT601" s="163">
        <v>42</v>
      </c>
      <c r="AU601" s="171" t="s">
        <v>353</v>
      </c>
      <c r="AV601" s="163">
        <v>3</v>
      </c>
      <c r="AW601" s="163">
        <v>2</v>
      </c>
      <c r="AX601" s="168"/>
      <c r="AY601" s="166">
        <v>1</v>
      </c>
      <c r="AZ601" s="166" t="s">
        <v>338</v>
      </c>
    </row>
    <row r="602" spans="38:52" hidden="1" x14ac:dyDescent="0.25">
      <c r="AL602" s="15" t="s">
        <v>1193</v>
      </c>
      <c r="AM602" s="15" t="s">
        <v>1045</v>
      </c>
      <c r="AN602" s="163" t="s">
        <v>394</v>
      </c>
      <c r="AO602" s="163" t="s">
        <v>394</v>
      </c>
      <c r="AP602" s="163" t="s">
        <v>376</v>
      </c>
      <c r="AQ602" s="163"/>
      <c r="AR602" s="164"/>
      <c r="AS602" s="163" t="s">
        <v>1065</v>
      </c>
      <c r="AT602" s="163">
        <v>100</v>
      </c>
      <c r="AU602" s="171" t="s">
        <v>353</v>
      </c>
      <c r="AV602" s="163">
        <v>3</v>
      </c>
      <c r="AW602" s="163">
        <v>2</v>
      </c>
      <c r="AX602" s="168" t="s">
        <v>1194</v>
      </c>
      <c r="AY602" s="166">
        <v>1</v>
      </c>
      <c r="AZ602" s="166" t="s">
        <v>338</v>
      </c>
    </row>
    <row r="603" spans="38:52" hidden="1" x14ac:dyDescent="0.25">
      <c r="AL603" s="166" t="s">
        <v>1195</v>
      </c>
      <c r="AM603" s="166" t="s">
        <v>1045</v>
      </c>
      <c r="AN603" s="165" t="s">
        <v>394</v>
      </c>
      <c r="AO603" s="165" t="s">
        <v>394</v>
      </c>
      <c r="AP603" s="165" t="s">
        <v>376</v>
      </c>
      <c r="AQ603" s="165" t="s">
        <v>376</v>
      </c>
      <c r="AR603" s="167"/>
      <c r="AS603" s="165" t="s">
        <v>828</v>
      </c>
      <c r="AT603" s="165">
        <v>135</v>
      </c>
      <c r="AU603" s="165" t="s">
        <v>324</v>
      </c>
      <c r="AV603" s="165">
        <v>3</v>
      </c>
      <c r="AW603" s="165">
        <v>4</v>
      </c>
      <c r="AX603" s="168"/>
      <c r="AY603" s="166">
        <v>1</v>
      </c>
      <c r="AZ603" s="166" t="s">
        <v>338</v>
      </c>
    </row>
    <row r="604" spans="38:52" hidden="1" x14ac:dyDescent="0.25">
      <c r="AL604" s="15" t="s">
        <v>1196</v>
      </c>
      <c r="AM604" s="15" t="s">
        <v>1045</v>
      </c>
      <c r="AN604" s="163" t="s">
        <v>394</v>
      </c>
      <c r="AO604" s="163" t="s">
        <v>394</v>
      </c>
      <c r="AP604" s="163" t="s">
        <v>376</v>
      </c>
      <c r="AQ604" s="163" t="s">
        <v>376</v>
      </c>
      <c r="AR604" s="164"/>
      <c r="AS604" s="163" t="s">
        <v>1197</v>
      </c>
      <c r="AT604" s="163">
        <v>182</v>
      </c>
      <c r="AU604" s="163" t="s">
        <v>324</v>
      </c>
      <c r="AV604" s="163">
        <v>3</v>
      </c>
      <c r="AW604" s="163">
        <v>4</v>
      </c>
      <c r="AX604" s="168"/>
      <c r="AY604" s="166">
        <v>1</v>
      </c>
      <c r="AZ604" s="166" t="s">
        <v>338</v>
      </c>
    </row>
    <row r="605" spans="38:52" hidden="1" x14ac:dyDescent="0.25">
      <c r="AL605" s="15" t="s">
        <v>1198</v>
      </c>
      <c r="AM605" s="15" t="s">
        <v>1045</v>
      </c>
      <c r="AN605" s="163" t="s">
        <v>394</v>
      </c>
      <c r="AO605" s="163" t="s">
        <v>394</v>
      </c>
      <c r="AP605" s="163" t="s">
        <v>376</v>
      </c>
      <c r="AQ605" s="163" t="s">
        <v>376</v>
      </c>
      <c r="AR605" s="164"/>
      <c r="AS605" s="163" t="s">
        <v>956</v>
      </c>
      <c r="AT605" s="163">
        <v>250</v>
      </c>
      <c r="AU605" s="163" t="s">
        <v>324</v>
      </c>
      <c r="AV605" s="163">
        <v>3</v>
      </c>
      <c r="AW605" s="163">
        <v>4</v>
      </c>
      <c r="AX605" s="168"/>
      <c r="AY605" s="166">
        <v>1</v>
      </c>
      <c r="AZ605" s="166" t="s">
        <v>338</v>
      </c>
    </row>
    <row r="606" spans="38:52" hidden="1" x14ac:dyDescent="0.25">
      <c r="AL606" s="15" t="s">
        <v>1199</v>
      </c>
      <c r="AM606" s="15" t="s">
        <v>1045</v>
      </c>
      <c r="AN606" s="163" t="s">
        <v>394</v>
      </c>
      <c r="AO606" s="163" t="s">
        <v>394</v>
      </c>
      <c r="AP606" s="163" t="s">
        <v>376</v>
      </c>
      <c r="AQ606" s="163" t="s">
        <v>544</v>
      </c>
      <c r="AR606" s="164"/>
      <c r="AS606" s="163" t="s">
        <v>1200</v>
      </c>
      <c r="AT606" s="163">
        <v>300</v>
      </c>
      <c r="AU606" s="171" t="s">
        <v>353</v>
      </c>
      <c r="AV606" s="163">
        <v>3</v>
      </c>
      <c r="AW606" s="163">
        <v>2</v>
      </c>
      <c r="AX606" s="168" t="s">
        <v>1201</v>
      </c>
      <c r="AY606" s="166">
        <v>1</v>
      </c>
      <c r="AZ606" s="166" t="s">
        <v>326</v>
      </c>
    </row>
    <row r="607" spans="38:52" hidden="1" x14ac:dyDescent="0.25">
      <c r="AL607" s="15" t="s">
        <v>1202</v>
      </c>
      <c r="AM607" s="15" t="s">
        <v>1045</v>
      </c>
      <c r="AN607" s="163" t="s">
        <v>394</v>
      </c>
      <c r="AO607" s="163" t="s">
        <v>394</v>
      </c>
      <c r="AP607" s="163" t="s">
        <v>376</v>
      </c>
      <c r="AQ607" s="163" t="s">
        <v>376</v>
      </c>
      <c r="AR607" s="164"/>
      <c r="AS607" s="163" t="s">
        <v>1074</v>
      </c>
      <c r="AT607" s="163">
        <v>38</v>
      </c>
      <c r="AU607" s="171" t="s">
        <v>353</v>
      </c>
      <c r="AV607" s="163"/>
      <c r="AW607" s="163"/>
      <c r="AX607" s="168"/>
      <c r="AY607" s="166">
        <v>1</v>
      </c>
      <c r="AZ607" s="166" t="s">
        <v>338</v>
      </c>
    </row>
    <row r="608" spans="38:52" hidden="1" x14ac:dyDescent="0.25">
      <c r="AL608" s="15" t="s">
        <v>1203</v>
      </c>
      <c r="AM608" s="15" t="s">
        <v>1045</v>
      </c>
      <c r="AN608" s="163" t="s">
        <v>394</v>
      </c>
      <c r="AO608" s="163" t="s">
        <v>394</v>
      </c>
      <c r="AP608" s="163" t="s">
        <v>376</v>
      </c>
      <c r="AQ608" s="163" t="s">
        <v>376</v>
      </c>
      <c r="AR608" s="164"/>
      <c r="AS608" s="163" t="s">
        <v>1074</v>
      </c>
      <c r="AT608" s="163">
        <v>36</v>
      </c>
      <c r="AU608" s="171" t="s">
        <v>353</v>
      </c>
      <c r="AV608" s="163">
        <v>3</v>
      </c>
      <c r="AW608" s="163">
        <v>2</v>
      </c>
      <c r="AX608" s="168" t="s">
        <v>1204</v>
      </c>
      <c r="AY608" s="166">
        <v>1</v>
      </c>
      <c r="AZ608" s="166" t="s">
        <v>338</v>
      </c>
    </row>
    <row r="609" spans="38:52" hidden="1" x14ac:dyDescent="0.25">
      <c r="AL609" s="15" t="s">
        <v>1205</v>
      </c>
      <c r="AM609" s="15" t="s">
        <v>1045</v>
      </c>
      <c r="AN609" s="163" t="s">
        <v>394</v>
      </c>
      <c r="AO609" s="163" t="s">
        <v>1041</v>
      </c>
      <c r="AP609" s="163" t="s">
        <v>376</v>
      </c>
      <c r="AQ609" s="163" t="s">
        <v>452</v>
      </c>
      <c r="AR609" s="164"/>
      <c r="AS609" s="163" t="s">
        <v>761</v>
      </c>
      <c r="AT609" s="163">
        <v>75</v>
      </c>
      <c r="AU609" s="163" t="s">
        <v>324</v>
      </c>
      <c r="AV609" s="163"/>
      <c r="AW609" s="163"/>
      <c r="AX609" s="168"/>
      <c r="AY609" s="166">
        <v>1</v>
      </c>
      <c r="AZ609" s="166" t="s">
        <v>326</v>
      </c>
    </row>
    <row r="610" spans="38:52" hidden="1" x14ac:dyDescent="0.25">
      <c r="AL610" s="15" t="s">
        <v>1206</v>
      </c>
      <c r="AM610" s="15" t="s">
        <v>1045</v>
      </c>
      <c r="AN610" s="163" t="s">
        <v>394</v>
      </c>
      <c r="AO610" s="163" t="s">
        <v>707</v>
      </c>
      <c r="AP610" s="163" t="s">
        <v>376</v>
      </c>
      <c r="AQ610" s="163" t="s">
        <v>452</v>
      </c>
      <c r="AR610" s="164"/>
      <c r="AS610" s="163" t="s">
        <v>761</v>
      </c>
      <c r="AT610" s="163">
        <v>82</v>
      </c>
      <c r="AU610" s="163" t="s">
        <v>324</v>
      </c>
      <c r="AV610" s="163"/>
      <c r="AW610" s="163"/>
      <c r="AX610" s="168"/>
      <c r="AY610" s="166">
        <v>1</v>
      </c>
      <c r="AZ610" s="166" t="s">
        <v>338</v>
      </c>
    </row>
    <row r="611" spans="38:52" hidden="1" x14ac:dyDescent="0.25">
      <c r="AL611" s="15" t="s">
        <v>1207</v>
      </c>
      <c r="AM611" s="15" t="s">
        <v>1045</v>
      </c>
      <c r="AN611" s="163" t="s">
        <v>394</v>
      </c>
      <c r="AO611" s="163" t="s">
        <v>707</v>
      </c>
      <c r="AP611" s="163" t="s">
        <v>376</v>
      </c>
      <c r="AQ611" s="163" t="s">
        <v>452</v>
      </c>
      <c r="AR611" s="164"/>
      <c r="AS611" s="163" t="s">
        <v>1074</v>
      </c>
      <c r="AT611" s="163">
        <v>55</v>
      </c>
      <c r="AU611" s="163" t="s">
        <v>324</v>
      </c>
      <c r="AV611" s="163"/>
      <c r="AW611" s="163"/>
      <c r="AX611" s="168"/>
      <c r="AY611" s="166">
        <v>1</v>
      </c>
      <c r="AZ611" s="166" t="s">
        <v>338</v>
      </c>
    </row>
    <row r="612" spans="38:52" hidden="1" x14ac:dyDescent="0.25">
      <c r="AL612" s="15" t="s">
        <v>1208</v>
      </c>
      <c r="AM612" s="15" t="s">
        <v>1045</v>
      </c>
      <c r="AN612" s="165" t="s">
        <v>394</v>
      </c>
      <c r="AO612" s="165" t="s">
        <v>707</v>
      </c>
      <c r="AP612" s="165" t="s">
        <v>376</v>
      </c>
      <c r="AQ612" s="165" t="s">
        <v>395</v>
      </c>
      <c r="AR612" s="164"/>
      <c r="AS612" s="163" t="s">
        <v>1074</v>
      </c>
      <c r="AT612" s="165">
        <v>55</v>
      </c>
      <c r="AU612" s="165" t="s">
        <v>324</v>
      </c>
      <c r="AV612" s="163"/>
      <c r="AW612" s="163"/>
      <c r="AX612" s="168"/>
      <c r="AY612" s="166">
        <v>1</v>
      </c>
      <c r="AZ612" s="166" t="s">
        <v>338</v>
      </c>
    </row>
    <row r="613" spans="38:52" hidden="1" x14ac:dyDescent="0.25">
      <c r="AL613" s="15" t="s">
        <v>1209</v>
      </c>
      <c r="AM613" s="15" t="s">
        <v>1045</v>
      </c>
      <c r="AN613" s="163" t="s">
        <v>394</v>
      </c>
      <c r="AO613" s="163" t="s">
        <v>707</v>
      </c>
      <c r="AP613" s="163" t="s">
        <v>376</v>
      </c>
      <c r="AQ613" s="163" t="s">
        <v>688</v>
      </c>
      <c r="AR613" s="164"/>
      <c r="AS613" s="163" t="s">
        <v>1074</v>
      </c>
      <c r="AT613" s="163">
        <v>55</v>
      </c>
      <c r="AU613" s="171" t="s">
        <v>353</v>
      </c>
      <c r="AV613" s="163">
        <v>3</v>
      </c>
      <c r="AW613" s="163" t="s">
        <v>916</v>
      </c>
      <c r="AX613" s="168"/>
      <c r="AY613" s="166">
        <v>2</v>
      </c>
      <c r="AZ613" s="166" t="s">
        <v>922</v>
      </c>
    </row>
    <row r="614" spans="38:52" hidden="1" x14ac:dyDescent="0.25">
      <c r="AL614" s="166" t="s">
        <v>1210</v>
      </c>
      <c r="AM614" s="166" t="s">
        <v>1045</v>
      </c>
      <c r="AN614" s="165" t="s">
        <v>394</v>
      </c>
      <c r="AO614" s="165"/>
      <c r="AP614" s="165" t="s">
        <v>544</v>
      </c>
      <c r="AQ614" s="165" t="s">
        <v>376</v>
      </c>
      <c r="AR614" s="167"/>
      <c r="AS614" s="165" t="s">
        <v>529</v>
      </c>
      <c r="AT614" s="165">
        <v>110</v>
      </c>
      <c r="AU614" s="165" t="s">
        <v>353</v>
      </c>
      <c r="AV614" s="165">
        <v>3</v>
      </c>
      <c r="AW614" s="165" t="s">
        <v>737</v>
      </c>
      <c r="AX614" s="168" t="s">
        <v>331</v>
      </c>
      <c r="AY614" s="166">
        <v>1</v>
      </c>
      <c r="AZ614" s="166" t="s">
        <v>326</v>
      </c>
    </row>
    <row r="615" spans="38:52" hidden="1" x14ac:dyDescent="0.25">
      <c r="AL615" s="166" t="s">
        <v>1211</v>
      </c>
      <c r="AM615" s="166" t="s">
        <v>1045</v>
      </c>
      <c r="AN615" s="165" t="s">
        <v>454</v>
      </c>
      <c r="AO615" s="165">
        <v>7</v>
      </c>
      <c r="AP615" s="165" t="s">
        <v>376</v>
      </c>
      <c r="AQ615" s="165" t="s">
        <v>452</v>
      </c>
      <c r="AR615" s="167"/>
      <c r="AS615" s="165" t="s">
        <v>1212</v>
      </c>
      <c r="AT615" s="165">
        <v>285</v>
      </c>
      <c r="AU615" s="165" t="s">
        <v>1213</v>
      </c>
      <c r="AV615" s="165">
        <v>5</v>
      </c>
      <c r="AW615" s="165" t="s">
        <v>1099</v>
      </c>
      <c r="AX615" s="168"/>
      <c r="AY615" s="166">
        <v>1</v>
      </c>
      <c r="AZ615" s="166" t="s">
        <v>326</v>
      </c>
    </row>
    <row r="616" spans="38:52" hidden="1" x14ac:dyDescent="0.25">
      <c r="AL616" s="15" t="s">
        <v>1214</v>
      </c>
      <c r="AM616" s="15" t="s">
        <v>1045</v>
      </c>
      <c r="AN616" s="163" t="s">
        <v>454</v>
      </c>
      <c r="AO616" s="171">
        <v>7.625</v>
      </c>
      <c r="AP616" s="163" t="s">
        <v>376</v>
      </c>
      <c r="AQ616" s="163" t="s">
        <v>504</v>
      </c>
      <c r="AR616" s="164"/>
      <c r="AS616" s="163" t="s">
        <v>1212</v>
      </c>
      <c r="AT616" s="163">
        <v>317</v>
      </c>
      <c r="AU616" s="163" t="s">
        <v>1213</v>
      </c>
      <c r="AV616" s="163"/>
      <c r="AW616" s="163"/>
      <c r="AX616" s="168" t="s">
        <v>1081</v>
      </c>
      <c r="AY616" s="166">
        <v>1</v>
      </c>
      <c r="AZ616" s="166" t="s">
        <v>326</v>
      </c>
    </row>
    <row r="617" spans="38:52" hidden="1" x14ac:dyDescent="0.25">
      <c r="AL617" s="15" t="s">
        <v>1215</v>
      </c>
      <c r="AM617" s="15" t="s">
        <v>1045</v>
      </c>
      <c r="AN617" s="163" t="s">
        <v>454</v>
      </c>
      <c r="AO617" s="171">
        <v>7.625</v>
      </c>
      <c r="AP617" s="163" t="s">
        <v>376</v>
      </c>
      <c r="AQ617" s="163" t="s">
        <v>517</v>
      </c>
      <c r="AR617" s="164"/>
      <c r="AS617" s="163" t="s">
        <v>1212</v>
      </c>
      <c r="AT617" s="163">
        <v>325</v>
      </c>
      <c r="AU617" s="163" t="s">
        <v>1213</v>
      </c>
      <c r="AV617" s="163"/>
      <c r="AW617" s="163"/>
      <c r="AX617" s="168" t="s">
        <v>1081</v>
      </c>
      <c r="AY617" s="166">
        <v>1</v>
      </c>
      <c r="AZ617" s="166" t="s">
        <v>326</v>
      </c>
    </row>
    <row r="618" spans="38:52" hidden="1" x14ac:dyDescent="0.25">
      <c r="AL618" s="15" t="s">
        <v>1216</v>
      </c>
      <c r="AM618" s="15" t="s">
        <v>1045</v>
      </c>
      <c r="AN618" s="163" t="s">
        <v>454</v>
      </c>
      <c r="AO618" s="163">
        <v>8</v>
      </c>
      <c r="AP618" s="163" t="s">
        <v>376</v>
      </c>
      <c r="AQ618" s="163" t="s">
        <v>504</v>
      </c>
      <c r="AR618" s="164"/>
      <c r="AS618" s="163" t="s">
        <v>1212</v>
      </c>
      <c r="AT618" s="163"/>
      <c r="AU618" s="163" t="s">
        <v>1213</v>
      </c>
      <c r="AV618" s="163"/>
      <c r="AW618" s="163"/>
      <c r="AX618" s="168" t="s">
        <v>1081</v>
      </c>
      <c r="AY618" s="166">
        <v>1</v>
      </c>
      <c r="AZ618" s="166" t="s">
        <v>338</v>
      </c>
    </row>
    <row r="619" spans="38:52" hidden="1" x14ac:dyDescent="0.25">
      <c r="AL619" s="15" t="s">
        <v>1217</v>
      </c>
      <c r="AM619" s="15" t="s">
        <v>1045</v>
      </c>
      <c r="AN619" s="163" t="s">
        <v>454</v>
      </c>
      <c r="AO619" s="171">
        <v>8.625</v>
      </c>
      <c r="AP619" s="163" t="s">
        <v>376</v>
      </c>
      <c r="AQ619" s="163" t="s">
        <v>504</v>
      </c>
      <c r="AR619" s="164"/>
      <c r="AS619" s="163" t="s">
        <v>1212</v>
      </c>
      <c r="AT619" s="163">
        <v>360</v>
      </c>
      <c r="AU619" s="163" t="s">
        <v>1213</v>
      </c>
      <c r="AV619" s="163">
        <v>7</v>
      </c>
      <c r="AW619" s="163">
        <v>5</v>
      </c>
      <c r="AX619" s="168" t="s">
        <v>1081</v>
      </c>
      <c r="AY619" s="166">
        <v>1</v>
      </c>
      <c r="AZ619" s="166" t="s">
        <v>326</v>
      </c>
    </row>
    <row r="620" spans="38:52" hidden="1" x14ac:dyDescent="0.25">
      <c r="AL620" s="15" t="s">
        <v>1218</v>
      </c>
      <c r="AM620" s="15" t="s">
        <v>1045</v>
      </c>
      <c r="AN620" s="163" t="s">
        <v>454</v>
      </c>
      <c r="AO620" s="163" t="s">
        <v>454</v>
      </c>
      <c r="AP620" s="163" t="s">
        <v>376</v>
      </c>
      <c r="AQ620" s="163" t="s">
        <v>940</v>
      </c>
      <c r="AR620" s="164"/>
      <c r="AS620" s="163" t="s">
        <v>761</v>
      </c>
      <c r="AT620" s="163">
        <v>88</v>
      </c>
      <c r="AU620" s="171" t="s">
        <v>353</v>
      </c>
      <c r="AV620" s="163"/>
      <c r="AW620" s="163"/>
      <c r="AX620" s="168" t="s">
        <v>893</v>
      </c>
      <c r="AY620" s="166">
        <v>1</v>
      </c>
      <c r="AZ620" s="166" t="s">
        <v>338</v>
      </c>
    </row>
    <row r="621" spans="38:52" hidden="1" x14ac:dyDescent="0.25">
      <c r="AL621" s="166" t="s">
        <v>1219</v>
      </c>
      <c r="AM621" s="166" t="s">
        <v>1045</v>
      </c>
      <c r="AN621" s="165" t="s">
        <v>454</v>
      </c>
      <c r="AO621" s="165" t="s">
        <v>454</v>
      </c>
      <c r="AP621" s="165" t="s">
        <v>688</v>
      </c>
      <c r="AQ621" s="165" t="s">
        <v>899</v>
      </c>
      <c r="AR621" s="167"/>
      <c r="AS621" s="165" t="s">
        <v>761</v>
      </c>
      <c r="AT621" s="165">
        <v>105</v>
      </c>
      <c r="AU621" s="165" t="s">
        <v>353</v>
      </c>
      <c r="AV621" s="165">
        <v>4</v>
      </c>
      <c r="AW621" s="165" t="s">
        <v>1220</v>
      </c>
      <c r="AX621" s="168"/>
      <c r="AY621" s="166">
        <v>1</v>
      </c>
      <c r="AZ621" s="166" t="s">
        <v>338</v>
      </c>
    </row>
    <row r="622" spans="38:52" hidden="1" x14ac:dyDescent="0.25">
      <c r="AL622" s="166" t="s">
        <v>1221</v>
      </c>
      <c r="AM622" s="166" t="s">
        <v>1045</v>
      </c>
      <c r="AN622" s="182" t="s">
        <v>454</v>
      </c>
      <c r="AO622" s="165" t="s">
        <v>454</v>
      </c>
      <c r="AP622" s="165" t="s">
        <v>376</v>
      </c>
      <c r="AQ622" s="165" t="s">
        <v>395</v>
      </c>
      <c r="AR622" s="167" t="s">
        <v>436</v>
      </c>
      <c r="AS622" s="165" t="s">
        <v>1222</v>
      </c>
      <c r="AT622" s="165">
        <v>385</v>
      </c>
      <c r="AU622" s="165" t="s">
        <v>324</v>
      </c>
      <c r="AV622" s="165">
        <v>3</v>
      </c>
      <c r="AW622" s="165"/>
      <c r="AX622" s="168"/>
      <c r="AY622" s="166">
        <v>1</v>
      </c>
      <c r="AZ622" s="166" t="s">
        <v>326</v>
      </c>
    </row>
    <row r="623" spans="38:52" hidden="1" x14ac:dyDescent="0.25">
      <c r="AL623" s="15" t="s">
        <v>1223</v>
      </c>
      <c r="AM623" s="15" t="s">
        <v>1045</v>
      </c>
      <c r="AN623" s="163" t="s">
        <v>454</v>
      </c>
      <c r="AO623" s="163" t="s">
        <v>454</v>
      </c>
      <c r="AP623" s="163" t="s">
        <v>376</v>
      </c>
      <c r="AQ623" s="163" t="s">
        <v>1224</v>
      </c>
      <c r="AR623" s="164"/>
      <c r="AS623" s="163" t="s">
        <v>1065</v>
      </c>
      <c r="AT623" s="171">
        <v>95</v>
      </c>
      <c r="AU623" s="171" t="s">
        <v>353</v>
      </c>
      <c r="AV623" s="163"/>
      <c r="AW623" s="163"/>
      <c r="AX623" s="168" t="s">
        <v>672</v>
      </c>
      <c r="AY623" s="166">
        <v>1</v>
      </c>
      <c r="AZ623" s="166" t="s">
        <v>326</v>
      </c>
    </row>
    <row r="624" spans="38:52" hidden="1" x14ac:dyDescent="0.25">
      <c r="AL624" s="15" t="s">
        <v>1225</v>
      </c>
      <c r="AM624" s="166" t="s">
        <v>1045</v>
      </c>
      <c r="AN624" s="163" t="s">
        <v>454</v>
      </c>
      <c r="AO624" s="163" t="s">
        <v>454</v>
      </c>
      <c r="AP624" s="163" t="s">
        <v>474</v>
      </c>
      <c r="AQ624" s="163" t="s">
        <v>474</v>
      </c>
      <c r="AR624" s="164"/>
      <c r="AS624" s="163" t="s">
        <v>735</v>
      </c>
      <c r="AT624" s="163">
        <v>140</v>
      </c>
      <c r="AU624" s="163" t="s">
        <v>475</v>
      </c>
      <c r="AV624" s="163"/>
      <c r="AW624" s="163"/>
      <c r="AX624" s="168" t="s">
        <v>1226</v>
      </c>
      <c r="AY624" s="166">
        <v>1</v>
      </c>
      <c r="AZ624" s="166" t="s">
        <v>338</v>
      </c>
    </row>
    <row r="625" spans="38:52" hidden="1" x14ac:dyDescent="0.25">
      <c r="AL625" s="15" t="s">
        <v>1227</v>
      </c>
      <c r="AM625" s="15" t="s">
        <v>1045</v>
      </c>
      <c r="AN625" s="163" t="s">
        <v>454</v>
      </c>
      <c r="AO625" s="163" t="s">
        <v>454</v>
      </c>
      <c r="AP625" s="163" t="s">
        <v>376</v>
      </c>
      <c r="AQ625" s="163" t="s">
        <v>940</v>
      </c>
      <c r="AR625" s="164"/>
      <c r="AS625" s="163" t="s">
        <v>1041</v>
      </c>
      <c r="AT625" s="163">
        <v>88</v>
      </c>
      <c r="AU625" s="171" t="s">
        <v>353</v>
      </c>
      <c r="AV625" s="163"/>
      <c r="AW625" s="163"/>
      <c r="AX625" s="168" t="s">
        <v>893</v>
      </c>
      <c r="AY625" s="166">
        <v>1</v>
      </c>
      <c r="AZ625" s="166" t="s">
        <v>338</v>
      </c>
    </row>
    <row r="626" spans="38:52" hidden="1" x14ac:dyDescent="0.25">
      <c r="AL626" s="166" t="s">
        <v>1228</v>
      </c>
      <c r="AM626" s="166" t="s">
        <v>1045</v>
      </c>
      <c r="AN626" s="165" t="s">
        <v>707</v>
      </c>
      <c r="AO626" s="165" t="s">
        <v>707</v>
      </c>
      <c r="AP626" s="165" t="s">
        <v>376</v>
      </c>
      <c r="AQ626" s="165" t="s">
        <v>452</v>
      </c>
      <c r="AR626" s="164"/>
      <c r="AS626" s="165" t="s">
        <v>828</v>
      </c>
      <c r="AT626" s="165"/>
      <c r="AU626" s="165" t="s">
        <v>453</v>
      </c>
      <c r="AV626" s="165">
        <v>5</v>
      </c>
      <c r="AW626" s="163" t="s">
        <v>1099</v>
      </c>
      <c r="AX626" s="168"/>
      <c r="AY626" s="166">
        <v>1</v>
      </c>
      <c r="AZ626" s="166" t="s">
        <v>326</v>
      </c>
    </row>
    <row r="627" spans="38:52" hidden="1" x14ac:dyDescent="0.25">
      <c r="AL627" s="166" t="s">
        <v>1229</v>
      </c>
      <c r="AM627" s="166" t="s">
        <v>1045</v>
      </c>
      <c r="AN627" s="165" t="s">
        <v>723</v>
      </c>
      <c r="AO627" s="165" t="s">
        <v>394</v>
      </c>
      <c r="AP627" s="165" t="s">
        <v>513</v>
      </c>
      <c r="AQ627" s="165" t="s">
        <v>544</v>
      </c>
      <c r="AR627" s="167"/>
      <c r="AS627" s="165">
        <v>9</v>
      </c>
      <c r="AT627" s="165">
        <v>100</v>
      </c>
      <c r="AU627" s="165" t="s">
        <v>475</v>
      </c>
      <c r="AV627" s="165"/>
      <c r="AW627" s="165"/>
      <c r="AX627" s="168"/>
      <c r="AY627" s="166">
        <v>1</v>
      </c>
      <c r="AZ627" s="166" t="s">
        <v>326</v>
      </c>
    </row>
    <row r="628" spans="38:52" hidden="1" x14ac:dyDescent="0.25">
      <c r="AL628" s="15" t="s">
        <v>1230</v>
      </c>
      <c r="AM628" s="15" t="s">
        <v>1045</v>
      </c>
      <c r="AN628" s="163" t="s">
        <v>1231</v>
      </c>
      <c r="AO628" s="163" t="s">
        <v>1231</v>
      </c>
      <c r="AP628" s="163" t="s">
        <v>504</v>
      </c>
      <c r="AQ628" s="163" t="s">
        <v>376</v>
      </c>
      <c r="AR628" s="164"/>
      <c r="AS628" s="163" t="s">
        <v>453</v>
      </c>
      <c r="AT628" s="163">
        <v>61</v>
      </c>
      <c r="AU628" s="171" t="s">
        <v>353</v>
      </c>
      <c r="AV628" s="163"/>
      <c r="AW628" s="163"/>
      <c r="AX628" s="168" t="s">
        <v>984</v>
      </c>
      <c r="AY628" s="166">
        <v>1</v>
      </c>
      <c r="AZ628" s="166" t="s">
        <v>338</v>
      </c>
    </row>
    <row r="629" spans="38:52" hidden="1" x14ac:dyDescent="0.25">
      <c r="AL629" s="166" t="s">
        <v>1232</v>
      </c>
      <c r="AM629" s="166" t="s">
        <v>1045</v>
      </c>
      <c r="AN629" s="165" t="s">
        <v>726</v>
      </c>
      <c r="AO629" s="165" t="s">
        <v>726</v>
      </c>
      <c r="AP629" s="165" t="s">
        <v>504</v>
      </c>
      <c r="AQ629" s="165" t="s">
        <v>504</v>
      </c>
      <c r="AR629" s="167"/>
      <c r="AS629" s="165" t="s">
        <v>1233</v>
      </c>
      <c r="AT629" s="165"/>
      <c r="AU629" s="165" t="s">
        <v>515</v>
      </c>
      <c r="AV629" s="165">
        <v>7</v>
      </c>
      <c r="AW629" s="165" t="s">
        <v>348</v>
      </c>
      <c r="AX629" s="168"/>
      <c r="AY629" s="166">
        <v>1</v>
      </c>
      <c r="AZ629" s="166" t="s">
        <v>326</v>
      </c>
    </row>
    <row r="630" spans="38:52" hidden="1" x14ac:dyDescent="0.25">
      <c r="AL630" s="15" t="s">
        <v>1234</v>
      </c>
      <c r="AM630" s="166" t="s">
        <v>1045</v>
      </c>
      <c r="AN630" s="163" t="s">
        <v>726</v>
      </c>
      <c r="AO630" s="163" t="s">
        <v>726</v>
      </c>
      <c r="AP630" s="163" t="s">
        <v>806</v>
      </c>
      <c r="AQ630" s="163" t="s">
        <v>504</v>
      </c>
      <c r="AR630" s="164"/>
      <c r="AS630" s="163" t="s">
        <v>828</v>
      </c>
      <c r="AT630" s="163">
        <v>590</v>
      </c>
      <c r="AU630" s="163" t="s">
        <v>515</v>
      </c>
      <c r="AV630" s="163">
        <v>7</v>
      </c>
      <c r="AW630" s="163" t="s">
        <v>583</v>
      </c>
      <c r="AX630" s="168"/>
      <c r="AY630" s="166">
        <v>1</v>
      </c>
      <c r="AZ630" s="166" t="s">
        <v>357</v>
      </c>
    </row>
    <row r="631" spans="38:52" hidden="1" x14ac:dyDescent="0.25">
      <c r="AL631" s="166" t="s">
        <v>1235</v>
      </c>
      <c r="AM631" s="166" t="s">
        <v>1045</v>
      </c>
      <c r="AN631" s="165" t="s">
        <v>726</v>
      </c>
      <c r="AO631" s="165" t="s">
        <v>726</v>
      </c>
      <c r="AP631" s="165" t="s">
        <v>806</v>
      </c>
      <c r="AQ631" s="165" t="s">
        <v>504</v>
      </c>
      <c r="AR631" s="167"/>
      <c r="AS631" s="165" t="s">
        <v>828</v>
      </c>
      <c r="AT631" s="165">
        <v>393</v>
      </c>
      <c r="AU631" s="165" t="s">
        <v>515</v>
      </c>
      <c r="AV631" s="165">
        <v>7</v>
      </c>
      <c r="AW631" s="165" t="s">
        <v>583</v>
      </c>
      <c r="AX631" s="168"/>
      <c r="AY631" s="166">
        <v>1</v>
      </c>
      <c r="AZ631" s="166" t="s">
        <v>338</v>
      </c>
    </row>
    <row r="632" spans="38:52" hidden="1" x14ac:dyDescent="0.25">
      <c r="AL632" s="166" t="s">
        <v>1236</v>
      </c>
      <c r="AM632" s="166" t="s">
        <v>1045</v>
      </c>
      <c r="AN632" s="165" t="s">
        <v>726</v>
      </c>
      <c r="AO632" s="165" t="s">
        <v>726</v>
      </c>
      <c r="AP632" s="165" t="s">
        <v>806</v>
      </c>
      <c r="AQ632" s="165" t="s">
        <v>504</v>
      </c>
      <c r="AR632" s="167"/>
      <c r="AS632" s="165" t="s">
        <v>866</v>
      </c>
      <c r="AT632" s="165"/>
      <c r="AU632" s="165" t="s">
        <v>515</v>
      </c>
      <c r="AV632" s="165">
        <v>7</v>
      </c>
      <c r="AW632" s="165" t="s">
        <v>583</v>
      </c>
      <c r="AX632" s="168"/>
      <c r="AY632" s="166">
        <v>1</v>
      </c>
      <c r="AZ632" s="166" t="s">
        <v>326</v>
      </c>
    </row>
    <row r="633" spans="38:52" hidden="1" x14ac:dyDescent="0.25">
      <c r="AL633" s="166" t="s">
        <v>1237</v>
      </c>
      <c r="AM633" s="166" t="s">
        <v>1238</v>
      </c>
      <c r="AN633" s="163"/>
      <c r="AO633" s="163"/>
      <c r="AP633" s="163"/>
      <c r="AQ633" s="163"/>
      <c r="AR633" s="164"/>
      <c r="AS633" s="163"/>
      <c r="AT633" s="165">
        <v>23</v>
      </c>
      <c r="AU633" s="165" t="s">
        <v>544</v>
      </c>
      <c r="AV633" s="163"/>
      <c r="AW633" s="163"/>
      <c r="AX633" s="168" t="s">
        <v>1239</v>
      </c>
      <c r="AY633" s="166">
        <v>1</v>
      </c>
      <c r="AZ633" s="166" t="s">
        <v>338</v>
      </c>
    </row>
    <row r="634" spans="38:52" hidden="1" x14ac:dyDescent="0.25">
      <c r="AL634" s="166" t="s">
        <v>1240</v>
      </c>
      <c r="AM634" s="166" t="s">
        <v>1238</v>
      </c>
      <c r="AN634" s="163"/>
      <c r="AO634" s="163"/>
      <c r="AP634" s="163"/>
      <c r="AQ634" s="163"/>
      <c r="AR634" s="164"/>
      <c r="AS634" s="163"/>
      <c r="AT634" s="165">
        <v>22</v>
      </c>
      <c r="AU634" s="165" t="s">
        <v>376</v>
      </c>
      <c r="AV634" s="163"/>
      <c r="AW634" s="163"/>
      <c r="AX634" s="168" t="s">
        <v>1239</v>
      </c>
      <c r="AY634" s="166">
        <v>1</v>
      </c>
      <c r="AZ634" s="166" t="s">
        <v>338</v>
      </c>
    </row>
    <row r="635" spans="38:52" hidden="1" x14ac:dyDescent="0.25">
      <c r="AL635" s="15" t="s">
        <v>1243</v>
      </c>
      <c r="AM635" s="15" t="s">
        <v>1244</v>
      </c>
      <c r="AN635" s="170">
        <v>7.0625</v>
      </c>
      <c r="AO635" s="171">
        <v>5.875</v>
      </c>
      <c r="AP635" s="163" t="s">
        <v>376</v>
      </c>
      <c r="AQ635" s="163" t="s">
        <v>688</v>
      </c>
      <c r="AR635" s="164"/>
      <c r="AS635" s="163" t="s">
        <v>1245</v>
      </c>
      <c r="AT635" s="163">
        <v>182</v>
      </c>
      <c r="AU635" s="163"/>
      <c r="AV635" s="163"/>
      <c r="AW635" s="163"/>
      <c r="AX635" s="168" t="s">
        <v>1246</v>
      </c>
      <c r="AY635" s="166">
        <v>1</v>
      </c>
      <c r="AZ635" s="166" t="s">
        <v>338</v>
      </c>
    </row>
    <row r="636" spans="38:52" hidden="1" x14ac:dyDescent="0.25">
      <c r="AL636" s="15" t="s">
        <v>1247</v>
      </c>
      <c r="AM636" s="15" t="s">
        <v>1244</v>
      </c>
      <c r="AN636" s="163" t="s">
        <v>394</v>
      </c>
      <c r="AO636" s="171">
        <v>5.875</v>
      </c>
      <c r="AP636" s="171" t="s">
        <v>376</v>
      </c>
      <c r="AQ636" s="163" t="s">
        <v>376</v>
      </c>
      <c r="AR636" s="164"/>
      <c r="AS636" s="163" t="s">
        <v>1248</v>
      </c>
      <c r="AT636" s="163">
        <v>70</v>
      </c>
      <c r="AU636" s="163"/>
      <c r="AV636" s="163"/>
      <c r="AW636" s="163"/>
      <c r="AX636" s="168" t="s">
        <v>1249</v>
      </c>
      <c r="AY636" s="166">
        <v>1</v>
      </c>
      <c r="AZ636" s="166" t="s">
        <v>338</v>
      </c>
    </row>
    <row r="637" spans="38:52" hidden="1" x14ac:dyDescent="0.25">
      <c r="AL637" s="15" t="s">
        <v>1250</v>
      </c>
      <c r="AM637" s="166" t="s">
        <v>1244</v>
      </c>
      <c r="AN637" s="163" t="s">
        <v>394</v>
      </c>
      <c r="AO637" s="171">
        <v>5.875</v>
      </c>
      <c r="AP637" s="163" t="s">
        <v>376</v>
      </c>
      <c r="AQ637" s="163" t="s">
        <v>1251</v>
      </c>
      <c r="AR637" s="164"/>
      <c r="AS637" s="163" t="s">
        <v>1248</v>
      </c>
      <c r="AT637" s="163">
        <v>70</v>
      </c>
      <c r="AU637" s="163"/>
      <c r="AV637" s="163"/>
      <c r="AW637" s="163"/>
      <c r="AX637" s="168" t="s">
        <v>1252</v>
      </c>
      <c r="AY637" s="166">
        <v>1</v>
      </c>
      <c r="AZ637" s="166" t="s">
        <v>326</v>
      </c>
    </row>
    <row r="638" spans="38:52" hidden="1" x14ac:dyDescent="0.25">
      <c r="AL638" s="15" t="s">
        <v>1253</v>
      </c>
      <c r="AM638" s="166" t="s">
        <v>1244</v>
      </c>
      <c r="AN638" s="163" t="s">
        <v>394</v>
      </c>
      <c r="AO638" s="171">
        <v>5.875</v>
      </c>
      <c r="AP638" s="163" t="s">
        <v>376</v>
      </c>
      <c r="AQ638" s="163" t="s">
        <v>1254</v>
      </c>
      <c r="AR638" s="164"/>
      <c r="AS638" s="163" t="s">
        <v>1248</v>
      </c>
      <c r="AT638" s="163">
        <v>70</v>
      </c>
      <c r="AU638" s="163"/>
      <c r="AV638" s="163"/>
      <c r="AW638" s="163"/>
      <c r="AX638" s="168" t="s">
        <v>1252</v>
      </c>
      <c r="AY638" s="166">
        <v>1</v>
      </c>
      <c r="AZ638" s="166" t="s">
        <v>338</v>
      </c>
    </row>
    <row r="639" spans="38:52" hidden="1" x14ac:dyDescent="0.25">
      <c r="AL639" s="15" t="s">
        <v>1255</v>
      </c>
      <c r="AM639" s="15" t="s">
        <v>1244</v>
      </c>
      <c r="AN639" s="163" t="s">
        <v>394</v>
      </c>
      <c r="AO639" s="163" t="s">
        <v>394</v>
      </c>
      <c r="AP639" s="163" t="s">
        <v>376</v>
      </c>
      <c r="AQ639" s="163" t="s">
        <v>376</v>
      </c>
      <c r="AR639" s="164"/>
      <c r="AS639" s="171">
        <v>17.375</v>
      </c>
      <c r="AT639" s="163">
        <v>215</v>
      </c>
      <c r="AU639" s="171" t="s">
        <v>353</v>
      </c>
      <c r="AV639" s="163">
        <v>3</v>
      </c>
      <c r="AW639" s="163" t="s">
        <v>916</v>
      </c>
      <c r="AX639" s="168" t="s">
        <v>1256</v>
      </c>
      <c r="AY639" s="166">
        <v>2</v>
      </c>
      <c r="AZ639" s="166" t="s">
        <v>1257</v>
      </c>
    </row>
    <row r="640" spans="38:52" hidden="1" x14ac:dyDescent="0.25">
      <c r="AL640" s="15" t="s">
        <v>1258</v>
      </c>
      <c r="AM640" s="15" t="s">
        <v>1244</v>
      </c>
      <c r="AN640" s="163" t="s">
        <v>1231</v>
      </c>
      <c r="AO640" s="163" t="s">
        <v>394</v>
      </c>
      <c r="AP640" s="163" t="s">
        <v>376</v>
      </c>
      <c r="AQ640" s="163" t="s">
        <v>376</v>
      </c>
      <c r="AR640" s="164"/>
      <c r="AS640" s="163">
        <v>14</v>
      </c>
      <c r="AT640" s="163">
        <v>150</v>
      </c>
      <c r="AU640" s="171" t="s">
        <v>353</v>
      </c>
      <c r="AV640" s="163"/>
      <c r="AW640" s="163"/>
      <c r="AX640" s="168" t="s">
        <v>1259</v>
      </c>
      <c r="AY640" s="166">
        <v>2</v>
      </c>
      <c r="AZ640" s="166" t="s">
        <v>1257</v>
      </c>
    </row>
    <row r="641" spans="38:52" hidden="1" x14ac:dyDescent="0.25">
      <c r="AL641" s="15" t="s">
        <v>1260</v>
      </c>
      <c r="AM641" s="15" t="s">
        <v>1244</v>
      </c>
      <c r="AN641" s="163" t="s">
        <v>1231</v>
      </c>
      <c r="AO641" s="163" t="s">
        <v>394</v>
      </c>
      <c r="AP641" s="163" t="s">
        <v>376</v>
      </c>
      <c r="AQ641" s="163" t="s">
        <v>1261</v>
      </c>
      <c r="AR641" s="164"/>
      <c r="AS641" s="163">
        <v>14</v>
      </c>
      <c r="AT641" s="163">
        <v>150</v>
      </c>
      <c r="AU641" s="171" t="s">
        <v>353</v>
      </c>
      <c r="AV641" s="163"/>
      <c r="AW641" s="163"/>
      <c r="AX641" s="168" t="s">
        <v>1259</v>
      </c>
      <c r="AY641" s="166">
        <v>2</v>
      </c>
      <c r="AZ641" s="166" t="s">
        <v>357</v>
      </c>
    </row>
    <row r="642" spans="38:52" hidden="1" x14ac:dyDescent="0.25">
      <c r="AL642" s="15" t="s">
        <v>1262</v>
      </c>
      <c r="AM642" s="15" t="s">
        <v>1244</v>
      </c>
      <c r="AN642" s="163" t="s">
        <v>1231</v>
      </c>
      <c r="AO642" s="163" t="s">
        <v>394</v>
      </c>
      <c r="AP642" s="163" t="s">
        <v>376</v>
      </c>
      <c r="AQ642" s="163" t="s">
        <v>361</v>
      </c>
      <c r="AR642" s="164"/>
      <c r="AS642" s="163">
        <v>14</v>
      </c>
      <c r="AT642" s="163">
        <v>150</v>
      </c>
      <c r="AU642" s="171" t="s">
        <v>353</v>
      </c>
      <c r="AV642" s="163"/>
      <c r="AW642" s="163"/>
      <c r="AX642" s="168" t="s">
        <v>1259</v>
      </c>
      <c r="AY642" s="166">
        <v>2</v>
      </c>
      <c r="AZ642" s="166" t="s">
        <v>1257</v>
      </c>
    </row>
    <row r="643" spans="38:52" hidden="1" x14ac:dyDescent="0.25">
      <c r="AL643" s="166" t="s">
        <v>1263</v>
      </c>
      <c r="AM643" s="166" t="s">
        <v>1264</v>
      </c>
      <c r="AN643" s="165">
        <v>7</v>
      </c>
      <c r="AO643" s="165">
        <v>6</v>
      </c>
      <c r="AP643" s="165" t="s">
        <v>376</v>
      </c>
      <c r="AQ643" s="165" t="s">
        <v>376</v>
      </c>
      <c r="AR643" s="167"/>
      <c r="AS643" s="172">
        <v>19.75</v>
      </c>
      <c r="AT643" s="165">
        <v>400</v>
      </c>
      <c r="AU643" s="165" t="s">
        <v>1265</v>
      </c>
      <c r="AV643" s="165">
        <v>5.25</v>
      </c>
      <c r="AW643" s="165" t="s">
        <v>1266</v>
      </c>
      <c r="AX643" s="168" t="s">
        <v>1267</v>
      </c>
      <c r="AY643" s="166">
        <v>1</v>
      </c>
      <c r="AZ643" s="166" t="s">
        <v>326</v>
      </c>
    </row>
    <row r="644" spans="38:52" hidden="1" x14ac:dyDescent="0.25">
      <c r="AL644" s="15" t="s">
        <v>1268</v>
      </c>
      <c r="AM644" s="15" t="s">
        <v>1264</v>
      </c>
      <c r="AN644" s="163">
        <v>7</v>
      </c>
      <c r="AO644" s="163" t="s">
        <v>454</v>
      </c>
      <c r="AP644" s="163" t="s">
        <v>376</v>
      </c>
      <c r="AQ644" s="163" t="s">
        <v>1269</v>
      </c>
      <c r="AR644" s="164"/>
      <c r="AS644" s="163">
        <v>23</v>
      </c>
      <c r="AT644" s="163">
        <v>400</v>
      </c>
      <c r="AU644" s="163" t="s">
        <v>1265</v>
      </c>
      <c r="AV644" s="163">
        <v>4</v>
      </c>
      <c r="AW644" s="163" t="s">
        <v>1266</v>
      </c>
      <c r="AX644" s="168" t="s">
        <v>1270</v>
      </c>
      <c r="AY644" s="166">
        <v>1</v>
      </c>
      <c r="AZ644" s="166" t="s">
        <v>338</v>
      </c>
    </row>
    <row r="645" spans="38:52" hidden="1" x14ac:dyDescent="0.25">
      <c r="AL645" s="166" t="s">
        <v>1271</v>
      </c>
      <c r="AM645" s="166" t="s">
        <v>1264</v>
      </c>
      <c r="AN645" s="172">
        <v>7.625</v>
      </c>
      <c r="AO645" s="172">
        <v>7.625</v>
      </c>
      <c r="AP645" s="165" t="s">
        <v>513</v>
      </c>
      <c r="AQ645" s="165" t="s">
        <v>513</v>
      </c>
      <c r="AR645" s="167"/>
      <c r="AS645" s="165" t="s">
        <v>1272</v>
      </c>
      <c r="AT645" s="165"/>
      <c r="AU645" s="165" t="s">
        <v>509</v>
      </c>
      <c r="AV645" s="165"/>
      <c r="AW645" s="165"/>
      <c r="AX645" s="168" t="s">
        <v>1273</v>
      </c>
      <c r="AY645" s="166">
        <v>1</v>
      </c>
      <c r="AZ645" s="166" t="s">
        <v>326</v>
      </c>
    </row>
    <row r="646" spans="38:52" hidden="1" x14ac:dyDescent="0.25">
      <c r="AL646" s="15" t="s">
        <v>1274</v>
      </c>
      <c r="AM646" s="15" t="s">
        <v>1264</v>
      </c>
      <c r="AN646" s="163">
        <v>8</v>
      </c>
      <c r="AO646" s="171">
        <v>7.625</v>
      </c>
      <c r="AP646" s="163" t="s">
        <v>513</v>
      </c>
      <c r="AQ646" s="163" t="s">
        <v>504</v>
      </c>
      <c r="AR646" s="164"/>
      <c r="AS646" s="163">
        <v>25</v>
      </c>
      <c r="AT646" s="163">
        <v>400</v>
      </c>
      <c r="AU646" s="163" t="s">
        <v>1275</v>
      </c>
      <c r="AV646" s="163">
        <v>6</v>
      </c>
      <c r="AW646" s="171" t="s">
        <v>1276</v>
      </c>
      <c r="AX646" s="168" t="s">
        <v>1277</v>
      </c>
      <c r="AY646" s="166">
        <v>1</v>
      </c>
      <c r="AZ646" s="166" t="s">
        <v>357</v>
      </c>
    </row>
    <row r="647" spans="38:52" hidden="1" x14ac:dyDescent="0.25">
      <c r="AL647" s="15" t="s">
        <v>1278</v>
      </c>
      <c r="AM647" s="15" t="s">
        <v>1264</v>
      </c>
      <c r="AN647" s="163">
        <v>8</v>
      </c>
      <c r="AO647" s="171">
        <v>8.625</v>
      </c>
      <c r="AP647" s="163" t="s">
        <v>513</v>
      </c>
      <c r="AQ647" s="163" t="s">
        <v>504</v>
      </c>
      <c r="AR647" s="164"/>
      <c r="AS647" s="163">
        <v>25</v>
      </c>
      <c r="AT647" s="163">
        <v>400</v>
      </c>
      <c r="AU647" s="163" t="s">
        <v>1275</v>
      </c>
      <c r="AV647" s="163">
        <v>7</v>
      </c>
      <c r="AW647" s="163" t="s">
        <v>1279</v>
      </c>
      <c r="AX647" s="168" t="s">
        <v>1277</v>
      </c>
      <c r="AY647" s="166">
        <v>1</v>
      </c>
      <c r="AZ647" s="166" t="s">
        <v>326</v>
      </c>
    </row>
    <row r="648" spans="38:52" hidden="1" x14ac:dyDescent="0.25">
      <c r="AL648" s="15" t="s">
        <v>1280</v>
      </c>
      <c r="AM648" s="166" t="s">
        <v>1264</v>
      </c>
      <c r="AN648" s="171">
        <v>8</v>
      </c>
      <c r="AO648" s="171">
        <v>8.625</v>
      </c>
      <c r="AP648" s="163" t="s">
        <v>806</v>
      </c>
      <c r="AQ648" s="163" t="s">
        <v>504</v>
      </c>
      <c r="AR648" s="164"/>
      <c r="AS648" s="163">
        <v>39</v>
      </c>
      <c r="AT648" s="163">
        <v>450</v>
      </c>
      <c r="AU648" s="163" t="s">
        <v>1281</v>
      </c>
      <c r="AV648" s="163">
        <v>7</v>
      </c>
      <c r="AW648" s="163" t="s">
        <v>737</v>
      </c>
      <c r="AX648" s="168" t="s">
        <v>1282</v>
      </c>
      <c r="AY648" s="166">
        <v>1</v>
      </c>
      <c r="AZ648" s="166" t="s">
        <v>326</v>
      </c>
    </row>
    <row r="649" spans="38:52" hidden="1" x14ac:dyDescent="0.25">
      <c r="AL649" s="166" t="s">
        <v>1283</v>
      </c>
      <c r="AM649" s="166" t="s">
        <v>1264</v>
      </c>
      <c r="AN649" s="165">
        <v>8.25</v>
      </c>
      <c r="AO649" s="172">
        <v>8.625</v>
      </c>
      <c r="AP649" s="165" t="s">
        <v>806</v>
      </c>
      <c r="AQ649" s="165" t="s">
        <v>504</v>
      </c>
      <c r="AR649" s="167"/>
      <c r="AS649" s="165">
        <v>29</v>
      </c>
      <c r="AT649" s="165">
        <v>1000</v>
      </c>
      <c r="AU649" s="165" t="s">
        <v>1284</v>
      </c>
      <c r="AV649" s="165">
        <v>7</v>
      </c>
      <c r="AW649" s="165" t="s">
        <v>348</v>
      </c>
      <c r="AX649" s="168" t="s">
        <v>1285</v>
      </c>
      <c r="AY649" s="166">
        <v>1</v>
      </c>
      <c r="AZ649" s="166" t="s">
        <v>326</v>
      </c>
    </row>
    <row r="650" spans="38:52" hidden="1" x14ac:dyDescent="0.25">
      <c r="AL650" s="166" t="s">
        <v>1286</v>
      </c>
      <c r="AM650" s="166" t="s">
        <v>1264</v>
      </c>
      <c r="AN650" s="165">
        <v>8.25</v>
      </c>
      <c r="AO650" s="172">
        <v>9.625</v>
      </c>
      <c r="AP650" s="165" t="s">
        <v>806</v>
      </c>
      <c r="AQ650" s="165" t="s">
        <v>504</v>
      </c>
      <c r="AR650" s="167"/>
      <c r="AS650" s="165">
        <v>29</v>
      </c>
      <c r="AT650" s="165">
        <v>1000</v>
      </c>
      <c r="AU650" s="165" t="s">
        <v>1284</v>
      </c>
      <c r="AV650" s="165">
        <v>7</v>
      </c>
      <c r="AW650" s="165" t="s">
        <v>348</v>
      </c>
      <c r="AX650" s="168" t="s">
        <v>1285</v>
      </c>
      <c r="AY650" s="166">
        <v>1</v>
      </c>
      <c r="AZ650" s="166" t="s">
        <v>326</v>
      </c>
    </row>
    <row r="651" spans="38:52" hidden="1" x14ac:dyDescent="0.25">
      <c r="AL651" s="15" t="s">
        <v>1287</v>
      </c>
      <c r="AM651" s="166" t="s">
        <v>1264</v>
      </c>
      <c r="AN651" s="163">
        <v>8.25</v>
      </c>
      <c r="AO651" s="163">
        <v>10.25</v>
      </c>
      <c r="AP651" s="163" t="s">
        <v>806</v>
      </c>
      <c r="AQ651" s="163" t="s">
        <v>570</v>
      </c>
      <c r="AR651" s="164"/>
      <c r="AS651" s="163">
        <v>29</v>
      </c>
      <c r="AT651" s="163">
        <v>1000</v>
      </c>
      <c r="AU651" s="163" t="s">
        <v>1284</v>
      </c>
      <c r="AV651" s="163">
        <v>8</v>
      </c>
      <c r="AW651" s="163" t="s">
        <v>348</v>
      </c>
      <c r="AX651" s="168" t="s">
        <v>1285</v>
      </c>
      <c r="AY651" s="166">
        <v>1</v>
      </c>
      <c r="AZ651" s="166" t="s">
        <v>326</v>
      </c>
    </row>
    <row r="652" spans="38:52" hidden="1" x14ac:dyDescent="0.25">
      <c r="AL652" s="15" t="s">
        <v>1288</v>
      </c>
      <c r="AM652" s="15" t="s">
        <v>1264</v>
      </c>
      <c r="AN652" s="163" t="s">
        <v>1289</v>
      </c>
      <c r="AO652" s="163">
        <v>5</v>
      </c>
      <c r="AP652" s="163" t="s">
        <v>376</v>
      </c>
      <c r="AQ652" s="163" t="s">
        <v>376</v>
      </c>
      <c r="AR652" s="164"/>
      <c r="AS652" s="163">
        <v>17</v>
      </c>
      <c r="AT652" s="163">
        <v>400</v>
      </c>
      <c r="AU652" s="163"/>
      <c r="AV652" s="163">
        <v>3</v>
      </c>
      <c r="AW652" s="163" t="s">
        <v>354</v>
      </c>
      <c r="AX652" s="168"/>
      <c r="AY652" s="166">
        <v>5</v>
      </c>
      <c r="AZ652" s="166" t="s">
        <v>1290</v>
      </c>
    </row>
    <row r="653" spans="38:52" hidden="1" x14ac:dyDescent="0.25">
      <c r="AL653" s="15" t="s">
        <v>1291</v>
      </c>
      <c r="AM653" s="15" t="s">
        <v>1264</v>
      </c>
      <c r="AN653" s="163" t="s">
        <v>1289</v>
      </c>
      <c r="AO653" s="163">
        <v>5</v>
      </c>
      <c r="AP653" s="163" t="s">
        <v>376</v>
      </c>
      <c r="AQ653" s="163" t="s">
        <v>1292</v>
      </c>
      <c r="AR653" s="164"/>
      <c r="AS653" s="163">
        <v>17</v>
      </c>
      <c r="AT653" s="163">
        <v>400</v>
      </c>
      <c r="AU653" s="163"/>
      <c r="AV653" s="163">
        <v>3</v>
      </c>
      <c r="AW653" s="163" t="s">
        <v>354</v>
      </c>
      <c r="AX653" s="168"/>
      <c r="AY653" s="166">
        <v>1</v>
      </c>
      <c r="AZ653" s="166" t="s">
        <v>338</v>
      </c>
    </row>
    <row r="654" spans="38:52" hidden="1" x14ac:dyDescent="0.25">
      <c r="AL654" s="15" t="s">
        <v>1293</v>
      </c>
      <c r="AM654" s="15" t="s">
        <v>1264</v>
      </c>
      <c r="AN654" s="163" t="s">
        <v>1289</v>
      </c>
      <c r="AO654" s="163">
        <v>6</v>
      </c>
      <c r="AP654" s="163" t="s">
        <v>376</v>
      </c>
      <c r="AQ654" s="163" t="s">
        <v>812</v>
      </c>
      <c r="AR654" s="164"/>
      <c r="AS654" s="163">
        <v>17</v>
      </c>
      <c r="AT654" s="163">
        <v>400</v>
      </c>
      <c r="AU654" s="163"/>
      <c r="AV654" s="163" t="s">
        <v>394</v>
      </c>
      <c r="AW654" s="163" t="s">
        <v>916</v>
      </c>
      <c r="AX654" s="168" t="s">
        <v>1294</v>
      </c>
      <c r="AY654" s="166">
        <v>1</v>
      </c>
      <c r="AZ654" s="166" t="s">
        <v>338</v>
      </c>
    </row>
    <row r="655" spans="38:52" hidden="1" x14ac:dyDescent="0.25">
      <c r="AL655" s="166" t="s">
        <v>1295</v>
      </c>
      <c r="AM655" s="166" t="s">
        <v>1264</v>
      </c>
      <c r="AN655" s="165" t="s">
        <v>454</v>
      </c>
      <c r="AO655" s="165">
        <v>7</v>
      </c>
      <c r="AP655" s="165" t="s">
        <v>376</v>
      </c>
      <c r="AQ655" s="165" t="s">
        <v>452</v>
      </c>
      <c r="AR655" s="167"/>
      <c r="AS655" s="165" t="s">
        <v>1145</v>
      </c>
      <c r="AT655" s="165">
        <v>670</v>
      </c>
      <c r="AU655" s="165" t="s">
        <v>1242</v>
      </c>
      <c r="AV655" s="165">
        <v>5</v>
      </c>
      <c r="AW655" s="165" t="s">
        <v>348</v>
      </c>
      <c r="AX655" s="168" t="s">
        <v>1285</v>
      </c>
      <c r="AY655" s="166">
        <v>1</v>
      </c>
      <c r="AZ655" s="166" t="s">
        <v>326</v>
      </c>
    </row>
    <row r="656" spans="38:52" hidden="1" x14ac:dyDescent="0.25">
      <c r="AL656" s="166" t="s">
        <v>1296</v>
      </c>
      <c r="AM656" s="166" t="s">
        <v>1264</v>
      </c>
      <c r="AN656" s="165" t="s">
        <v>454</v>
      </c>
      <c r="AO656" s="172">
        <v>7.625</v>
      </c>
      <c r="AP656" s="165" t="s">
        <v>376</v>
      </c>
      <c r="AQ656" s="165" t="s">
        <v>504</v>
      </c>
      <c r="AR656" s="167"/>
      <c r="AS656" s="165" t="s">
        <v>1145</v>
      </c>
      <c r="AT656" s="165">
        <v>670</v>
      </c>
      <c r="AU656" s="165" t="s">
        <v>1242</v>
      </c>
      <c r="AV656" s="165">
        <v>6</v>
      </c>
      <c r="AW656" s="165" t="s">
        <v>348</v>
      </c>
      <c r="AX656" s="168" t="s">
        <v>1285</v>
      </c>
      <c r="AY656" s="166">
        <v>1</v>
      </c>
      <c r="AZ656" s="166" t="s">
        <v>326</v>
      </c>
    </row>
    <row r="657" spans="38:52" hidden="1" x14ac:dyDescent="0.25">
      <c r="AL657" s="166" t="s">
        <v>1297</v>
      </c>
      <c r="AM657" s="166" t="s">
        <v>1264</v>
      </c>
      <c r="AN657" s="165" t="s">
        <v>454</v>
      </c>
      <c r="AO657" s="172">
        <v>7.625</v>
      </c>
      <c r="AP657" s="165" t="s">
        <v>376</v>
      </c>
      <c r="AQ657" s="165" t="s">
        <v>513</v>
      </c>
      <c r="AR657" s="167"/>
      <c r="AS657" s="165" t="s">
        <v>1145</v>
      </c>
      <c r="AT657" s="165">
        <v>670</v>
      </c>
      <c r="AU657" s="165" t="s">
        <v>1242</v>
      </c>
      <c r="AV657" s="165"/>
      <c r="AW657" s="165" t="s">
        <v>348</v>
      </c>
      <c r="AX657" s="168" t="s">
        <v>1285</v>
      </c>
      <c r="AY657" s="166">
        <v>1</v>
      </c>
      <c r="AZ657" s="166" t="s">
        <v>326</v>
      </c>
    </row>
    <row r="658" spans="38:52" hidden="1" x14ac:dyDescent="0.25">
      <c r="AL658" s="166" t="s">
        <v>1298</v>
      </c>
      <c r="AM658" s="166" t="s">
        <v>1264</v>
      </c>
      <c r="AN658" s="165" t="s">
        <v>1231</v>
      </c>
      <c r="AO658" s="172">
        <v>8.625</v>
      </c>
      <c r="AP658" s="165" t="s">
        <v>806</v>
      </c>
      <c r="AQ658" s="165" t="s">
        <v>504</v>
      </c>
      <c r="AR658" s="167"/>
      <c r="AS658" s="165">
        <v>42</v>
      </c>
      <c r="AT658" s="165"/>
      <c r="AU658" s="165" t="s">
        <v>1285</v>
      </c>
      <c r="AV658" s="165">
        <v>7</v>
      </c>
      <c r="AW658" s="165" t="s">
        <v>737</v>
      </c>
      <c r="AX658" s="168" t="s">
        <v>1299</v>
      </c>
      <c r="AY658" s="166">
        <v>1</v>
      </c>
      <c r="AZ658" s="166" t="s">
        <v>326</v>
      </c>
    </row>
  </sheetData>
  <sheetProtection selectLockedCells="1" selectUnlockedCells="1"/>
  <autoFilter ref="AL62:AZ658" xr:uid="{00000000-0009-0000-0000-000001000000}">
    <filterColumn colId="1">
      <filters>
        <filter val="Drill Pipe"/>
      </filters>
    </filterColumn>
    <filterColumn colId="2">
      <filters>
        <filter val="8 5/8"/>
      </filters>
    </filterColumn>
    <filterColumn colId="7">
      <filters>
        <filter val="25'"/>
      </filters>
    </filterColumn>
  </autoFilter>
  <mergeCells count="18">
    <mergeCell ref="AQ34:AY34"/>
    <mergeCell ref="AZ34:BH34"/>
    <mergeCell ref="FT33:FW33"/>
    <mergeCell ref="FT35:FW35"/>
    <mergeCell ref="FT68:FW68"/>
    <mergeCell ref="BW51:BW58"/>
    <mergeCell ref="BW60:BW67"/>
    <mergeCell ref="AR49:AS49"/>
    <mergeCell ref="AU49:AV49"/>
    <mergeCell ref="FX68:GA68"/>
    <mergeCell ref="FW10:FX10"/>
    <mergeCell ref="FX33:GA33"/>
    <mergeCell ref="FX35:GA35"/>
    <mergeCell ref="CG44:CH44"/>
    <mergeCell ref="CP50:CQ50"/>
    <mergeCell ref="CP44:CQ44"/>
    <mergeCell ref="CP46:CQ46"/>
    <mergeCell ref="CP48:CQ48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95"/>
  <sheetViews>
    <sheetView zoomScale="80" zoomScaleNormal="80" workbookViewId="0">
      <selection activeCell="U23" sqref="U23"/>
    </sheetView>
  </sheetViews>
  <sheetFormatPr defaultColWidth="9.140625" defaultRowHeight="11.25" x14ac:dyDescent="0.2"/>
  <cols>
    <col min="1" max="1" width="7.7109375" style="2" customWidth="1"/>
    <col min="2" max="2" width="5.7109375" style="2" customWidth="1"/>
    <col min="3" max="3" width="20.7109375" style="2" customWidth="1"/>
    <col min="4" max="4" width="20.140625" style="2" bestFit="1" customWidth="1"/>
    <col min="5" max="5" width="8.7109375" style="2" customWidth="1"/>
    <col min="6" max="7" width="1.7109375" style="2" customWidth="1"/>
    <col min="8" max="8" width="20.7109375" style="2" customWidth="1"/>
    <col min="9" max="9" width="10.7109375" style="2" customWidth="1"/>
    <col min="10" max="10" width="8.7109375" style="2" customWidth="1"/>
    <col min="11" max="11" width="2.7109375" style="2" customWidth="1"/>
    <col min="12" max="12" width="1.7109375" style="2" customWidth="1"/>
    <col min="13" max="13" width="20.7109375" style="2" customWidth="1"/>
    <col min="14" max="14" width="10.7109375" style="2" customWidth="1"/>
    <col min="15" max="15" width="8.7109375" style="2" customWidth="1"/>
    <col min="16" max="16" width="5.7109375" style="2" customWidth="1"/>
    <col min="17" max="23" width="6.7109375" style="2" customWidth="1"/>
    <col min="24" max="16384" width="9.140625" style="2"/>
  </cols>
  <sheetData>
    <row r="1" spans="1:24" ht="20.100000000000001" customHeight="1" thickTop="1" thickBot="1" x14ac:dyDescent="0.25">
      <c r="A1" s="16"/>
      <c r="B1" s="45"/>
      <c r="C1" s="39"/>
      <c r="D1" s="298" t="s">
        <v>189</v>
      </c>
      <c r="E1" s="299"/>
      <c r="F1" s="299"/>
      <c r="G1" s="299"/>
      <c r="H1" s="299"/>
      <c r="I1" s="299"/>
      <c r="J1" s="299"/>
      <c r="K1" s="299"/>
      <c r="L1" s="299"/>
      <c r="M1" s="299"/>
      <c r="N1" s="300"/>
      <c r="O1" s="39"/>
      <c r="P1" s="46"/>
      <c r="Q1" s="17"/>
      <c r="R1" s="17"/>
      <c r="S1" s="17"/>
      <c r="T1" s="17"/>
      <c r="U1" s="17"/>
      <c r="V1" s="17"/>
      <c r="W1" s="17"/>
      <c r="X1" s="18"/>
    </row>
    <row r="2" spans="1:24" ht="20.100000000000001" customHeight="1" thickTop="1" thickBot="1" x14ac:dyDescent="0.25">
      <c r="A2" s="16"/>
      <c r="B2" s="58"/>
      <c r="C2" s="59"/>
      <c r="D2" s="301"/>
      <c r="E2" s="302"/>
      <c r="F2" s="302"/>
      <c r="G2" s="302"/>
      <c r="H2" s="302"/>
      <c r="I2" s="302"/>
      <c r="J2" s="302"/>
      <c r="K2" s="302"/>
      <c r="L2" s="302"/>
      <c r="M2" s="302"/>
      <c r="N2" s="303"/>
      <c r="O2" s="59"/>
      <c r="P2" s="112"/>
      <c r="Q2" s="17"/>
      <c r="R2" s="17"/>
      <c r="S2" s="17"/>
      <c r="T2" s="17"/>
      <c r="U2" s="17"/>
      <c r="V2" s="17"/>
      <c r="W2" s="17"/>
      <c r="X2" s="18"/>
    </row>
    <row r="3" spans="1:24" ht="20.100000000000001" customHeight="1" thickTop="1" thickBot="1" x14ac:dyDescent="0.25">
      <c r="A3" s="16"/>
      <c r="B3" s="44"/>
      <c r="C3" s="41"/>
      <c r="D3" s="301"/>
      <c r="E3" s="302"/>
      <c r="F3" s="302"/>
      <c r="G3" s="304"/>
      <c r="H3" s="302"/>
      <c r="I3" s="302"/>
      <c r="J3" s="302"/>
      <c r="K3" s="302"/>
      <c r="L3" s="304"/>
      <c r="M3" s="302"/>
      <c r="N3" s="303"/>
      <c r="O3" s="41"/>
      <c r="P3" s="47"/>
      <c r="Q3" s="17"/>
      <c r="R3" s="17"/>
      <c r="S3" s="17"/>
      <c r="T3" s="17"/>
      <c r="U3" s="17"/>
      <c r="V3" s="17"/>
      <c r="W3" s="17"/>
      <c r="X3" s="18"/>
    </row>
    <row r="4" spans="1:24" ht="20.100000000000001" customHeight="1" thickTop="1" thickBot="1" x14ac:dyDescent="0.25">
      <c r="A4" s="16"/>
      <c r="B4" s="14"/>
      <c r="C4" s="208" t="s">
        <v>147</v>
      </c>
      <c r="D4" s="312" t="s">
        <v>299</v>
      </c>
      <c r="E4" s="312"/>
      <c r="F4" s="313"/>
      <c r="G4" s="207"/>
      <c r="H4" s="131" t="s">
        <v>146</v>
      </c>
      <c r="I4" s="307" t="s">
        <v>298</v>
      </c>
      <c r="J4" s="308"/>
      <c r="K4" s="309"/>
      <c r="L4" s="116"/>
      <c r="M4" s="131" t="s">
        <v>148</v>
      </c>
      <c r="N4" s="305">
        <f ca="1">TODAY()</f>
        <v>44143</v>
      </c>
      <c r="O4" s="306"/>
      <c r="P4" s="206"/>
      <c r="Q4" s="17"/>
      <c r="R4" s="17"/>
      <c r="S4" s="17"/>
      <c r="T4" s="17"/>
      <c r="U4" s="17"/>
      <c r="V4" s="17"/>
      <c r="W4" s="17"/>
      <c r="X4" s="18"/>
    </row>
    <row r="5" spans="1:24" ht="5.0999999999999996" customHeight="1" thickTop="1" thickBot="1" x14ac:dyDescent="0.25">
      <c r="A5" s="16"/>
      <c r="B5" s="44"/>
      <c r="C5" s="69"/>
      <c r="D5" s="69"/>
      <c r="E5" s="69"/>
      <c r="F5" s="69"/>
      <c r="G5" s="41"/>
      <c r="H5" s="69"/>
      <c r="I5" s="69"/>
      <c r="J5" s="69"/>
      <c r="K5" s="69"/>
      <c r="L5" s="41"/>
      <c r="M5" s="69"/>
      <c r="N5" s="69"/>
      <c r="O5" s="69"/>
      <c r="P5" s="47"/>
      <c r="Q5" s="17"/>
      <c r="R5" s="17"/>
      <c r="S5" s="17"/>
      <c r="T5" s="17"/>
      <c r="U5" s="17"/>
      <c r="V5" s="17"/>
      <c r="W5" s="17"/>
      <c r="X5" s="18"/>
    </row>
    <row r="6" spans="1:24" ht="20.100000000000001" customHeight="1" thickTop="1" thickBot="1" x14ac:dyDescent="0.25">
      <c r="A6" s="16"/>
      <c r="B6" s="114"/>
      <c r="C6" s="131" t="s">
        <v>17</v>
      </c>
      <c r="D6" s="205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113"/>
      <c r="Q6" s="17"/>
      <c r="R6" s="17"/>
      <c r="S6" s="17"/>
      <c r="T6" s="17"/>
      <c r="U6" s="17"/>
      <c r="V6" s="17"/>
      <c r="W6" s="17"/>
      <c r="X6" s="18"/>
    </row>
    <row r="7" spans="1:24" ht="24" customHeight="1" thickTop="1" thickBot="1" x14ac:dyDescent="0.25">
      <c r="A7" s="16"/>
      <c r="B7" s="14"/>
      <c r="C7" s="197" t="str">
        <f>+'Calc. Sdk'!AB13</f>
        <v>Bit type</v>
      </c>
      <c r="D7" s="15"/>
      <c r="E7" s="69"/>
      <c r="F7" s="69"/>
      <c r="G7" s="69"/>
      <c r="H7" s="69"/>
      <c r="I7" s="59"/>
      <c r="J7" s="59"/>
      <c r="K7" s="59"/>
      <c r="L7" s="69"/>
      <c r="M7" s="69"/>
      <c r="N7" s="59"/>
      <c r="O7" s="59"/>
      <c r="P7" s="112"/>
      <c r="Q7" s="17"/>
      <c r="R7" s="17"/>
      <c r="S7" s="17"/>
      <c r="T7" s="17"/>
      <c r="U7" s="17"/>
      <c r="V7" s="17"/>
      <c r="W7" s="17"/>
      <c r="X7" s="18"/>
    </row>
    <row r="8" spans="1:24" ht="20.100000000000001" customHeight="1" thickTop="1" thickBot="1" x14ac:dyDescent="0.25">
      <c r="A8" s="16"/>
      <c r="B8" s="65"/>
      <c r="C8" s="204" t="s">
        <v>1264</v>
      </c>
      <c r="D8" s="205"/>
      <c r="E8" s="205"/>
      <c r="F8" s="205"/>
      <c r="G8" s="202"/>
      <c r="H8" s="132" t="s">
        <v>18</v>
      </c>
      <c r="I8" s="78"/>
      <c r="J8" s="17"/>
      <c r="K8" s="16"/>
      <c r="L8" s="16"/>
      <c r="M8" s="131" t="s">
        <v>85</v>
      </c>
      <c r="N8" s="15"/>
      <c r="O8" s="64"/>
      <c r="P8" s="47"/>
      <c r="Q8" s="17"/>
      <c r="R8" s="17"/>
      <c r="S8" s="17"/>
      <c r="T8" s="17"/>
      <c r="U8" s="17"/>
      <c r="V8" s="17"/>
      <c r="W8" s="17"/>
      <c r="X8" s="18"/>
    </row>
    <row r="9" spans="1:24" ht="20.100000000000001" customHeight="1" thickTop="1" thickBot="1" x14ac:dyDescent="0.25">
      <c r="A9" s="16"/>
      <c r="B9" s="14"/>
      <c r="C9" s="205"/>
      <c r="D9" s="205"/>
      <c r="E9" s="205"/>
      <c r="F9" s="205"/>
      <c r="G9" s="202"/>
      <c r="H9" s="198" t="s">
        <v>47</v>
      </c>
      <c r="I9" s="15"/>
      <c r="J9" s="17"/>
      <c r="K9" s="16"/>
      <c r="L9" s="16"/>
      <c r="M9" s="131" t="s">
        <v>89</v>
      </c>
      <c r="N9" s="15"/>
      <c r="O9" s="53"/>
      <c r="P9" s="47"/>
      <c r="Q9" s="17"/>
      <c r="R9" s="17"/>
      <c r="S9" s="17"/>
      <c r="T9" s="17"/>
      <c r="U9" s="17"/>
      <c r="V9" s="17"/>
      <c r="W9" s="17"/>
      <c r="X9" s="18"/>
    </row>
    <row r="10" spans="1:24" ht="5.0999999999999996" customHeight="1" thickTop="1" thickBot="1" x14ac:dyDescent="0.25">
      <c r="A10" s="16"/>
      <c r="B10" s="43"/>
      <c r="C10" s="51"/>
      <c r="D10" s="51"/>
      <c r="E10" s="51"/>
      <c r="F10" s="203"/>
      <c r="G10" s="18"/>
      <c r="H10" s="51"/>
      <c r="I10" s="51"/>
      <c r="J10" s="73"/>
      <c r="K10" s="73"/>
      <c r="L10" s="18"/>
      <c r="M10" s="51"/>
      <c r="N10" s="51"/>
      <c r="O10" s="74"/>
      <c r="P10" s="47"/>
      <c r="Q10" s="17"/>
      <c r="R10" s="17"/>
      <c r="S10" s="17"/>
      <c r="T10" s="17"/>
      <c r="U10" s="17"/>
      <c r="V10" s="17"/>
      <c r="W10" s="17"/>
      <c r="X10" s="18"/>
    </row>
    <row r="11" spans="1:24" ht="20.100000000000001" customHeight="1" thickTop="1" thickBot="1" x14ac:dyDescent="0.25">
      <c r="A11" s="16"/>
      <c r="B11" s="42"/>
      <c r="C11" s="290" t="s">
        <v>40</v>
      </c>
      <c r="D11" s="10">
        <f>IF(D12="","",+D12*0.3048)</f>
        <v>30.48</v>
      </c>
      <c r="E11" s="133" t="s">
        <v>29</v>
      </c>
      <c r="F11" s="50"/>
      <c r="G11" s="16"/>
      <c r="H11" s="290" t="s">
        <v>150</v>
      </c>
      <c r="I11" s="5">
        <f>IF(I12="","",+(I12-32)*0.555555555555556)</f>
        <v>32.22222222222225</v>
      </c>
      <c r="J11" s="133" t="s">
        <v>41</v>
      </c>
      <c r="K11" s="50"/>
      <c r="L11" s="16"/>
      <c r="M11" s="131" t="s">
        <v>88</v>
      </c>
      <c r="N11" s="11">
        <v>24</v>
      </c>
      <c r="O11" s="53"/>
      <c r="P11" s="47"/>
      <c r="Q11" s="17"/>
      <c r="R11" s="17"/>
      <c r="S11" s="17"/>
      <c r="T11" s="17"/>
      <c r="U11" s="17"/>
      <c r="V11" s="17"/>
      <c r="W11" s="17"/>
      <c r="X11" s="18"/>
    </row>
    <row r="12" spans="1:24" ht="20.100000000000001" customHeight="1" thickTop="1" thickBot="1" x14ac:dyDescent="0.25">
      <c r="A12" s="16"/>
      <c r="B12" s="14"/>
      <c r="C12" s="291"/>
      <c r="D12" s="7">
        <v>100</v>
      </c>
      <c r="E12" s="134" t="s">
        <v>30</v>
      </c>
      <c r="F12" s="50"/>
      <c r="G12" s="16"/>
      <c r="H12" s="291"/>
      <c r="I12" s="4">
        <v>90</v>
      </c>
      <c r="J12" s="134" t="s">
        <v>42</v>
      </c>
      <c r="K12" s="50"/>
      <c r="L12" s="16"/>
      <c r="M12" s="131" t="s">
        <v>87</v>
      </c>
      <c r="N12" s="7">
        <v>365</v>
      </c>
      <c r="O12" s="54"/>
      <c r="P12" s="48"/>
      <c r="Q12" s="17"/>
      <c r="R12" s="17"/>
      <c r="S12" s="17"/>
      <c r="T12" s="17"/>
      <c r="U12" s="17"/>
      <c r="V12" s="17"/>
      <c r="W12" s="17"/>
      <c r="X12" s="18"/>
    </row>
    <row r="13" spans="1:24" ht="5.0999999999999996" customHeight="1" thickTop="1" thickBot="1" x14ac:dyDescent="0.25">
      <c r="A13" s="16"/>
      <c r="B13" s="43"/>
      <c r="C13" s="51"/>
      <c r="D13" s="51"/>
      <c r="E13" s="51"/>
      <c r="F13" s="117"/>
      <c r="G13" s="18"/>
      <c r="H13" s="51"/>
      <c r="I13" s="51"/>
      <c r="J13" s="51"/>
      <c r="K13" s="52"/>
      <c r="L13" s="18"/>
      <c r="M13" s="51"/>
      <c r="N13" s="51"/>
      <c r="O13" s="49"/>
      <c r="P13" s="55"/>
      <c r="Q13" s="17"/>
      <c r="R13" s="17"/>
      <c r="S13" s="17"/>
      <c r="T13" s="17"/>
      <c r="U13" s="17"/>
      <c r="V13" s="17"/>
      <c r="W13" s="17"/>
      <c r="X13" s="18"/>
    </row>
    <row r="14" spans="1:24" ht="20.100000000000001" customHeight="1" thickTop="1" thickBot="1" x14ac:dyDescent="0.25">
      <c r="A14" s="16"/>
      <c r="B14" s="42"/>
      <c r="C14" s="276" t="s">
        <v>121</v>
      </c>
      <c r="D14" s="5">
        <f>+'Calc. Sdk'!DE2</f>
        <v>12.244094488188978</v>
      </c>
      <c r="E14" s="133" t="s">
        <v>24</v>
      </c>
      <c r="F14" s="50"/>
      <c r="G14" s="16"/>
      <c r="H14" s="294" t="s">
        <v>21</v>
      </c>
      <c r="I14" s="6">
        <f>+'Calc. Sdk'!BV2/35.31467</f>
        <v>56.633687926292389</v>
      </c>
      <c r="J14" s="133" t="s">
        <v>23</v>
      </c>
      <c r="K14" s="50"/>
      <c r="L14" s="16"/>
      <c r="M14" s="292" t="s">
        <v>151</v>
      </c>
      <c r="N14" s="6">
        <f>IF(N15="","",0.06894757*N15)</f>
        <v>6.8947570000000002</v>
      </c>
      <c r="O14" s="133" t="s">
        <v>49</v>
      </c>
      <c r="P14" s="56"/>
      <c r="Q14" s="17"/>
      <c r="R14" s="17"/>
      <c r="S14" s="17"/>
      <c r="T14" s="17"/>
      <c r="U14" s="17"/>
      <c r="V14" s="17"/>
      <c r="W14" s="17"/>
      <c r="X14" s="18"/>
    </row>
    <row r="15" spans="1:24" ht="20.100000000000001" customHeight="1" thickTop="1" thickBot="1" x14ac:dyDescent="0.25">
      <c r="A15" s="16"/>
      <c r="B15" s="14"/>
      <c r="C15" s="277"/>
      <c r="D15" s="3"/>
      <c r="E15" s="134" t="s">
        <v>22</v>
      </c>
      <c r="F15" s="50"/>
      <c r="G15" s="16"/>
      <c r="H15" s="295"/>
      <c r="I15" s="3">
        <v>862</v>
      </c>
      <c r="J15" s="134" t="s">
        <v>25</v>
      </c>
      <c r="K15" s="50"/>
      <c r="L15" s="16"/>
      <c r="M15" s="293"/>
      <c r="N15" s="127">
        <f>+'Calc. Sdk'!BN23</f>
        <v>100</v>
      </c>
      <c r="O15" s="134" t="s">
        <v>32</v>
      </c>
      <c r="P15" s="56"/>
      <c r="Q15" s="17"/>
      <c r="R15" s="17"/>
      <c r="S15" s="17"/>
      <c r="T15" s="17"/>
      <c r="U15" s="17"/>
      <c r="V15" s="17"/>
      <c r="W15" s="17"/>
      <c r="X15" s="18"/>
    </row>
    <row r="16" spans="1:24" ht="5.0999999999999996" customHeight="1" thickTop="1" thickBot="1" x14ac:dyDescent="0.25">
      <c r="A16" s="16"/>
      <c r="B16" s="43"/>
      <c r="C16" s="51"/>
      <c r="D16" s="51"/>
      <c r="E16" s="51"/>
      <c r="F16" s="117"/>
      <c r="G16" s="18"/>
      <c r="H16" s="51"/>
      <c r="I16" s="51"/>
      <c r="J16" s="51"/>
      <c r="K16" s="52"/>
      <c r="L16" s="18"/>
      <c r="M16" s="51"/>
      <c r="N16" s="51"/>
      <c r="O16" s="51"/>
      <c r="P16" s="55"/>
      <c r="Q16" s="17"/>
      <c r="R16" s="17"/>
      <c r="S16" s="17"/>
      <c r="T16" s="17"/>
      <c r="U16" s="17"/>
      <c r="V16" s="17"/>
      <c r="W16" s="17"/>
      <c r="X16" s="18"/>
    </row>
    <row r="17" spans="1:24" ht="20.100000000000001" customHeight="1" thickTop="1" thickBot="1" x14ac:dyDescent="0.25">
      <c r="A17" s="16"/>
      <c r="B17" s="42"/>
      <c r="C17" s="310" t="s">
        <v>19</v>
      </c>
      <c r="D17" s="5">
        <f>+'Calc. Sdk'!BC2</f>
        <v>9.6456692913385833</v>
      </c>
      <c r="E17" s="135" t="s">
        <v>24</v>
      </c>
      <c r="F17" s="50"/>
      <c r="G17" s="16"/>
      <c r="H17" s="294" t="s">
        <v>45</v>
      </c>
      <c r="I17" s="13">
        <f>+I18/35.31467</f>
        <v>53.896441907012793</v>
      </c>
      <c r="J17" s="133" t="s">
        <v>23</v>
      </c>
      <c r="K17" s="50"/>
      <c r="L17" s="16"/>
      <c r="M17" s="294" t="s">
        <v>36</v>
      </c>
      <c r="N17" s="12">
        <f>+N18*0.3048/60</f>
        <v>31.159474941238351</v>
      </c>
      <c r="O17" s="133" t="s">
        <v>37</v>
      </c>
      <c r="P17" s="56"/>
      <c r="Q17" s="17"/>
      <c r="R17" s="17"/>
      <c r="S17" s="17"/>
      <c r="T17" s="17"/>
      <c r="U17" s="17"/>
      <c r="V17" s="17"/>
      <c r="W17" s="17"/>
      <c r="X17" s="18"/>
    </row>
    <row r="18" spans="1:24" ht="20.100000000000001" customHeight="1" thickTop="1" thickBot="1" x14ac:dyDescent="0.25">
      <c r="A18" s="16"/>
      <c r="B18" s="14"/>
      <c r="C18" s="311"/>
      <c r="D18" s="79"/>
      <c r="E18" s="136" t="s">
        <v>22</v>
      </c>
      <c r="F18" s="50"/>
      <c r="G18" s="16"/>
      <c r="H18" s="295"/>
      <c r="I18" s="10">
        <f>+'Calc. Sdk'!DG8</f>
        <v>1903.3350601203274</v>
      </c>
      <c r="J18" s="134" t="s">
        <v>25</v>
      </c>
      <c r="K18" s="50"/>
      <c r="L18" s="16"/>
      <c r="M18" s="295"/>
      <c r="N18" s="10">
        <f>+'Calc. Sdk'!DG2</f>
        <v>6133.7549096925886</v>
      </c>
      <c r="O18" s="134" t="s">
        <v>38</v>
      </c>
      <c r="P18" s="56"/>
      <c r="Q18" s="17"/>
      <c r="R18" s="17"/>
      <c r="S18" s="17"/>
      <c r="T18" s="17"/>
      <c r="U18" s="17"/>
      <c r="V18" s="17"/>
      <c r="W18" s="17"/>
      <c r="X18" s="18"/>
    </row>
    <row r="19" spans="1:24" ht="5.0999999999999996" customHeight="1" thickTop="1" thickBot="1" x14ac:dyDescent="0.25">
      <c r="A19" s="16"/>
      <c r="B19" s="43"/>
      <c r="C19" s="51"/>
      <c r="D19" s="51"/>
      <c r="E19" s="51"/>
      <c r="F19" s="117"/>
      <c r="G19" s="18"/>
      <c r="H19" s="51"/>
      <c r="I19" s="51"/>
      <c r="J19" s="51"/>
      <c r="K19" s="52"/>
      <c r="L19" s="18"/>
      <c r="M19" s="51"/>
      <c r="N19" s="51"/>
      <c r="O19" s="51"/>
      <c r="P19" s="57"/>
      <c r="Q19" s="17"/>
      <c r="R19" s="17"/>
      <c r="S19" s="17"/>
      <c r="T19" s="17"/>
      <c r="U19" s="17"/>
      <c r="V19" s="17"/>
      <c r="W19" s="17"/>
      <c r="X19" s="18"/>
    </row>
    <row r="20" spans="1:24" ht="20.100000000000001" customHeight="1" thickTop="1" thickBot="1" x14ac:dyDescent="0.25">
      <c r="A20" s="16"/>
      <c r="B20" s="42"/>
      <c r="C20" s="290" t="s">
        <v>137</v>
      </c>
      <c r="D20" s="6">
        <f>IF(D21="","",+D21*0.3048)</f>
        <v>15.24</v>
      </c>
      <c r="E20" s="137" t="s">
        <v>29</v>
      </c>
      <c r="F20" s="50"/>
      <c r="G20" s="16"/>
      <c r="H20" s="290" t="s">
        <v>27</v>
      </c>
      <c r="I20" s="9">
        <f>IF(I21="","",+I21*0.3048)</f>
        <v>6.6995040000000001</v>
      </c>
      <c r="J20" s="137" t="s">
        <v>29</v>
      </c>
      <c r="K20" s="50"/>
      <c r="L20" s="16"/>
      <c r="M20" s="276" t="s">
        <v>31</v>
      </c>
      <c r="N20" s="5">
        <f>+N21*0.006894757</f>
        <v>144.789897</v>
      </c>
      <c r="O20" s="133" t="s">
        <v>33</v>
      </c>
      <c r="P20" s="56"/>
      <c r="Q20" s="17"/>
      <c r="R20" s="17"/>
      <c r="S20" s="17"/>
      <c r="T20" s="17"/>
      <c r="U20" s="17"/>
      <c r="V20" s="17"/>
      <c r="W20" s="17"/>
      <c r="X20" s="18"/>
    </row>
    <row r="21" spans="1:24" ht="20.100000000000001" customHeight="1" thickTop="1" thickBot="1" x14ac:dyDescent="0.25">
      <c r="A21" s="16"/>
      <c r="B21" s="14"/>
      <c r="C21" s="291"/>
      <c r="D21" s="4">
        <v>50</v>
      </c>
      <c r="E21" s="138" t="s">
        <v>30</v>
      </c>
      <c r="F21" s="50"/>
      <c r="G21" s="16"/>
      <c r="H21" s="291"/>
      <c r="I21" s="4">
        <v>21.98</v>
      </c>
      <c r="J21" s="138" t="s">
        <v>30</v>
      </c>
      <c r="K21" s="50"/>
      <c r="L21" s="16" t="s">
        <v>186</v>
      </c>
      <c r="M21" s="277"/>
      <c r="N21" s="7">
        <v>21000</v>
      </c>
      <c r="O21" s="134" t="s">
        <v>32</v>
      </c>
      <c r="P21" s="56"/>
      <c r="Q21" s="17"/>
      <c r="R21" s="17"/>
      <c r="S21" s="17"/>
      <c r="T21" s="17"/>
      <c r="U21" s="17"/>
      <c r="V21" s="17"/>
      <c r="W21" s="17"/>
      <c r="X21" s="18"/>
    </row>
    <row r="22" spans="1:24" ht="5.0999999999999996" customHeight="1" thickTop="1" thickBot="1" x14ac:dyDescent="0.25">
      <c r="A22" s="16"/>
      <c r="B22" s="43"/>
      <c r="C22" s="51"/>
      <c r="D22" s="51"/>
      <c r="E22" s="51"/>
      <c r="F22" s="117"/>
      <c r="G22" s="18"/>
      <c r="H22" s="51"/>
      <c r="I22" s="51"/>
      <c r="J22" s="51"/>
      <c r="K22" s="52"/>
      <c r="L22" s="18"/>
      <c r="M22" s="51"/>
      <c r="N22" s="51"/>
      <c r="O22" s="51"/>
      <c r="P22" s="55"/>
      <c r="Q22" s="17"/>
      <c r="R22" s="17"/>
      <c r="S22" s="17"/>
      <c r="T22" s="17"/>
      <c r="U22" s="17"/>
      <c r="V22" s="17"/>
      <c r="W22" s="17"/>
      <c r="X22" s="18"/>
    </row>
    <row r="23" spans="1:24" ht="20.100000000000001" customHeight="1" thickTop="1" thickBot="1" x14ac:dyDescent="0.25">
      <c r="A23" s="16"/>
      <c r="B23" s="42"/>
      <c r="C23" s="290" t="s">
        <v>111</v>
      </c>
      <c r="D23" s="9">
        <f>IF(D24="","",+D24*0.3048)</f>
        <v>2</v>
      </c>
      <c r="E23" s="137" t="s">
        <v>29</v>
      </c>
      <c r="F23" s="50"/>
      <c r="G23" s="16"/>
      <c r="H23" s="296" t="s">
        <v>28</v>
      </c>
      <c r="I23" s="9">
        <f>IF(I24="","",+I24*0.3048)</f>
        <v>7.7022960000000005</v>
      </c>
      <c r="J23" s="137" t="s">
        <v>29</v>
      </c>
      <c r="K23" s="50"/>
      <c r="L23" s="16"/>
      <c r="M23" s="278" t="s">
        <v>123</v>
      </c>
      <c r="N23" s="9">
        <f>+N24/0.75248</f>
        <v>2.8705081862640869</v>
      </c>
      <c r="O23" s="133" t="s">
        <v>34</v>
      </c>
      <c r="P23" s="56"/>
      <c r="Q23" s="17"/>
      <c r="R23" s="17"/>
      <c r="S23" s="17"/>
      <c r="T23" s="17"/>
      <c r="U23" s="17"/>
      <c r="V23" s="17"/>
      <c r="W23" s="17"/>
      <c r="X23" s="18"/>
    </row>
    <row r="24" spans="1:24" ht="20.100000000000001" customHeight="1" thickTop="1" thickBot="1" x14ac:dyDescent="0.25">
      <c r="A24" s="16"/>
      <c r="B24" s="14"/>
      <c r="C24" s="291"/>
      <c r="D24" s="4">
        <v>6.5616797900262469</v>
      </c>
      <c r="E24" s="138" t="s">
        <v>30</v>
      </c>
      <c r="F24" s="50"/>
      <c r="G24" s="16"/>
      <c r="H24" s="297"/>
      <c r="I24" s="4">
        <v>25.27</v>
      </c>
      <c r="J24" s="138" t="s">
        <v>30</v>
      </c>
      <c r="K24" s="50"/>
      <c r="L24" s="16"/>
      <c r="M24" s="279"/>
      <c r="N24" s="8">
        <v>2.16</v>
      </c>
      <c r="O24" s="134" t="s">
        <v>35</v>
      </c>
      <c r="P24" s="56"/>
      <c r="Q24" s="17"/>
      <c r="R24" s="17"/>
      <c r="S24" s="17"/>
      <c r="T24" s="17"/>
      <c r="U24" s="17"/>
      <c r="V24" s="17"/>
      <c r="W24" s="17"/>
      <c r="X24" s="18"/>
    </row>
    <row r="25" spans="1:24" ht="5.0999999999999996" customHeight="1" thickTop="1" thickBot="1" x14ac:dyDescent="0.25">
      <c r="A25" s="16"/>
      <c r="B25" s="43"/>
      <c r="C25" s="51"/>
      <c r="D25" s="51"/>
      <c r="E25" s="51"/>
      <c r="F25" s="117"/>
      <c r="G25" s="18"/>
      <c r="H25" s="51"/>
      <c r="I25" s="51"/>
      <c r="J25" s="51"/>
      <c r="K25" s="52"/>
      <c r="L25" s="18"/>
      <c r="M25" s="51"/>
      <c r="N25" s="51"/>
      <c r="O25" s="51"/>
      <c r="P25" s="55"/>
      <c r="Q25" s="17"/>
      <c r="R25" s="17"/>
      <c r="S25" s="17"/>
      <c r="T25" s="17"/>
      <c r="U25" s="17"/>
      <c r="V25" s="17"/>
      <c r="W25" s="17"/>
      <c r="X25" s="18"/>
    </row>
    <row r="26" spans="1:24" ht="19.5" customHeight="1" thickTop="1" thickBot="1" x14ac:dyDescent="0.25">
      <c r="A26" s="16"/>
      <c r="B26" s="65"/>
      <c r="C26" s="142" t="s">
        <v>138</v>
      </c>
      <c r="D26" s="5">
        <f>IF((D21+D24)&lt;'Calc. Sdk'!EG2,0,'Calc. Sdk'!EL2)</f>
        <v>0</v>
      </c>
      <c r="E26" s="128"/>
      <c r="F26" s="50"/>
      <c r="G26" s="16"/>
      <c r="H26" s="131" t="s">
        <v>149</v>
      </c>
      <c r="I26" s="19">
        <v>90</v>
      </c>
      <c r="J26" s="139" t="s">
        <v>71</v>
      </c>
      <c r="K26" s="50"/>
      <c r="L26" s="16"/>
      <c r="M26" s="140" t="str">
        <f>IF(N18&lt;5000,"Check pipe-bit-compressor combination",IF(N18&gt;10000,"Check pipe-bit-compressor combination",""))</f>
        <v/>
      </c>
      <c r="N26" s="141"/>
      <c r="O26" s="140"/>
      <c r="P26" s="75"/>
      <c r="Q26" s="17"/>
      <c r="R26" s="17"/>
      <c r="S26" s="17"/>
      <c r="T26" s="17"/>
      <c r="U26" s="17"/>
      <c r="V26" s="17"/>
      <c r="W26" s="17"/>
      <c r="X26" s="18"/>
    </row>
    <row r="27" spans="1:24" ht="23.25" customHeight="1" thickTop="1" thickBot="1" x14ac:dyDescent="0.25">
      <c r="A27" s="16"/>
      <c r="B27" s="43"/>
      <c r="C27" s="190" t="s">
        <v>138</v>
      </c>
      <c r="D27" s="51"/>
      <c r="E27" s="51"/>
      <c r="F27" s="117"/>
      <c r="G27" s="18"/>
      <c r="H27" s="51"/>
      <c r="I27" s="51"/>
      <c r="J27" s="51"/>
      <c r="K27" s="52"/>
      <c r="L27" s="18"/>
      <c r="M27" s="318" t="str">
        <f>'Calc. Sdk'!GB25</f>
        <v/>
      </c>
      <c r="N27" s="285"/>
      <c r="O27" s="319"/>
      <c r="P27" s="55"/>
      <c r="Q27" s="17"/>
      <c r="R27" s="17"/>
      <c r="S27" s="17"/>
      <c r="T27" s="17"/>
      <c r="U27" s="17"/>
      <c r="V27" s="17"/>
      <c r="W27" s="17"/>
      <c r="X27" s="18"/>
    </row>
    <row r="28" spans="1:24" ht="20.100000000000001" customHeight="1" thickTop="1" thickBot="1" x14ac:dyDescent="0.25">
      <c r="A28" s="16"/>
      <c r="B28" s="42"/>
      <c r="C28" s="282" t="s">
        <v>304</v>
      </c>
      <c r="D28" s="5">
        <f>IF(D29="","",+D29*0.004448222)</f>
        <v>434.46705605204841</v>
      </c>
      <c r="E28" s="137" t="s">
        <v>75</v>
      </c>
      <c r="F28" s="50"/>
      <c r="G28" s="16"/>
      <c r="H28" s="294" t="s">
        <v>95</v>
      </c>
      <c r="I28" s="6">
        <f>IF(I29="","",+I29*0.7457)</f>
        <v>161.70614797814096</v>
      </c>
      <c r="J28" s="137" t="s">
        <v>97</v>
      </c>
      <c r="K28" s="50"/>
      <c r="L28" s="16"/>
      <c r="M28" s="140" t="str">
        <f>+'Calc. Sdk'!FD33</f>
        <v/>
      </c>
      <c r="N28" s="141"/>
      <c r="O28" s="140"/>
      <c r="P28" s="66"/>
      <c r="Q28" s="17"/>
      <c r="R28" s="17"/>
      <c r="S28" s="17"/>
      <c r="T28" s="17"/>
      <c r="U28" s="17"/>
      <c r="V28" s="17"/>
      <c r="W28" s="17"/>
      <c r="X28" s="18"/>
    </row>
    <row r="29" spans="1:24" ht="20.100000000000001" customHeight="1" thickTop="1" thickBot="1" x14ac:dyDescent="0.25">
      <c r="A29" s="16"/>
      <c r="B29" s="14"/>
      <c r="C29" s="283"/>
      <c r="D29" s="10">
        <f>+'Calc. Sdk'!DI7</f>
        <v>97672.07123476491</v>
      </c>
      <c r="E29" s="138" t="s">
        <v>74</v>
      </c>
      <c r="F29" s="50"/>
      <c r="G29" s="16"/>
      <c r="H29" s="295"/>
      <c r="I29" s="10">
        <f>+'Calc. Sdk'!DI8</f>
        <v>216.85147911779663</v>
      </c>
      <c r="J29" s="138" t="s">
        <v>96</v>
      </c>
      <c r="K29" s="50"/>
      <c r="L29" s="16"/>
      <c r="M29" s="140" t="str">
        <f>+'Calc. Sdk'!FD29</f>
        <v/>
      </c>
      <c r="N29" s="141"/>
      <c r="O29" s="141"/>
      <c r="P29" s="66"/>
      <c r="Q29" s="17"/>
      <c r="R29" s="17"/>
      <c r="S29" s="17"/>
      <c r="T29" s="17"/>
      <c r="U29" s="17"/>
      <c r="V29" s="17"/>
      <c r="W29" s="17"/>
      <c r="X29" s="18"/>
    </row>
    <row r="30" spans="1:24" ht="22.5" customHeight="1" thickTop="1" thickBot="1" x14ac:dyDescent="0.25">
      <c r="A30" s="16"/>
      <c r="B30" s="14"/>
      <c r="C30" s="194"/>
      <c r="D30" s="195"/>
      <c r="E30" s="196"/>
      <c r="F30" s="50"/>
      <c r="G30" s="16"/>
      <c r="H30" s="200"/>
      <c r="I30" s="195"/>
      <c r="J30" s="196"/>
      <c r="K30" s="50"/>
      <c r="L30" s="16"/>
      <c r="M30" s="140"/>
      <c r="N30" s="141"/>
      <c r="O30" s="141"/>
      <c r="P30" s="189"/>
      <c r="Q30" s="17"/>
      <c r="R30" s="17"/>
      <c r="S30" s="17"/>
      <c r="T30" s="17"/>
      <c r="U30" s="17"/>
      <c r="V30" s="17"/>
      <c r="W30" s="17"/>
      <c r="X30" s="18"/>
    </row>
    <row r="31" spans="1:24" ht="12.75" thickTop="1" thickBot="1" x14ac:dyDescent="0.25">
      <c r="A31" s="16"/>
      <c r="B31" s="14"/>
      <c r="C31" s="191" t="s">
        <v>1319</v>
      </c>
      <c r="D31" s="192">
        <v>40000</v>
      </c>
      <c r="E31" s="193" t="s">
        <v>74</v>
      </c>
      <c r="F31" s="50"/>
      <c r="G31" s="16"/>
      <c r="H31" s="188"/>
      <c r="I31" s="187"/>
      <c r="J31" s="186"/>
      <c r="K31" s="50"/>
      <c r="L31" s="16"/>
      <c r="M31" s="140"/>
      <c r="N31" s="141"/>
      <c r="O31" s="141"/>
      <c r="P31" s="189"/>
      <c r="Q31" s="17"/>
      <c r="R31" s="17"/>
      <c r="S31" s="17"/>
      <c r="T31" s="17"/>
      <c r="U31" s="17"/>
      <c r="V31" s="17"/>
      <c r="W31" s="17"/>
      <c r="X31" s="18"/>
    </row>
    <row r="32" spans="1:24" ht="12.75" thickTop="1" thickBot="1" x14ac:dyDescent="0.25">
      <c r="A32" s="16"/>
      <c r="B32" s="43"/>
      <c r="C32" s="199"/>
      <c r="D32" s="51"/>
      <c r="E32" s="51"/>
      <c r="F32" s="117"/>
      <c r="G32" s="18"/>
      <c r="H32" s="51"/>
      <c r="I32" s="51"/>
      <c r="J32" s="51"/>
      <c r="K32" s="52"/>
      <c r="L32" s="18"/>
      <c r="M32" s="51"/>
      <c r="N32" s="51"/>
      <c r="O32" s="51"/>
      <c r="P32" s="55"/>
      <c r="Q32" s="17"/>
      <c r="R32" s="17"/>
      <c r="S32" s="17"/>
      <c r="T32" s="17"/>
      <c r="U32" s="17"/>
      <c r="V32" s="17"/>
      <c r="W32" s="17"/>
      <c r="X32" s="18"/>
    </row>
    <row r="33" spans="1:24" ht="20.100000000000001" customHeight="1" thickTop="1" thickBot="1" x14ac:dyDescent="0.25">
      <c r="A33" s="16"/>
      <c r="B33" s="42"/>
      <c r="C33" s="282" t="s">
        <v>61</v>
      </c>
      <c r="D33" s="6">
        <f>IF(D34="","",0.3048*D34)</f>
        <v>5.4952724407419549</v>
      </c>
      <c r="E33" s="133" t="s">
        <v>62</v>
      </c>
      <c r="F33" s="50"/>
      <c r="G33" s="16"/>
      <c r="H33" s="282" t="s">
        <v>86</v>
      </c>
      <c r="I33" s="6">
        <f>IF(I34="","",0.3048*I34)</f>
        <v>1.2271118990082115</v>
      </c>
      <c r="J33" s="133" t="s">
        <v>62</v>
      </c>
      <c r="K33" s="50"/>
      <c r="L33" s="16"/>
      <c r="M33" s="131" t="s">
        <v>125</v>
      </c>
      <c r="N33" s="217"/>
      <c r="O33" s="17"/>
      <c r="P33" s="66"/>
      <c r="Q33" s="17"/>
      <c r="R33" s="17"/>
      <c r="S33" s="17"/>
      <c r="T33" s="17"/>
      <c r="U33" s="17"/>
      <c r="V33" s="17"/>
      <c r="W33" s="17"/>
      <c r="X33" s="18"/>
    </row>
    <row r="34" spans="1:24" ht="20.100000000000001" customHeight="1" thickTop="1" thickBot="1" x14ac:dyDescent="0.25">
      <c r="A34" s="16"/>
      <c r="B34" s="14"/>
      <c r="C34" s="283"/>
      <c r="D34" s="6">
        <f>+'Calc. Sdk'!DI4</f>
        <v>18.029109057552343</v>
      </c>
      <c r="E34" s="134" t="s">
        <v>63</v>
      </c>
      <c r="F34" s="210"/>
      <c r="G34" s="49"/>
      <c r="H34" s="283"/>
      <c r="I34" s="6">
        <f>'Calc. Sdk'!EX14</f>
        <v>4.0259576739114546</v>
      </c>
      <c r="J34" s="134" t="s">
        <v>63</v>
      </c>
      <c r="K34" s="210"/>
      <c r="L34" s="49"/>
      <c r="M34" s="131" t="s">
        <v>126</v>
      </c>
      <c r="N34" s="218">
        <v>60</v>
      </c>
      <c r="O34" s="216"/>
      <c r="P34" s="211"/>
      <c r="Q34" s="17"/>
      <c r="R34" s="17"/>
      <c r="S34" s="17"/>
      <c r="T34" s="17"/>
      <c r="U34" s="17"/>
      <c r="V34" s="17"/>
      <c r="W34" s="17"/>
      <c r="X34" s="18"/>
    </row>
    <row r="35" spans="1:24" ht="3.75" customHeight="1" thickBot="1" x14ac:dyDescent="0.25">
      <c r="A35" s="16"/>
      <c r="B35" s="14"/>
      <c r="C35" s="194"/>
      <c r="D35" s="214"/>
      <c r="E35" s="196"/>
      <c r="F35" s="205"/>
      <c r="G35" s="205"/>
      <c r="H35" s="194"/>
      <c r="I35" s="214"/>
      <c r="J35" s="196"/>
      <c r="K35" s="205"/>
      <c r="L35" s="205"/>
      <c r="M35" s="215"/>
      <c r="N35" s="205"/>
      <c r="O35" s="205"/>
      <c r="P35" s="205"/>
      <c r="Q35" s="17"/>
      <c r="R35" s="17"/>
      <c r="S35" s="17"/>
      <c r="T35" s="17"/>
      <c r="U35" s="17"/>
      <c r="V35" s="17"/>
      <c r="W35" s="17"/>
      <c r="X35" s="18"/>
    </row>
    <row r="36" spans="1:24" ht="30.75" customHeight="1" thickBot="1" x14ac:dyDescent="0.25">
      <c r="A36" s="16"/>
      <c r="B36" s="14"/>
      <c r="C36" s="219"/>
      <c r="D36" s="220"/>
      <c r="E36" s="193"/>
      <c r="F36" s="212"/>
      <c r="G36" s="213"/>
      <c r="H36" s="191" t="s">
        <v>1316</v>
      </c>
      <c r="I36" s="220">
        <f>'Calc. Sdk'!EX8</f>
        <v>268.25915408860135</v>
      </c>
      <c r="J36" s="193" t="s">
        <v>1317</v>
      </c>
      <c r="K36" s="212"/>
      <c r="L36" s="213"/>
      <c r="M36" s="209"/>
      <c r="N36" s="15"/>
      <c r="O36" s="15"/>
      <c r="P36" s="189"/>
      <c r="Q36" s="17"/>
      <c r="R36" s="17"/>
      <c r="S36" s="17"/>
      <c r="T36" s="17"/>
      <c r="U36" s="17"/>
      <c r="V36" s="17"/>
      <c r="W36" s="17"/>
      <c r="X36" s="18"/>
    </row>
    <row r="37" spans="1:24" ht="14.25" customHeight="1" thickTop="1" thickBot="1" x14ac:dyDescent="0.25">
      <c r="A37" s="16"/>
      <c r="B37" s="43"/>
      <c r="C37" s="51"/>
      <c r="D37" s="51"/>
      <c r="E37" s="51"/>
      <c r="F37" s="117"/>
      <c r="G37" s="18"/>
      <c r="H37" s="51"/>
      <c r="I37" s="51"/>
      <c r="J37" s="51"/>
      <c r="K37" s="52"/>
      <c r="L37" s="18"/>
      <c r="M37" s="51"/>
      <c r="N37" s="51"/>
      <c r="O37" s="51"/>
      <c r="P37" s="55"/>
      <c r="Q37" s="17"/>
      <c r="R37" s="17"/>
      <c r="S37" s="17"/>
      <c r="T37" s="17"/>
      <c r="U37" s="17"/>
      <c r="V37" s="17"/>
      <c r="W37" s="17"/>
      <c r="X37" s="18"/>
    </row>
    <row r="38" spans="1:24" ht="20.100000000000001" customHeight="1" thickTop="1" thickBot="1" x14ac:dyDescent="0.25">
      <c r="A38" s="16"/>
      <c r="B38" s="42"/>
      <c r="C38" s="292" t="s">
        <v>99</v>
      </c>
      <c r="D38" s="10">
        <f>IF(E38=" tonne",+D39*0.9071847,+D39*0.7645549)</f>
        <v>20999999.500968598</v>
      </c>
      <c r="E38" s="137" t="str">
        <f>+'Calc. Sdk'!DO2</f>
        <v xml:space="preserve"> tonne</v>
      </c>
      <c r="F38" s="50"/>
      <c r="G38" s="16"/>
      <c r="H38" s="294" t="s">
        <v>105</v>
      </c>
      <c r="I38" s="143">
        <f>IF(I39="","",+I39*0.3048)</f>
        <v>302844.13826325367</v>
      </c>
      <c r="J38" s="137" t="s">
        <v>29</v>
      </c>
      <c r="K38" s="50"/>
      <c r="L38" s="16"/>
      <c r="M38" s="144" t="s">
        <v>120</v>
      </c>
      <c r="N38" s="143">
        <f>+I39/I34</f>
        <v>246794.23164914412</v>
      </c>
      <c r="O38" s="137" t="s">
        <v>129</v>
      </c>
      <c r="P38" s="56"/>
      <c r="Q38" s="17"/>
      <c r="R38" s="17"/>
      <c r="S38" s="17"/>
      <c r="T38" s="17"/>
      <c r="U38" s="17"/>
      <c r="V38" s="17"/>
      <c r="W38" s="17"/>
      <c r="X38" s="18"/>
    </row>
    <row r="39" spans="1:24" ht="20.100000000000001" customHeight="1" thickTop="1" thickBot="1" x14ac:dyDescent="0.3">
      <c r="A39" s="16"/>
      <c r="B39" s="14"/>
      <c r="C39" s="293"/>
      <c r="D39" s="146">
        <v>23148538</v>
      </c>
      <c r="E39" s="138" t="s">
        <v>30</v>
      </c>
      <c r="F39" s="50"/>
      <c r="G39" s="16"/>
      <c r="H39" s="295"/>
      <c r="I39" s="143">
        <f>+'Calc. Sdk'!DM8</f>
        <v>993583.1307849529</v>
      </c>
      <c r="J39" s="138" t="s">
        <v>30</v>
      </c>
      <c r="K39" s="50"/>
      <c r="L39" s="16"/>
      <c r="M39" s="144" t="s">
        <v>128</v>
      </c>
      <c r="N39" s="145">
        <f>ROUNDUP((+N38/(N11*N12*'Calc. Sdk'!DH35*'Calc. Sdk'!DH54)),0)</f>
        <v>41</v>
      </c>
      <c r="O39" s="138" t="s">
        <v>130</v>
      </c>
      <c r="P39" s="56"/>
      <c r="Q39" s="17"/>
      <c r="R39" s="17"/>
      <c r="S39" s="17"/>
      <c r="T39" s="17"/>
      <c r="U39" s="17"/>
      <c r="V39" s="17"/>
      <c r="W39" s="17"/>
      <c r="X39" s="18"/>
    </row>
    <row r="40" spans="1:24" ht="5.0999999999999996" customHeight="1" thickTop="1" thickBot="1" x14ac:dyDescent="0.25">
      <c r="A40" s="16"/>
      <c r="B40" s="43"/>
      <c r="C40" s="51"/>
      <c r="D40" s="51"/>
      <c r="E40" s="51"/>
      <c r="F40" s="117"/>
      <c r="G40" s="18"/>
      <c r="H40" s="51"/>
      <c r="I40" s="51"/>
      <c r="J40" s="51"/>
      <c r="K40" s="52"/>
      <c r="L40" s="18"/>
      <c r="M40" s="51"/>
      <c r="N40" s="51"/>
      <c r="O40" s="51"/>
      <c r="P40" s="55"/>
      <c r="Q40" s="17"/>
      <c r="R40" s="17"/>
      <c r="S40" s="17"/>
      <c r="T40" s="17"/>
      <c r="U40" s="17"/>
      <c r="V40" s="17"/>
      <c r="W40" s="17"/>
      <c r="X40" s="18"/>
    </row>
    <row r="41" spans="1:24" ht="20.100000000000001" customHeight="1" thickTop="1" thickBot="1" x14ac:dyDescent="0.25">
      <c r="A41" s="16"/>
      <c r="B41" s="65"/>
      <c r="C41" s="280" t="s">
        <v>152</v>
      </c>
      <c r="D41" s="143">
        <f>+D38*N41/N38</f>
        <v>21026194.664328568</v>
      </c>
      <c r="E41" s="137" t="str">
        <f>+E38</f>
        <v xml:space="preserve"> tonne</v>
      </c>
      <c r="F41" s="50"/>
      <c r="G41" s="16"/>
      <c r="H41" s="280" t="s">
        <v>152</v>
      </c>
      <c r="I41" s="143">
        <f>+N41*I38/N38</f>
        <v>303221.90263767896</v>
      </c>
      <c r="J41" s="137" t="s">
        <v>29</v>
      </c>
      <c r="K41" s="50"/>
      <c r="L41" s="16"/>
      <c r="M41" s="144" t="s">
        <v>153</v>
      </c>
      <c r="N41" s="143">
        <f>+N39*N11*N12*'Calc. Sdk'!DH35*'Calc. Sdk'!DH54</f>
        <v>247102.07999999999</v>
      </c>
      <c r="O41" s="137" t="s">
        <v>129</v>
      </c>
      <c r="P41" s="66"/>
      <c r="Q41" s="17"/>
      <c r="R41" s="17"/>
      <c r="S41" s="17"/>
      <c r="T41" s="17"/>
      <c r="U41" s="17"/>
      <c r="V41" s="17"/>
      <c r="W41" s="17"/>
      <c r="X41" s="18"/>
    </row>
    <row r="42" spans="1:24" ht="20.100000000000001" customHeight="1" thickTop="1" thickBot="1" x14ac:dyDescent="0.25">
      <c r="A42" s="16"/>
      <c r="B42" s="67"/>
      <c r="C42" s="281"/>
      <c r="D42" s="143">
        <f>+D39*I41/I38</f>
        <v>23177413.226136383</v>
      </c>
      <c r="E42" s="138" t="str">
        <f>IF(E41=" bcm"," bcyd"," ton")</f>
        <v xml:space="preserve"> ton</v>
      </c>
      <c r="F42" s="53"/>
      <c r="G42" s="118"/>
      <c r="H42" s="281"/>
      <c r="I42" s="143">
        <f>+I39*N41/N38</f>
        <v>994822.51521548198</v>
      </c>
      <c r="J42" s="138" t="s">
        <v>30</v>
      </c>
      <c r="K42" s="53"/>
      <c r="L42" s="59"/>
      <c r="M42" s="119"/>
      <c r="N42" s="119"/>
      <c r="O42" s="59"/>
      <c r="P42" s="60"/>
      <c r="Q42" s="17"/>
      <c r="R42" s="17"/>
      <c r="S42" s="17"/>
      <c r="T42" s="17"/>
      <c r="U42" s="17"/>
      <c r="V42" s="17"/>
      <c r="W42" s="17"/>
      <c r="X42" s="18"/>
    </row>
    <row r="43" spans="1:24" ht="20.100000000000001" customHeight="1" thickTop="1" thickBot="1" x14ac:dyDescent="0.25">
      <c r="A43" s="16"/>
      <c r="B43" s="61"/>
      <c r="C43" s="68"/>
      <c r="D43" s="68"/>
      <c r="E43" s="68"/>
      <c r="F43" s="62"/>
      <c r="G43" s="62"/>
      <c r="H43" s="68"/>
      <c r="I43" s="68"/>
      <c r="J43" s="68"/>
      <c r="K43" s="62"/>
      <c r="L43" s="62"/>
      <c r="M43" s="62"/>
      <c r="N43" s="62"/>
      <c r="O43" s="62"/>
      <c r="P43" s="63"/>
      <c r="Q43" s="17"/>
      <c r="R43" s="17"/>
      <c r="S43" s="17"/>
      <c r="T43" s="17"/>
      <c r="U43" s="17"/>
      <c r="V43" s="17"/>
      <c r="W43" s="17"/>
      <c r="X43" s="18"/>
    </row>
    <row r="44" spans="1:24" ht="20.100000000000001" customHeight="1" thickTop="1" thickBot="1" x14ac:dyDescent="0.25">
      <c r="A44" s="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17"/>
      <c r="R44" s="17"/>
      <c r="S44" s="17"/>
      <c r="T44" s="17"/>
      <c r="U44" s="17"/>
      <c r="V44" s="17"/>
      <c r="W44" s="17"/>
      <c r="X44" s="18"/>
    </row>
    <row r="45" spans="1:24" ht="20.100000000000001" customHeight="1" thickTop="1" thickBot="1" x14ac:dyDescent="0.25">
      <c r="A45" s="16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17"/>
      <c r="R45" s="17"/>
      <c r="S45" s="17"/>
      <c r="T45" s="17"/>
      <c r="U45" s="17"/>
      <c r="V45" s="17"/>
      <c r="W45" s="17"/>
      <c r="X45" s="18"/>
    </row>
    <row r="46" spans="1:24" ht="20.100000000000001" customHeight="1" thickTop="1" thickBot="1" x14ac:dyDescent="0.25">
      <c r="A46" s="16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17"/>
      <c r="R46" s="17"/>
      <c r="S46" s="17"/>
      <c r="T46" s="17"/>
      <c r="U46" s="17"/>
      <c r="V46" s="17"/>
      <c r="W46" s="17"/>
      <c r="X46" s="18"/>
    </row>
    <row r="47" spans="1:24" ht="20.100000000000001" customHeight="1" thickTop="1" thickBot="1" x14ac:dyDescent="0.25">
      <c r="A47" s="16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17"/>
      <c r="R47" s="17"/>
      <c r="S47" s="17"/>
      <c r="T47" s="17"/>
      <c r="U47" s="17"/>
      <c r="V47" s="17"/>
      <c r="W47" s="17"/>
      <c r="X47" s="18"/>
    </row>
    <row r="48" spans="1:24" ht="20.100000000000001" customHeight="1" thickTop="1" thickBot="1" x14ac:dyDescent="0.25">
      <c r="A48" s="1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17"/>
      <c r="R48" s="17"/>
      <c r="S48" s="17"/>
      <c r="T48" s="17"/>
      <c r="U48" s="17"/>
      <c r="V48" s="17"/>
      <c r="W48" s="17"/>
      <c r="X48" s="18"/>
    </row>
    <row r="49" spans="1:24" ht="20.100000000000001" customHeight="1" thickTop="1" thickBot="1" x14ac:dyDescent="0.25">
      <c r="A49" s="16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17"/>
      <c r="R49" s="17"/>
      <c r="S49" s="17"/>
      <c r="T49" s="17"/>
      <c r="U49" s="17"/>
      <c r="V49" s="17"/>
      <c r="W49" s="17"/>
      <c r="X49" s="18"/>
    </row>
    <row r="50" spans="1:24" ht="20.100000000000001" customHeight="1" thickTop="1" thickBot="1" x14ac:dyDescent="0.25">
      <c r="A50" s="16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17"/>
      <c r="R50" s="17"/>
      <c r="S50" s="17"/>
      <c r="T50" s="17"/>
      <c r="U50" s="17"/>
      <c r="V50" s="17"/>
      <c r="W50" s="17"/>
      <c r="X50" s="18"/>
    </row>
    <row r="51" spans="1:24" ht="20.100000000000001" customHeight="1" thickTop="1" thickBot="1" x14ac:dyDescent="0.25">
      <c r="A51" s="16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17"/>
      <c r="R51" s="17"/>
      <c r="S51" s="17"/>
      <c r="T51" s="17"/>
      <c r="U51" s="17"/>
      <c r="V51" s="17"/>
      <c r="W51" s="17"/>
      <c r="X51" s="18"/>
    </row>
    <row r="52" spans="1:24" ht="20.100000000000001" customHeight="1" thickTop="1" thickBot="1" x14ac:dyDescent="0.25">
      <c r="A52" s="16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17"/>
      <c r="R52" s="17"/>
      <c r="S52" s="17"/>
      <c r="T52" s="17"/>
      <c r="U52" s="17"/>
      <c r="V52" s="17"/>
      <c r="W52" s="17"/>
      <c r="X52" s="18"/>
    </row>
    <row r="53" spans="1:24" ht="20.100000000000001" customHeight="1" thickTop="1" thickBot="1" x14ac:dyDescent="0.25">
      <c r="A53" s="16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17"/>
      <c r="R53" s="17"/>
      <c r="S53" s="17"/>
      <c r="T53" s="17"/>
      <c r="U53" s="17"/>
      <c r="V53" s="17"/>
      <c r="W53" s="17"/>
      <c r="X53" s="18"/>
    </row>
    <row r="54" spans="1:24" ht="20.100000000000001" customHeight="1" thickTop="1" thickBot="1" x14ac:dyDescent="0.25">
      <c r="A54" s="16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17"/>
      <c r="R54" s="17"/>
      <c r="S54" s="17"/>
      <c r="T54" s="17"/>
      <c r="U54" s="17"/>
      <c r="V54" s="17"/>
      <c r="W54" s="17"/>
      <c r="X54" s="18"/>
    </row>
    <row r="55" spans="1:24" ht="20.100000000000001" customHeight="1" thickTop="1" thickBot="1" x14ac:dyDescent="0.25">
      <c r="A55" s="16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17"/>
      <c r="R55" s="17"/>
      <c r="S55" s="17"/>
      <c r="T55" s="17"/>
      <c r="U55" s="17"/>
      <c r="V55" s="17"/>
      <c r="W55" s="17"/>
      <c r="X55" s="18"/>
    </row>
    <row r="56" spans="1:24" ht="20.100000000000001" customHeight="1" thickTop="1" thickBot="1" x14ac:dyDescent="0.25">
      <c r="A56" s="1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17"/>
      <c r="R56" s="17"/>
      <c r="S56" s="17"/>
      <c r="T56" s="17"/>
      <c r="U56" s="17"/>
      <c r="V56" s="17"/>
      <c r="W56" s="17"/>
      <c r="X56" s="18"/>
    </row>
    <row r="57" spans="1:24" ht="20.100000000000001" customHeight="1" thickTop="1" thickBot="1" x14ac:dyDescent="0.25">
      <c r="A57" s="16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17"/>
      <c r="R57" s="17"/>
      <c r="S57" s="17"/>
      <c r="T57" s="17"/>
      <c r="U57" s="17"/>
      <c r="V57" s="17"/>
      <c r="W57" s="17"/>
      <c r="X57" s="18"/>
    </row>
    <row r="58" spans="1:24" ht="20.100000000000001" customHeight="1" thickTop="1" thickBot="1" x14ac:dyDescent="0.25">
      <c r="A58" s="16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7"/>
      <c r="R58" s="17"/>
      <c r="S58" s="17"/>
      <c r="T58" s="17"/>
      <c r="U58" s="17"/>
      <c r="V58" s="17"/>
      <c r="W58" s="17"/>
      <c r="X58" s="18"/>
    </row>
    <row r="59" spans="1:24" ht="20.100000000000001" customHeight="1" thickTop="1" thickBot="1" x14ac:dyDescent="0.25">
      <c r="A59" s="16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17"/>
      <c r="R59" s="17"/>
      <c r="S59" s="17"/>
      <c r="T59" s="17"/>
      <c r="U59" s="17"/>
      <c r="V59" s="17"/>
      <c r="W59" s="17"/>
      <c r="X59" s="18"/>
    </row>
    <row r="60" spans="1:24" ht="20.100000000000001" customHeight="1" thickTop="1" thickBot="1" x14ac:dyDescent="0.25">
      <c r="A60" s="16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7"/>
      <c r="R60" s="17"/>
      <c r="S60" s="17"/>
      <c r="T60" s="17"/>
      <c r="U60" s="17"/>
      <c r="V60" s="17"/>
      <c r="W60" s="17"/>
      <c r="X60" s="18"/>
    </row>
    <row r="61" spans="1:24" ht="20.100000000000001" customHeight="1" thickTop="1" thickBot="1" x14ac:dyDescent="0.25">
      <c r="A61" s="16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17"/>
      <c r="R61" s="17"/>
      <c r="S61" s="17"/>
      <c r="T61" s="17"/>
      <c r="U61" s="17"/>
      <c r="V61" s="17"/>
      <c r="W61" s="17"/>
      <c r="X61" s="18"/>
    </row>
    <row r="62" spans="1:24" ht="20.100000000000001" customHeight="1" thickTop="1" thickBot="1" x14ac:dyDescent="0.25">
      <c r="A62" s="16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17"/>
      <c r="R62" s="17"/>
      <c r="S62" s="17"/>
      <c r="T62" s="17"/>
      <c r="U62" s="17"/>
      <c r="V62" s="17"/>
      <c r="W62" s="17"/>
      <c r="X62" s="18"/>
    </row>
    <row r="63" spans="1:24" ht="20.100000000000001" customHeight="1" thickTop="1" thickBot="1" x14ac:dyDescent="0.25">
      <c r="A63" s="16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17"/>
      <c r="R63" s="17"/>
      <c r="S63" s="17"/>
      <c r="T63" s="17"/>
      <c r="U63" s="17"/>
      <c r="V63" s="17"/>
      <c r="W63" s="17"/>
      <c r="X63" s="18"/>
    </row>
    <row r="64" spans="1:24" ht="20.100000000000001" customHeight="1" thickTop="1" thickBot="1" x14ac:dyDescent="0.25">
      <c r="A64" s="16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17"/>
      <c r="R64" s="17"/>
      <c r="S64" s="17"/>
      <c r="T64" s="17"/>
      <c r="U64" s="17"/>
      <c r="V64" s="17"/>
      <c r="W64" s="17"/>
      <c r="X64" s="18"/>
    </row>
    <row r="65" spans="1:24" ht="20.100000000000001" customHeight="1" thickTop="1" thickBot="1" x14ac:dyDescent="0.25">
      <c r="A65" s="16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17"/>
      <c r="R65" s="17"/>
      <c r="S65" s="17"/>
      <c r="T65" s="17"/>
      <c r="U65" s="17"/>
      <c r="V65" s="17"/>
      <c r="W65" s="17"/>
      <c r="X65" s="18"/>
    </row>
    <row r="66" spans="1:24" ht="20.100000000000001" customHeight="1" thickTop="1" thickBot="1" x14ac:dyDescent="0.25">
      <c r="A66" s="16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17"/>
      <c r="R66" s="17"/>
      <c r="S66" s="17"/>
      <c r="T66" s="17"/>
      <c r="U66" s="17"/>
      <c r="V66" s="17"/>
      <c r="W66" s="17"/>
      <c r="X66" s="18"/>
    </row>
    <row r="67" spans="1:24" ht="20.100000000000001" customHeight="1" thickTop="1" thickBot="1" x14ac:dyDescent="0.25">
      <c r="A67" s="16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17"/>
      <c r="R67" s="17"/>
      <c r="S67" s="17"/>
      <c r="T67" s="17"/>
      <c r="U67" s="17"/>
      <c r="V67" s="17"/>
      <c r="W67" s="17"/>
      <c r="X67" s="18"/>
    </row>
    <row r="68" spans="1:24" ht="20.100000000000001" customHeight="1" thickTop="1" thickBot="1" x14ac:dyDescent="0.25">
      <c r="A68" s="16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17"/>
      <c r="R68" s="17"/>
      <c r="S68" s="17"/>
      <c r="T68" s="17"/>
      <c r="U68" s="17"/>
      <c r="V68" s="17"/>
      <c r="W68" s="17"/>
      <c r="X68" s="18"/>
    </row>
    <row r="69" spans="1:24" ht="20.100000000000001" customHeight="1" thickTop="1" thickBot="1" x14ac:dyDescent="0.25">
      <c r="A69" s="16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17"/>
      <c r="R69" s="17"/>
      <c r="S69" s="17"/>
      <c r="T69" s="17"/>
      <c r="U69" s="17"/>
      <c r="V69" s="17"/>
      <c r="W69" s="17"/>
      <c r="X69" s="18"/>
    </row>
    <row r="70" spans="1:24" ht="20.100000000000001" customHeight="1" thickTop="1" thickBot="1" x14ac:dyDescent="0.25">
      <c r="A70" s="16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17"/>
      <c r="R70" s="17"/>
      <c r="S70" s="17"/>
      <c r="T70" s="17"/>
      <c r="U70" s="17"/>
      <c r="V70" s="17"/>
      <c r="W70" s="17"/>
      <c r="X70" s="18"/>
    </row>
    <row r="71" spans="1:24" ht="20.100000000000001" customHeight="1" thickTop="1" thickBot="1" x14ac:dyDescent="0.25">
      <c r="A71" s="16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17"/>
      <c r="R71" s="17"/>
      <c r="S71" s="17"/>
      <c r="T71" s="17"/>
      <c r="U71" s="17"/>
      <c r="V71" s="17"/>
      <c r="W71" s="17"/>
      <c r="X71" s="18"/>
    </row>
    <row r="72" spans="1:24" ht="20.100000000000001" customHeight="1" thickTop="1" thickBot="1" x14ac:dyDescent="0.25">
      <c r="A72" s="16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17"/>
      <c r="R72" s="17"/>
      <c r="S72" s="17"/>
      <c r="T72" s="17"/>
      <c r="U72" s="17"/>
      <c r="V72" s="17"/>
      <c r="W72" s="17"/>
      <c r="X72" s="18"/>
    </row>
    <row r="73" spans="1:24" ht="20.100000000000001" customHeight="1" thickTop="1" thickBot="1" x14ac:dyDescent="0.25">
      <c r="A73" s="16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17"/>
      <c r="R73" s="17"/>
      <c r="S73" s="17"/>
      <c r="T73" s="17"/>
      <c r="U73" s="17"/>
      <c r="V73" s="17"/>
      <c r="W73" s="17"/>
      <c r="X73" s="18"/>
    </row>
    <row r="74" spans="1:24" ht="20.100000000000001" customHeight="1" thickTop="1" thickBot="1" x14ac:dyDescent="0.25">
      <c r="A74" s="16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17"/>
      <c r="R74" s="17"/>
      <c r="S74" s="17"/>
      <c r="T74" s="17"/>
      <c r="U74" s="17"/>
      <c r="V74" s="17"/>
      <c r="W74" s="17"/>
      <c r="X74" s="18"/>
    </row>
    <row r="75" spans="1:24" ht="20.100000000000001" customHeight="1" thickTop="1" thickBot="1" x14ac:dyDescent="0.25">
      <c r="A75" s="1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17"/>
      <c r="R75" s="17"/>
      <c r="S75" s="17"/>
      <c r="T75" s="17"/>
      <c r="U75" s="17"/>
      <c r="V75" s="17"/>
      <c r="W75" s="17"/>
      <c r="X75" s="18"/>
    </row>
    <row r="76" spans="1:24" ht="20.100000000000001" customHeight="1" thickTop="1" thickBot="1" x14ac:dyDescent="0.25">
      <c r="A76" s="16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17"/>
      <c r="R76" s="17"/>
      <c r="S76" s="17"/>
      <c r="T76" s="17"/>
      <c r="U76" s="17"/>
      <c r="V76" s="17"/>
      <c r="W76" s="17"/>
      <c r="X76" s="18"/>
    </row>
    <row r="77" spans="1:24" ht="20.100000000000001" customHeight="1" thickTop="1" thickBot="1" x14ac:dyDescent="0.25">
      <c r="A77" s="16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17"/>
      <c r="R77" s="17"/>
      <c r="S77" s="17"/>
      <c r="T77" s="17"/>
      <c r="U77" s="17"/>
      <c r="V77" s="17"/>
      <c r="W77" s="17"/>
      <c r="X77" s="18"/>
    </row>
    <row r="78" spans="1:24" ht="20.100000000000001" customHeight="1" thickTop="1" thickBot="1" x14ac:dyDescent="0.25">
      <c r="A78" s="16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7"/>
      <c r="R78" s="17"/>
      <c r="S78" s="17"/>
      <c r="T78" s="17"/>
      <c r="U78" s="17"/>
      <c r="V78" s="17"/>
      <c r="W78" s="17"/>
      <c r="X78" s="18"/>
    </row>
    <row r="79" spans="1:24" ht="20.100000000000001" customHeight="1" thickTop="1" thickBot="1" x14ac:dyDescent="0.25">
      <c r="A79" s="16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17"/>
      <c r="R79" s="17"/>
      <c r="S79" s="17"/>
      <c r="T79" s="17"/>
      <c r="U79" s="17"/>
      <c r="V79" s="17"/>
      <c r="W79" s="17"/>
      <c r="X79" s="18"/>
    </row>
    <row r="80" spans="1:24" ht="20.100000000000001" customHeight="1" thickTop="1" thickBot="1" x14ac:dyDescent="0.25">
      <c r="A80" s="1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17"/>
      <c r="R80" s="17"/>
      <c r="S80" s="17"/>
      <c r="T80" s="17"/>
      <c r="U80" s="17"/>
      <c r="V80" s="17"/>
      <c r="W80" s="17"/>
      <c r="X80" s="18"/>
    </row>
    <row r="81" spans="1:24" ht="20.100000000000001" customHeight="1" thickTop="1" thickBot="1" x14ac:dyDescent="0.25">
      <c r="A81" s="16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17"/>
      <c r="R81" s="17"/>
      <c r="S81" s="17"/>
      <c r="T81" s="17"/>
      <c r="U81" s="17"/>
      <c r="V81" s="17"/>
      <c r="W81" s="17"/>
      <c r="X81" s="18"/>
    </row>
    <row r="82" spans="1:24" ht="20.100000000000001" customHeight="1" thickTop="1" thickBot="1" x14ac:dyDescent="0.25">
      <c r="A82" s="16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17"/>
      <c r="R82" s="17"/>
      <c r="S82" s="17"/>
      <c r="T82" s="17"/>
      <c r="U82" s="17"/>
      <c r="V82" s="17"/>
      <c r="W82" s="17"/>
      <c r="X82" s="18"/>
    </row>
    <row r="83" spans="1:24" ht="20.100000000000001" customHeight="1" thickTop="1" thickBot="1" x14ac:dyDescent="0.25">
      <c r="A83" s="16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17"/>
      <c r="R83" s="17"/>
      <c r="S83" s="17"/>
      <c r="T83" s="17"/>
      <c r="U83" s="17"/>
      <c r="V83" s="17"/>
      <c r="W83" s="17"/>
      <c r="X83" s="18"/>
    </row>
    <row r="84" spans="1:24" ht="20.100000000000001" customHeight="1" thickTop="1" thickBot="1" x14ac:dyDescent="0.25">
      <c r="A84" s="16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17"/>
      <c r="R84" s="17"/>
      <c r="S84" s="17"/>
      <c r="T84" s="17"/>
      <c r="U84" s="17"/>
      <c r="V84" s="17"/>
      <c r="W84" s="17"/>
      <c r="X84" s="18"/>
    </row>
    <row r="85" spans="1:24" ht="20.100000000000001" customHeight="1" thickTop="1" thickBot="1" x14ac:dyDescent="0.25">
      <c r="A85" s="16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17"/>
      <c r="R85" s="17"/>
      <c r="S85" s="17"/>
      <c r="T85" s="17"/>
      <c r="U85" s="17"/>
      <c r="V85" s="17"/>
      <c r="W85" s="17"/>
      <c r="X85" s="18"/>
    </row>
    <row r="86" spans="1:24" ht="20.100000000000001" customHeight="1" thickTop="1" thickBot="1" x14ac:dyDescent="0.25">
      <c r="A86" s="16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17"/>
      <c r="R86" s="17"/>
      <c r="S86" s="17"/>
      <c r="T86" s="17"/>
      <c r="U86" s="17"/>
      <c r="V86" s="17"/>
      <c r="W86" s="17"/>
      <c r="X86" s="18"/>
    </row>
    <row r="87" spans="1:24" ht="20.100000000000001" customHeight="1" thickTop="1" thickBot="1" x14ac:dyDescent="0.25">
      <c r="A87" s="16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17"/>
      <c r="R87" s="17"/>
      <c r="S87" s="17"/>
      <c r="T87" s="17"/>
      <c r="U87" s="17"/>
      <c r="V87" s="17"/>
      <c r="W87" s="17"/>
      <c r="X87" s="18"/>
    </row>
    <row r="88" spans="1:24" ht="20.100000000000001" customHeight="1" thickTop="1" thickBot="1" x14ac:dyDescent="0.25">
      <c r="A88" s="16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17"/>
      <c r="R88" s="17"/>
      <c r="S88" s="17"/>
      <c r="T88" s="17"/>
      <c r="U88" s="17"/>
      <c r="V88" s="17"/>
      <c r="W88" s="17"/>
      <c r="X88" s="18"/>
    </row>
    <row r="89" spans="1:24" ht="20.100000000000001" customHeight="1" thickTop="1" thickBot="1" x14ac:dyDescent="0.25">
      <c r="A89" s="16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17"/>
      <c r="R89" s="17"/>
      <c r="S89" s="17"/>
      <c r="T89" s="17"/>
      <c r="U89" s="17"/>
      <c r="V89" s="17"/>
      <c r="W89" s="17"/>
      <c r="X89" s="18"/>
    </row>
    <row r="90" spans="1:24" ht="20.100000000000001" customHeight="1" thickTop="1" thickBot="1" x14ac:dyDescent="0.25">
      <c r="A90" s="16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17"/>
      <c r="R90" s="17"/>
      <c r="S90" s="17"/>
      <c r="T90" s="17"/>
      <c r="U90" s="17"/>
      <c r="V90" s="17"/>
      <c r="W90" s="17"/>
      <c r="X90" s="18"/>
    </row>
    <row r="91" spans="1:24" ht="20.100000000000001" customHeight="1" thickTop="1" thickBot="1" x14ac:dyDescent="0.25">
      <c r="A91" s="16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17"/>
      <c r="R91" s="17"/>
      <c r="S91" s="17"/>
      <c r="T91" s="17"/>
      <c r="U91" s="17"/>
      <c r="V91" s="17"/>
      <c r="W91" s="17"/>
      <c r="X91" s="18"/>
    </row>
    <row r="92" spans="1:24" ht="20.100000000000001" customHeight="1" thickTop="1" thickBot="1" x14ac:dyDescent="0.25">
      <c r="A92" s="16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17"/>
      <c r="R92" s="17"/>
      <c r="S92" s="17"/>
      <c r="T92" s="17"/>
      <c r="U92" s="17"/>
      <c r="V92" s="17"/>
      <c r="W92" s="17"/>
      <c r="X92" s="18"/>
    </row>
    <row r="93" spans="1:24" ht="12.75" thickTop="1" thickBot="1" x14ac:dyDescent="0.25">
      <c r="A93" s="16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</row>
    <row r="94" spans="1:24" ht="12" thickTop="1" x14ac:dyDescent="0.2">
      <c r="A94" s="16"/>
    </row>
    <row r="95" spans="1:24" x14ac:dyDescent="0.2">
      <c r="A95" s="16"/>
    </row>
  </sheetData>
  <mergeCells count="27">
    <mergeCell ref="D1:N3"/>
    <mergeCell ref="D4:F4"/>
    <mergeCell ref="I4:K4"/>
    <mergeCell ref="N4:O4"/>
    <mergeCell ref="C11:C12"/>
    <mergeCell ref="H11:H12"/>
    <mergeCell ref="C14:C15"/>
    <mergeCell ref="H14:H15"/>
    <mergeCell ref="M14:M15"/>
    <mergeCell ref="C17:C18"/>
    <mergeCell ref="H17:H18"/>
    <mergeCell ref="M17:M18"/>
    <mergeCell ref="C20:C21"/>
    <mergeCell ref="H20:H21"/>
    <mergeCell ref="M20:M21"/>
    <mergeCell ref="C23:C24"/>
    <mergeCell ref="H23:H24"/>
    <mergeCell ref="M23:M24"/>
    <mergeCell ref="C41:C42"/>
    <mergeCell ref="H41:H42"/>
    <mergeCell ref="M27:O27"/>
    <mergeCell ref="C28:C29"/>
    <mergeCell ref="H28:H29"/>
    <mergeCell ref="C33:C34"/>
    <mergeCell ref="H33:H34"/>
    <mergeCell ref="C38:C39"/>
    <mergeCell ref="H38:H39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autoLine="0" autoPict="0">
                <anchor moveWithCells="1">
                  <from>
                    <xdr:col>8</xdr:col>
                    <xdr:colOff>19050</xdr:colOff>
                    <xdr:row>7</xdr:row>
                    <xdr:rowOff>47625</xdr:rowOff>
                  </from>
                  <to>
                    <xdr:col>9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609600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locked="0"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609600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locked="0" defaultSize="0" autoLine="0" autoPict="0">
                <anchor moveWithCells="1">
                  <from>
                    <xdr:col>8</xdr:col>
                    <xdr:colOff>28575</xdr:colOff>
                    <xdr:row>14</xdr:row>
                    <xdr:rowOff>19050</xdr:rowOff>
                  </from>
                  <to>
                    <xdr:col>8</xdr:col>
                    <xdr:colOff>628650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Drop Down 5">
              <controlPr locked="0" defaultSize="0" autoLine="0" autoPict="0">
                <anchor moveWithCells="1">
                  <from>
                    <xdr:col>3</xdr:col>
                    <xdr:colOff>9525</xdr:colOff>
                    <xdr:row>6</xdr:row>
                    <xdr:rowOff>28575</xdr:rowOff>
                  </from>
                  <to>
                    <xdr:col>3</xdr:col>
                    <xdr:colOff>609600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Drop Down 6">
              <controlPr locked="0" defaultSize="0" autoLine="0" autoPict="0">
                <anchor moveWithCells="1">
                  <from>
                    <xdr:col>3</xdr:col>
                    <xdr:colOff>1343025</xdr:colOff>
                    <xdr:row>38</xdr:row>
                    <xdr:rowOff>19050</xdr:rowOff>
                  </from>
                  <to>
                    <xdr:col>7</xdr:col>
                    <xdr:colOff>438150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Drop Down 7">
              <controlPr locked="0" defaultSize="0" autoLine="0" autoPict="0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609600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Drop Down 8">
              <controlPr locked="0" defaultSize="0" autoLine="0" autoPict="0">
                <anchor moveWithCells="1">
                  <from>
                    <xdr:col>12</xdr:col>
                    <xdr:colOff>1371600</xdr:colOff>
                    <xdr:row>32</xdr:row>
                    <xdr:rowOff>238125</xdr:rowOff>
                  </from>
                  <to>
                    <xdr:col>13</xdr:col>
                    <xdr:colOff>600075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Drop Down 9">
              <controlPr locked="0" defaultSize="0" autoLine="0" autoPict="0">
                <anchor moveWithCells="1">
                  <from>
                    <xdr:col>13</xdr:col>
                    <xdr:colOff>0</xdr:colOff>
                    <xdr:row>31</xdr:row>
                    <xdr:rowOff>152400</xdr:rowOff>
                  </from>
                  <to>
                    <xdr:col>13</xdr:col>
                    <xdr:colOff>609600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Drop Down 10">
              <controlPr locked="0" defaultSize="0" autoLine="0" autoPict="0">
                <anchor moveWithCells="1">
                  <from>
                    <xdr:col>8</xdr:col>
                    <xdr:colOff>19050</xdr:colOff>
                    <xdr:row>8</xdr:row>
                    <xdr:rowOff>47625</xdr:rowOff>
                  </from>
                  <to>
                    <xdr:col>8</xdr:col>
                    <xdr:colOff>619125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Drop Down 11">
              <controlPr locked="0" defaultSize="0" autoLine="0" autoPict="0">
                <anchor moveWithCells="1">
                  <from>
                    <xdr:col>13</xdr:col>
                    <xdr:colOff>38100</xdr:colOff>
                    <xdr:row>7</xdr:row>
                    <xdr:rowOff>0</xdr:rowOff>
                  </from>
                  <to>
                    <xdr:col>13</xdr:col>
                    <xdr:colOff>638175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Drop Down 12">
              <controlPr locked="0" defaultSize="0" autoLine="0" autoPict="0">
                <anchor moveWithCells="1">
                  <from>
                    <xdr:col>13</xdr:col>
                    <xdr:colOff>38100</xdr:colOff>
                    <xdr:row>8</xdr:row>
                    <xdr:rowOff>9525</xdr:rowOff>
                  </from>
                  <to>
                    <xdr:col>13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Drop Down 13">
              <controlPr locked="0" defaultSize="0" autoLine="0" autoPict="0">
                <anchor moveWithCells="1">
                  <from>
                    <xdr:col>9</xdr:col>
                    <xdr:colOff>19050</xdr:colOff>
                    <xdr:row>8</xdr:row>
                    <xdr:rowOff>47625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Drop Down 14">
              <controlPr locked="0" defaultSize="0" autoLine="0" autoPict="0">
                <anchor moveWithCells="1">
                  <from>
                    <xdr:col>2</xdr:col>
                    <xdr:colOff>1171575</xdr:colOff>
                    <xdr:row>50</xdr:row>
                    <xdr:rowOff>133350</xdr:rowOff>
                  </from>
                  <to>
                    <xdr:col>3</xdr:col>
                    <xdr:colOff>400050</xdr:colOff>
                    <xdr:row>51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I25" sqref="I25"/>
    </sheetView>
  </sheetViews>
  <sheetFormatPr defaultRowHeight="12.75" x14ac:dyDescent="0.2"/>
  <sheetData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D9" sqref="D9"/>
    </sheetView>
  </sheetViews>
  <sheetFormatPr defaultRowHeight="12.75" x14ac:dyDescent="0.2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Calculator</vt:lpstr>
      <vt:lpstr>Calc. Sdk</vt:lpstr>
      <vt:lpstr>Production Calculator Comp.</vt:lpstr>
      <vt:lpstr>Calc. Comp.</vt:lpstr>
      <vt:lpstr>Sheet1</vt:lpstr>
      <vt:lpstr>DI</vt:lpstr>
      <vt:lpstr>Calculator!Print_Area</vt:lpstr>
    </vt:vector>
  </TitlesOfParts>
  <Company>Driltech 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peherna</dc:creator>
  <cp:lastModifiedBy>Justin Lapidus</cp:lastModifiedBy>
  <cp:lastPrinted>2016-02-03T15:26:03Z</cp:lastPrinted>
  <dcterms:created xsi:type="dcterms:W3CDTF">2005-01-21T13:21:37Z</dcterms:created>
  <dcterms:modified xsi:type="dcterms:W3CDTF">2020-11-08T20:42:17Z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paul.d.morgan@sandvik.com</vt:lpwstr>
  </property>
  <property fmtid="{D5CDD505-2E9C-101B-9397-08002B2CF9AE}" pid="5" name="MSIP_Label_e58707db-cea7-4907-92d1-cf323291762b_SetDate">
    <vt:lpwstr>2019-09-25T17:48:16.6341576Z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