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24226"/>
  <sheets>
    <sheet name="Calculator" sheetId="1" r:id="rId1"/>
    <sheet name="Calc. Sdk" sheetId="2" r:id="rId2"/>
    <sheet name="Production Calculator Comp." sheetId="3" r:id="rId3" state="hidden"/>
    <sheet name="Calc. Comp." sheetId="4" r:id="rId4" state="hidden"/>
    <sheet name="Sheet1" sheetId="5" r:id="rId5"/>
  </sheets>
  <definedNames>
    <definedName name="_xlnm._FilterDatabase" localSheetId="1" hidden="1">'Calc. Sdk'!AL62:AZ658</definedName>
    <definedName name="DI">'Calc. Sdk'!$DM$14</definedName>
    <definedName name="_xlnm.Print_Area" localSheetId="0">Calculator!$B$1:$P$44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15">
    <numFmt numFmtId="43" formatCode="_(* #,##0.00_);_(* \(#,##0.00\);_(* &quot;-&quot;??_);_(@_)"/>
    <numFmt numFmtId="56" formatCode="&quot;上午/下午 &quot;hh&quot;時&quot;mm&quot;分&quot;ss&quot;秒 &quot;"/>
    <numFmt numFmtId="164" formatCode="0.0"/>
    <numFmt numFmtId="165" formatCode="#,##0.0"/>
    <numFmt numFmtId="166" formatCode="0.0000"/>
    <numFmt numFmtId="167" formatCode="0.000"/>
    <numFmt numFmtId="168" formatCode="0.0000000"/>
    <numFmt numFmtId="169" formatCode="[$-409]mmmm\ d\,\ yyyy;@"/>
    <numFmt numFmtId="170" formatCode="#\°"/>
    <numFmt numFmtId="171" formatCode="#.0\°"/>
    <numFmt numFmtId="172" formatCode="#\ &quot;Hz&quot;"/>
    <numFmt numFmtId="173" formatCode="_(* #,##0_);_(* \(#,##0\);_(* &quot;-&quot;??_);_(@_)"/>
    <numFmt numFmtId="174" formatCode="#\ ?/8"/>
    <numFmt numFmtId="175" formatCode="#\ ?/4"/>
    <numFmt numFmtId="176" formatCode="#\ ?/2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96"/>
  <sheetViews>
    <sheetView workbookViewId="0" rightToLeft="0"/>
  </sheetViews>
  <sheetData>
    <row r="1">
      <c r="D1" t="str">
        <v>PRODUCTION BLASTHOLE &amp; DTH CALCULATOR</v>
      </c>
    </row>
    <row r="4">
      <c r="C4" t="str">
        <v xml:space="preserve">Customer name: </v>
      </c>
      <c r="D4" t="str">
        <v>Justin</v>
      </c>
      <c r="H4" t="str">
        <v xml:space="preserve">Project name: </v>
      </c>
      <c r="I4" t="str">
        <v>yooooo</v>
      </c>
      <c r="M4" t="str">
        <v xml:space="preserve">Date: </v>
      </c>
      <c r="N4" s="1">
        <f>TODAY()</f>
        <v>44143</v>
      </c>
      <c r="R4" t="str">
        <v>DRILLING RATE INDEX FOR DTH</v>
      </c>
    </row>
    <row r="6">
      <c r="C6" t="str">
        <v xml:space="preserve">Drilling method </v>
      </c>
      <c r="H6" t="str">
        <v xml:space="preserve">Drill rig model </v>
      </c>
      <c r="M6" t="str">
        <v xml:space="preserve">Rock fracturization </v>
      </c>
    </row>
    <row r="7">
      <c r="C7" t="str">
        <f>+'Calc. Sdk'!AB13</f>
        <v>Bit type</v>
      </c>
      <c r="H7" t="str">
        <v xml:space="preserve">Angle drill </v>
      </c>
      <c r="M7" t="str">
        <v>Rock Drillability Index</v>
      </c>
    </row>
    <row r="8">
      <c r="C8" t="str">
        <v>Hammer Bit Type</v>
      </c>
      <c r="M8" t="str">
        <v xml:space="preserve">Operator efficiency </v>
      </c>
    </row>
    <row r="9">
      <c r="C9" t="str">
        <v>Shock Sub</v>
      </c>
      <c r="M9" t="str">
        <v>Operating Air Pressure</v>
      </c>
      <c r="O9" t="str">
        <v xml:space="preserve"> psi</v>
      </c>
    </row>
    <row r="12">
      <c r="C12" t="str">
        <v xml:space="preserve">Elevation </v>
      </c>
      <c r="D12">
        <v>300</v>
      </c>
      <c r="E12" t="str">
        <v xml:space="preserve"> m</v>
      </c>
      <c r="H12" t="str">
        <v xml:space="preserve">Ambient temperature </v>
      </c>
      <c r="I12">
        <v>21</v>
      </c>
      <c r="J12" t="str">
        <v xml:space="preserve"> °C</v>
      </c>
      <c r="M12" t="str">
        <v xml:space="preserve">Hours per day </v>
      </c>
      <c r="N12">
        <v>24</v>
      </c>
    </row>
    <row r="13">
      <c r="D13">
        <f>IF(D12="","",D12/0.3048)</f>
        <v>984.251968503937</v>
      </c>
      <c r="E13" t="str">
        <v xml:space="preserve"> ft</v>
      </c>
      <c r="I13">
        <f>IF(I12="","",+(I12*(9/5)+32))</f>
        <v>69.80000000000001</v>
      </c>
      <c r="J13" t="str">
        <v xml:space="preserve"> °F</v>
      </c>
      <c r="M13" t="str">
        <v xml:space="preserve">Days per year </v>
      </c>
      <c r="N13">
        <v>360</v>
      </c>
    </row>
    <row r="15">
      <c r="C15" t="str">
        <v xml:space="preserve">Bit size </v>
      </c>
      <c r="E15" t="str">
        <v xml:space="preserve"> mm</v>
      </c>
      <c r="H15" t="str">
        <v xml:space="preserve">Compressor size </v>
      </c>
      <c r="I15">
        <f>+'Calc. Sdk'!BV2/35.31467</f>
        <v>56.63368792629239</v>
      </c>
      <c r="J15" t="str">
        <v xml:space="preserve"> m³/min</v>
      </c>
      <c r="M15" t="str">
        <v xml:space="preserve">Max. Compressor pressure </v>
      </c>
      <c r="N15">
        <f>IF(N16="","",0.06894757*N16)</f>
        <v>6.894757</v>
      </c>
      <c r="O15" t="str">
        <v xml:space="preserve"> bar</v>
      </c>
    </row>
    <row r="16">
      <c r="D16">
        <f>+'Calc. Sdk'!DE2</f>
        <v>12.244094488188978</v>
      </c>
      <c r="E16" t="str">
        <v xml:space="preserve"> in</v>
      </c>
      <c r="I16">
        <v>862</v>
      </c>
      <c r="J16" t="str">
        <v xml:space="preserve"> cfm</v>
      </c>
      <c r="N16">
        <f>+'Calc. Sdk'!BN23</f>
        <v>100</v>
      </c>
      <c r="O16" t="str">
        <v xml:space="preserve"> psi</v>
      </c>
    </row>
    <row r="18">
      <c r="C18" t="str">
        <v xml:space="preserve">Drill pipe OD </v>
      </c>
      <c r="E18" t="str">
        <v xml:space="preserve"> mm</v>
      </c>
      <c r="H18" t="str">
        <v xml:space="preserve">Equivalent volume </v>
      </c>
      <c r="I18">
        <f>+I19/35.31467</f>
        <v>53.89644190701279</v>
      </c>
      <c r="J18" t="str">
        <v xml:space="preserve"> m³/min</v>
      </c>
      <c r="M18" t="str">
        <v xml:space="preserve">Up-hole velocity </v>
      </c>
      <c r="N18">
        <f>+N19*0.3048/60</f>
        <v>31.15947494123835</v>
      </c>
      <c r="O18" t="str">
        <v xml:space="preserve"> m/sec</v>
      </c>
    </row>
    <row r="19">
      <c r="D19">
        <f>+'Calc. Sdk'!BC2</f>
        <v>9.645669291338583</v>
      </c>
      <c r="E19" t="str">
        <v xml:space="preserve"> in</v>
      </c>
      <c r="I19">
        <f>+'Calc. Sdk'!DG8</f>
        <v>1903.3350601203274</v>
      </c>
      <c r="J19" t="str">
        <v xml:space="preserve"> cfm</v>
      </c>
      <c r="N19">
        <f>+'Calc. Sdk'!DG2</f>
        <v>6133.754909692589</v>
      </c>
      <c r="O19" t="str">
        <v xml:space="preserve"> fpm</v>
      </c>
    </row>
    <row r="21">
      <c r="C21" t="str">
        <v xml:space="preserve">Bench height </v>
      </c>
      <c r="D21">
        <v>18</v>
      </c>
      <c r="E21" t="str">
        <v xml:space="preserve"> m</v>
      </c>
      <c r="H21" t="str">
        <v xml:space="preserve">Burden </v>
      </c>
      <c r="I21">
        <v>7</v>
      </c>
      <c r="J21" t="str">
        <v xml:space="preserve"> m</v>
      </c>
      <c r="M21" t="str">
        <v xml:space="preserve">Rock UCS </v>
      </c>
      <c r="N21">
        <v>250</v>
      </c>
      <c r="O21" t="str">
        <v xml:space="preserve"> MPa</v>
      </c>
    </row>
    <row r="22">
      <c r="D22">
        <f>IF(D21="","",+D21/0.3048)</f>
        <v>59.055118110236215</v>
      </c>
      <c r="E22" t="str">
        <v xml:space="preserve"> ft</v>
      </c>
      <c r="I22">
        <f>IF(I21="","",+I21/0.3048)</f>
        <v>22.96587926509186</v>
      </c>
      <c r="J22" t="str">
        <v xml:space="preserve"> ft</v>
      </c>
      <c r="N22">
        <f>N21/0.006894757</f>
        <v>36259.43597432078</v>
      </c>
      <c r="O22" t="str">
        <v xml:space="preserve"> psi</v>
      </c>
    </row>
    <row r="24">
      <c r="C24" t="str">
        <v xml:space="preserve">Sub-drilling </v>
      </c>
      <c r="D24">
        <v>0</v>
      </c>
      <c r="E24" t="str">
        <v xml:space="preserve"> m</v>
      </c>
      <c r="H24" t="str">
        <v xml:space="preserve">Spacing </v>
      </c>
      <c r="I24">
        <v>7</v>
      </c>
      <c r="J24" t="str">
        <v xml:space="preserve"> m</v>
      </c>
      <c r="M24" t="str">
        <v xml:space="preserve">Rock density in-situ </v>
      </c>
      <c r="N24">
        <v>2</v>
      </c>
      <c r="O24" t="str">
        <v xml:space="preserve"> tonne/m³</v>
      </c>
    </row>
    <row r="25">
      <c r="D25">
        <f>IF(D24="","",+D24/0.3048)</f>
        <v>0</v>
      </c>
      <c r="E25" t="str">
        <v xml:space="preserve"> ft</v>
      </c>
      <c r="I25">
        <f>IF(I24="","",+I24/0.3048)</f>
        <v>22.96587926509186</v>
      </c>
      <c r="J25" t="str">
        <v xml:space="preserve"> ft</v>
      </c>
      <c r="N25">
        <f>N24*0.75248</f>
        <v>1.50496</v>
      </c>
      <c r="O25" t="str">
        <v xml:space="preserve"> ton/yd³</v>
      </c>
    </row>
    <row r="27">
      <c r="C27" t="str">
        <v xml:space="preserve">Piece(s) pipe to add </v>
      </c>
      <c r="D27">
        <f>IF((D22+D25)&lt;'Calc. Sdk'!EG2,0,'Calc. Sdk'!EL2)</f>
        <v>1</v>
      </c>
      <c r="H27" t="str">
        <v xml:space="preserve">Rotation Speed </v>
      </c>
      <c r="I27">
        <v>85</v>
      </c>
      <c r="J27" t="str">
        <v>RPM</v>
      </c>
      <c r="M27" t="str">
        <f>IF(N19&lt;5000,"Check pipe-bit-compressor combination",IF(N19&gt;10000,"Check pipe-bit-compressor combination",""))</f>
        <v/>
      </c>
    </row>
    <row r="28">
      <c r="C28" t="str">
        <v xml:space="preserve">Piece(s) pipe to add </v>
      </c>
      <c r="D28">
        <f>D21+D24</f>
        <v>18</v>
      </c>
      <c r="M28" t="str">
        <f>'Calc. Sdk'!GB25</f>
        <v/>
      </c>
    </row>
    <row r="29">
      <c r="C29" t="str">
        <v>Optimum bit load for Hole Size and Rock</v>
      </c>
      <c r="D29">
        <f>IF(D30="","",+D30*0.004448222)</f>
        <v>434.4670560520484</v>
      </c>
      <c r="E29" t="str">
        <v xml:space="preserve"> kN</v>
      </c>
      <c r="H29" t="str">
        <v xml:space="preserve">Rotation power </v>
      </c>
      <c r="I29">
        <f>IF(I30="","",+I30*0.7457)</f>
        <v>161.70614797814096</v>
      </c>
      <c r="J29" t="str">
        <v xml:space="preserve"> kW</v>
      </c>
      <c r="M29" t="str">
        <f>+'Calc. Sdk'!FD33</f>
        <v/>
      </c>
    </row>
    <row r="30">
      <c r="D30">
        <f>+'Calc. Sdk'!DI7</f>
        <v>97672.07123476491</v>
      </c>
      <c r="E30" t="str">
        <v xml:space="preserve"> lb.</v>
      </c>
      <c r="I30">
        <f>+'Calc. Sdk'!DI8</f>
        <v>216.85147911779663</v>
      </c>
      <c r="J30" t="str">
        <v xml:space="preserve"> HP</v>
      </c>
      <c r="M30" t="str">
        <f>+'Calc. Sdk'!FD29</f>
        <v/>
      </c>
    </row>
    <row r="31">
      <c r="M31" t="str">
        <f>'Calc. Sdk'!GB25</f>
        <v/>
      </c>
    </row>
    <row r="32">
      <c r="C32" t="str">
        <v>Set Pulldown</v>
      </c>
      <c r="D32">
        <v>80000</v>
      </c>
      <c r="E32" t="str">
        <v xml:space="preserve"> lb.</v>
      </c>
      <c r="H32" t="str">
        <v>Max Possible Weight on Bit</v>
      </c>
      <c r="I32">
        <f>'Calc. Sdk'!AL35</f>
        <v>89554</v>
      </c>
      <c r="J32" t="str">
        <v xml:space="preserve"> lb.</v>
      </c>
    </row>
    <row r="34">
      <c r="C34" t="str">
        <v>Instantaneous penetration rate</v>
      </c>
      <c r="D34">
        <f>'Calc. Sdk'!EX11</f>
        <v>5.495289014533622</v>
      </c>
      <c r="E34" t="str">
        <v xml:space="preserve"> m/hr</v>
      </c>
      <c r="H34" t="str">
        <v>Net penetration rate</v>
      </c>
      <c r="I34">
        <f>'Calc. Sdk'!EX24</f>
        <v>4.025957673911455</v>
      </c>
      <c r="J34" t="str">
        <v xml:space="preserve"> m/hr</v>
      </c>
      <c r="M34" t="str">
        <v xml:space="preserve">Mech. availability </v>
      </c>
    </row>
    <row r="35">
      <c r="D35">
        <f>IF(D34="","",D34/0.3048)</f>
        <v>18.029163433509257</v>
      </c>
      <c r="E35" t="str">
        <v xml:space="preserve"> fph</v>
      </c>
      <c r="I35">
        <f>IF(I34="","",I34/0.3048)</f>
        <v>13.208522552202934</v>
      </c>
      <c r="J35" t="str">
        <v xml:space="preserve"> fph</v>
      </c>
      <c r="M35" t="str">
        <v xml:space="preserve">Fleet utilization </v>
      </c>
      <c r="N35">
        <v>60</v>
      </c>
    </row>
    <row r="37">
      <c r="D37">
        <f>D35/60</f>
        <v>0.3004860572251543</v>
      </c>
      <c r="H37" t="str">
        <v>Estimated Cycle Time per Hole</v>
      </c>
      <c r="I37">
        <f>'Calc. Sdk'!EX8</f>
        <v>268.25915408860135</v>
      </c>
      <c r="J37" t="str">
        <v>mins</v>
      </c>
    </row>
    <row r="39">
      <c r="C39" t="str">
        <v xml:space="preserve">Production requirements </v>
      </c>
      <c r="D39">
        <f>IF(E39=" tonne",+D40*0.9071847,+D40*0.7645549)</f>
        <v>26498865.086999997</v>
      </c>
      <c r="E39" t="str">
        <f>+'Calc. Sdk'!DO2</f>
        <v xml:space="preserve"> tonne</v>
      </c>
      <c r="H39" t="str">
        <v xml:space="preserve">Drilling required </v>
      </c>
      <c r="I39">
        <f>IF(I40="","",+I40*0.3048)</f>
        <v>302844.13826325367</v>
      </c>
      <c r="J39" t="str">
        <v xml:space="preserve"> m</v>
      </c>
      <c r="M39" t="str">
        <v xml:space="preserve">Hours of drilling </v>
      </c>
      <c r="N39">
        <f>+I40/I35</f>
        <v>75222.88180665913</v>
      </c>
      <c r="O39" t="str">
        <v xml:space="preserve"> hr.</v>
      </c>
    </row>
    <row r="40">
      <c r="D40">
        <v>29210000</v>
      </c>
      <c r="E40" t="str">
        <v xml:space="preserve"> ft</v>
      </c>
      <c r="I40">
        <f>+'Calc. Sdk'!DM8</f>
        <v>993583.1307849529</v>
      </c>
      <c r="J40" t="str">
        <v xml:space="preserve"> ft</v>
      </c>
      <c r="M40" t="str">
        <v xml:space="preserve">Fleet size </v>
      </c>
      <c r="N40">
        <f>ROUNDUP((+N39/(N12*N13*'Calc. Sdk'!DH35*'Calc. Sdk'!DH54)),0)</f>
        <v>13</v>
      </c>
      <c r="O40" t="str">
        <v xml:space="preserve"> drill(s)</v>
      </c>
    </row>
    <row r="42">
      <c r="C42" t="str">
        <v xml:space="preserve">Fleet capacity </v>
      </c>
      <c r="D42">
        <f>+D39*N42/N39</f>
        <v>27222176.139762696</v>
      </c>
      <c r="E42" t="str">
        <f>+E39</f>
        <v xml:space="preserve"> tonne</v>
      </c>
      <c r="H42" t="str">
        <v xml:space="preserve">Fleet capacity </v>
      </c>
      <c r="I42">
        <f>+N42*I39/N39</f>
        <v>311110.5493624094</v>
      </c>
      <c r="J42" t="str">
        <v xml:space="preserve"> m</v>
      </c>
      <c r="M42" t="str">
        <v xml:space="preserve">Fleet hours </v>
      </c>
      <c r="N42">
        <f>+N40*N12*N13*'Calc. Sdk'!DH35*'Calc. Sdk'!DH54</f>
        <v>77276.16</v>
      </c>
      <c r="O42" t="str">
        <v xml:space="preserve"> hr.</v>
      </c>
    </row>
    <row r="43">
      <c r="D43">
        <f>+D40*I42/I39</f>
        <v>30007313.98993248</v>
      </c>
      <c r="E43" t="str">
        <f>IF(E42=" bcm"," bcyd"," ton")</f>
        <v xml:space="preserve"> ton</v>
      </c>
      <c r="I43">
        <f>+I40*N42/N39</f>
        <v>1020703.9021076421</v>
      </c>
      <c r="J43" t="str">
        <v xml:space="preserve"> ft</v>
      </c>
    </row>
  </sheetData>
  <mergeCells count="29">
    <mergeCell ref="C15:C16"/>
    <mergeCell ref="C42:C43"/>
    <mergeCell ref="H24:H25"/>
    <mergeCell ref="D1:N3"/>
    <mergeCell ref="N4:O4"/>
    <mergeCell ref="I4:K4"/>
    <mergeCell ref="C21:C22"/>
    <mergeCell ref="H21:H22"/>
    <mergeCell ref="C12:C13"/>
    <mergeCell ref="H12:H13"/>
    <mergeCell ref="M15:M16"/>
    <mergeCell ref="C18:C19"/>
    <mergeCell ref="H15:H16"/>
    <mergeCell ref="M18:M19"/>
    <mergeCell ref="D4:F4"/>
    <mergeCell ref="H18:H19"/>
    <mergeCell ref="C29:C30"/>
    <mergeCell ref="C24:C25"/>
    <mergeCell ref="C39:C40"/>
    <mergeCell ref="H39:H40"/>
    <mergeCell ref="H29:H30"/>
    <mergeCell ref="C34:C35"/>
    <mergeCell ref="R4:X4"/>
    <mergeCell ref="M21:M22"/>
    <mergeCell ref="M24:M25"/>
    <mergeCell ref="H42:H43"/>
    <mergeCell ref="H34:H35"/>
    <mergeCell ref="M28:O28"/>
    <mergeCell ref="M31:O31"/>
  </mergeCells>
  <pageMargins left="0.5" right="0.5" top="0.5" bottom="0.5" header="0.5" footer="0.5"/>
  <ignoredErrors>
    <ignoredError numberStoredAsText="1" sqref="A1:AJ9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Z1:GK658"/>
  <sheetViews>
    <sheetView workbookViewId="0" rightToLeft="0"/>
  </sheetViews>
  <sheetData>
    <row r="1">
      <c r="AB1" t="str">
        <v>Unit of meassurement</v>
      </c>
      <c r="AL1" t="str">
        <v>Rig models</v>
      </c>
      <c r="BB1" t="str">
        <v>Pipe range</v>
      </c>
      <c r="BK1" t="str">
        <v>Low pressure compressors</v>
      </c>
      <c r="BV1" t="str">
        <v>Volume</v>
      </c>
      <c r="DL1" t="str">
        <v>Production requirements</v>
      </c>
      <c r="DV1" t="str">
        <v>b</v>
      </c>
      <c r="DX1" t="str">
        <v>F</v>
      </c>
      <c r="DZ1" t="str">
        <v>F</v>
      </c>
      <c r="EC1" t="str">
        <v>Add pipe</v>
      </c>
      <c r="EG1" t="str">
        <v>Single pass</v>
      </c>
      <c r="EI1" t="str">
        <v>Pipe length</v>
      </c>
      <c r="EK1" t="str">
        <v>Pipe loader</v>
      </c>
      <c r="EL1" t="str">
        <v>No. of pipes</v>
      </c>
      <c r="ER1" t="str">
        <v>Feed</v>
      </c>
      <c r="ET1" t="str">
        <v>Retract</v>
      </c>
      <c r="EV1" t="str">
        <v>Set up</v>
      </c>
      <c r="EW1" t="str">
        <v>Drill time</v>
      </c>
      <c r="EX1">
        <f>+(EX18+EX19)*60/EX12</f>
        <v>258.59470317587113</v>
      </c>
      <c r="FB1" t="str">
        <v>Pull down</v>
      </c>
      <c r="FD1" t="str">
        <v>Pulldown</v>
      </c>
      <c r="FF1" t="str">
        <v>Rotary Power</v>
      </c>
      <c r="FI1" t="str">
        <v>Fracturization</v>
      </c>
    </row>
    <row r="2">
      <c r="AA2">
        <v>1</v>
      </c>
      <c r="AB2" t="str">
        <f>LOOKUP(AA2,AA3:AB4)</f>
        <v>Imperial</v>
      </c>
      <c r="AD2">
        <f>+AK2</f>
        <v>16</v>
      </c>
      <c r="AE2" t="str">
        <f>LOOKUP(AD2,AD3:AE24)</f>
        <v>DR412i SP</v>
      </c>
      <c r="AF2">
        <f>LOOKUP(AD2,AD3:AF22)</f>
        <v>0</v>
      </c>
      <c r="AH2">
        <v>1</v>
      </c>
      <c r="AI2">
        <f>LOOKUP(AH2,AH3:AI22)</f>
        <v>0</v>
      </c>
      <c r="AK2">
        <v>16</v>
      </c>
      <c r="AL2" t="str">
        <f>LOOKUP(AK2,AK3:AL26)</f>
        <v>DR412i SP</v>
      </c>
      <c r="AM2">
        <f>+$AK$2</f>
        <v>16</v>
      </c>
      <c r="AN2">
        <f>LOOKUP(AM2,AM3:AN26)</f>
        <v>178</v>
      </c>
      <c r="AO2">
        <f>+$AK$2</f>
        <v>16</v>
      </c>
      <c r="AP2">
        <f>LOOKUP(AO2,AO3:AP26)</f>
        <v>194</v>
      </c>
      <c r="AQ2">
        <f>+$AK$2</f>
        <v>16</v>
      </c>
      <c r="AR2">
        <f>LOOKUP(AQ2,AQ3:AR26)</f>
        <v>203</v>
      </c>
      <c r="AS2">
        <f>+$AK$2</f>
        <v>16</v>
      </c>
      <c r="AT2">
        <f>LOOKUP(AS2,AS3:AT26)</f>
        <v>219</v>
      </c>
      <c r="AU2">
        <f>+$AK$2</f>
        <v>16</v>
      </c>
      <c r="AV2">
        <f>LOOKUP(AU2,AU3:AV26)</f>
        <v>245</v>
      </c>
      <c r="AW2">
        <f>+$AK$2</f>
        <v>16</v>
      </c>
      <c r="AX2">
        <f>LOOKUP(AW2,AW3:AX26)</f>
        <v>0</v>
      </c>
      <c r="AY2">
        <f>+$AK$2</f>
        <v>16</v>
      </c>
      <c r="AZ2">
        <f>LOOKUP(AY2,AY3:AZ26)</f>
        <v>0</v>
      </c>
      <c r="BA2">
        <v>5</v>
      </c>
      <c r="BB2">
        <f>LOOKUP(BA2,BA3:BB9)</f>
        <v>245</v>
      </c>
      <c r="BC2">
        <f>BB2/25.4</f>
        <v>9.645669291338583</v>
      </c>
      <c r="BG2">
        <v>2</v>
      </c>
      <c r="BH2">
        <f>LOOKUP(BG2,BG3:BH4)</f>
        <v>50</v>
      </c>
      <c r="BI2">
        <f>+BG2</f>
        <v>2</v>
      </c>
      <c r="BJ2">
        <f>LOOKUP(BI2,BI3:BJ4)</f>
        <v>2870</v>
      </c>
      <c r="BK2">
        <f>+AK2</f>
        <v>16</v>
      </c>
      <c r="BL2" t="str">
        <f>LOOKUP(BK2,BK3:BL20)</f>
        <v>DR412i SP</v>
      </c>
      <c r="BM2">
        <f>+AK2</f>
        <v>16</v>
      </c>
      <c r="BN2">
        <f>LOOKUP(BM2,BM3:BN20)</f>
        <v>1600</v>
      </c>
      <c r="BO2">
        <f>+AK2</f>
        <v>16</v>
      </c>
      <c r="BP2">
        <f>LOOKUP(BO2,BO3:BP20)</f>
        <v>2000</v>
      </c>
      <c r="BQ2">
        <f>+AK2</f>
        <v>16</v>
      </c>
      <c r="BR2">
        <f>LOOKUP(BQ2,BQ3:BR20)</f>
        <v>0</v>
      </c>
      <c r="BS2">
        <f>+AM2</f>
        <v>16</v>
      </c>
      <c r="BT2">
        <f>LOOKUP(BS2,BS3:BT20)</f>
        <v>0</v>
      </c>
      <c r="BU2">
        <v>2</v>
      </c>
      <c r="BV2">
        <f>LOOKUP(BU2,BU3:BV6)</f>
        <v>2000</v>
      </c>
      <c r="BW2">
        <f>+BV2/35.31467</f>
        <v>56.63368792629239</v>
      </c>
      <c r="BZ2">
        <f>+AK2</f>
        <v>16</v>
      </c>
      <c r="CA2">
        <f>LOOKUP(BZ2,BZ3:CA22)</f>
        <v>1450</v>
      </c>
      <c r="CB2">
        <f>+AK2</f>
        <v>16</v>
      </c>
      <c r="CC2">
        <f>LOOKUP(CB2,CB3:CC22)</f>
        <v>0</v>
      </c>
      <c r="CD2">
        <f>+AK2</f>
        <v>16</v>
      </c>
      <c r="CE2">
        <f>LOOKUP(CD2,CD3:CE22)</f>
        <v>0</v>
      </c>
      <c r="CG2">
        <v>2</v>
      </c>
      <c r="CH2" t="str">
        <f>LOOKUP(CG2,CG3:CH7)</f>
        <v>Charger</v>
      </c>
      <c r="CI2">
        <f>+CG2</f>
        <v>2</v>
      </c>
      <c r="CJ2" t="str">
        <f>LOOKUP(CI2,CI3:CJ7)</f>
        <v/>
      </c>
      <c r="CK2">
        <f>+CG2</f>
        <v>2</v>
      </c>
      <c r="CL2">
        <f>LOOKUP($CG$2,CK3:CL8)</f>
        <v>130</v>
      </c>
      <c r="CM2">
        <f>+CG2</f>
        <v>2</v>
      </c>
      <c r="CN2">
        <f>LOOKUP($CG$2,CM3:CN8)</f>
        <v>133</v>
      </c>
      <c r="CO2">
        <f>+CG2</f>
        <v>2</v>
      </c>
      <c r="CP2">
        <f>LOOKUP($CG$2,CO3:CP8)</f>
        <v>140</v>
      </c>
      <c r="CQ2">
        <f>+CG2</f>
        <v>2</v>
      </c>
      <c r="CR2">
        <f>LOOKUP($CG$2,CQ3:CR8)</f>
        <v>143</v>
      </c>
      <c r="CS2">
        <f>+CG2</f>
        <v>2</v>
      </c>
      <c r="CT2">
        <f>LOOKUP($CG$2,CS3:CT8)</f>
        <v>146</v>
      </c>
      <c r="CU2">
        <f>+CG2</f>
        <v>2</v>
      </c>
      <c r="CV2">
        <f>LOOKUP($CG$2,CU3:CV8)</f>
        <v>152</v>
      </c>
      <c r="CW2">
        <f>+CG2</f>
        <v>2</v>
      </c>
      <c r="CX2">
        <f>LOOKUP($CG$2,CW3:CX8)</f>
        <v>0</v>
      </c>
      <c r="CY2">
        <f>+CG2</f>
        <v>2</v>
      </c>
      <c r="CZ2">
        <f>LOOKUP($CG$2,CY3:CZ8)</f>
        <v>0</v>
      </c>
      <c r="DA2" t="str">
        <v>DTH</v>
      </c>
      <c r="DB2" t="str">
        <v>Rotary</v>
      </c>
      <c r="DC2">
        <v>5</v>
      </c>
      <c r="DD2">
        <f>LOOKUP(DC2,DC3:DD10)</f>
        <v>311</v>
      </c>
      <c r="DE2">
        <f>+DD2/25.4</f>
        <v>12.244094488188978</v>
      </c>
      <c r="DF2" t="str">
        <v>Up-hole velocity</v>
      </c>
      <c r="DG2">
        <f>+DG8*183.3/(DE2^2-BC2^2)</f>
        <v>6133.754909692589</v>
      </c>
      <c r="DH2" t="str">
        <v>Penetration rate Rotary</v>
      </c>
      <c r="DI2">
        <f>IF(AB6="Rotary",+((2.18*DI10*DH20)/(0.2*DH17*(DH18)^0.9*(DH17/10000))),"")/3.28084</f>
        <v>18.029109057552343</v>
      </c>
      <c r="DL2">
        <v>2</v>
      </c>
      <c r="DM2" t="str">
        <f>LOOKUP(DL2,DL3:DM7)</f>
        <v>ton</v>
      </c>
      <c r="DN2">
        <f>+DL2</f>
        <v>2</v>
      </c>
      <c r="DO2" t="str">
        <f>LOOKUP(DN2,DN3:DO7)</f>
        <v xml:space="preserve"> tonne</v>
      </c>
      <c r="DQ2">
        <f>+CG2</f>
        <v>2</v>
      </c>
      <c r="DR2" t="str">
        <f>LOOKUP(DQ2,DQ3:DR7)</f>
        <v>Mission 55</v>
      </c>
      <c r="DS2">
        <f>+DQ2</f>
        <v>2</v>
      </c>
      <c r="DT2">
        <f>LOOKUP(DS2,DS3:DT7)</f>
        <v>855</v>
      </c>
      <c r="DU2">
        <f>+DQ2</f>
        <v>2</v>
      </c>
      <c r="DV2">
        <f>LOOKUP(DU2,DU3:DV7)</f>
        <v>0.94</v>
      </c>
      <c r="DW2">
        <f>+DQ2</f>
        <v>2</v>
      </c>
      <c r="DX2">
        <f>LOOKUP(DW2,DW3:DX7)</f>
        <v>161</v>
      </c>
      <c r="DY2">
        <f>+DQ2</f>
        <v>2</v>
      </c>
      <c r="DZ2">
        <f>LOOKUP(DY2,DY3:DZ7)</f>
        <v>8.0200315</v>
      </c>
      <c r="EA2">
        <f>AK2</f>
        <v>16</v>
      </c>
      <c r="EB2">
        <f>+AK2</f>
        <v>16</v>
      </c>
      <c r="EC2">
        <f>LOOKUP(EB2,EB3:EC22)</f>
        <v>0.35</v>
      </c>
      <c r="ED2">
        <f>+AK2</f>
        <v>16</v>
      </c>
      <c r="EE2" t="str">
        <f>LOOKUP(ED2,ED3:EE23)</f>
        <v>DR412i SP</v>
      </c>
      <c r="EF2">
        <f>+AK2</f>
        <v>16</v>
      </c>
      <c r="EG2">
        <f>LOOKUP(EF2,EF3:EG23)</f>
        <v>59</v>
      </c>
      <c r="EH2">
        <f>+AK2</f>
        <v>16</v>
      </c>
      <c r="EI2">
        <f>LOOKUP(EH2,EH3:EI23)</f>
        <v>25</v>
      </c>
      <c r="EJ2">
        <f>+AK2</f>
        <v>16</v>
      </c>
      <c r="EK2">
        <f>LOOKUP(EJ2,EJ3:EK23)</f>
        <v>2</v>
      </c>
      <c r="EL2">
        <f>(LOOKUP(EJ2,EJ3:EL23))</f>
        <v>1</v>
      </c>
      <c r="EM2">
        <f>LOOKUP(EL2,EM4:EM23)</f>
        <v>1</v>
      </c>
      <c r="EO2">
        <f>+AK2</f>
        <v>16</v>
      </c>
      <c r="EP2" t="str">
        <f>LOOKUP(EO2,EO3:EP22)</f>
        <v>DR412i SP</v>
      </c>
      <c r="EQ2">
        <f>+AK2</f>
        <v>16</v>
      </c>
      <c r="ER2">
        <f>LOOKUP(EQ2,EQ3:ER23)</f>
        <v>144</v>
      </c>
      <c r="ES2">
        <f>+AK2</f>
        <v>16</v>
      </c>
      <c r="ET2">
        <f>LOOKUP(ES2,ES3:ET23)</f>
        <v>144</v>
      </c>
      <c r="EU2">
        <f>+AK2</f>
        <v>16</v>
      </c>
      <c r="EV2">
        <f>LOOKUP(EU2,EU3:EV23)</f>
        <v>2</v>
      </c>
      <c r="EW2" t="str">
        <v>Collaring</v>
      </c>
      <c r="EX2">
        <f>+(1-FK2)*SUM(EX3:EX6)</f>
        <v>0.15236111111111122</v>
      </c>
      <c r="FA2">
        <f>+BK2</f>
        <v>16</v>
      </c>
      <c r="FB2" t="str">
        <f>LOOKUP(FA2,FA3:FB23)</f>
        <v>DR412i SP</v>
      </c>
      <c r="FC2">
        <f>+BK2</f>
        <v>16</v>
      </c>
      <c r="FD2">
        <f>LOOKUP(FC2,FC3:FD23)</f>
        <v>80000</v>
      </c>
      <c r="FE2">
        <f>+BK2</f>
        <v>16</v>
      </c>
      <c r="FF2">
        <f>LOOKUP(FE2,FE3:FF23)</f>
        <v>4002.279815354027</v>
      </c>
      <c r="FH2">
        <v>3</v>
      </c>
      <c r="FI2" t="str">
        <f>LOOKUP(FH2,FH3:FI6)</f>
        <v>Moderate</v>
      </c>
      <c r="FK2">
        <f>LOOKUP(FH2,FH3:FK6)</f>
        <v>0.95</v>
      </c>
    </row>
    <row r="3">
      <c r="AA3">
        <v>1</v>
      </c>
      <c r="AB3" t="str">
        <v>Imperial</v>
      </c>
      <c r="AD3">
        <v>1</v>
      </c>
      <c r="AE3" t="str">
        <v>D245S</v>
      </c>
      <c r="AF3">
        <v>30</v>
      </c>
      <c r="AG3">
        <v>0</v>
      </c>
      <c r="AH3">
        <v>1</v>
      </c>
      <c r="AI3">
        <v>0</v>
      </c>
      <c r="AK3">
        <v>1</v>
      </c>
      <c r="AL3" t="str">
        <f>IF($AB$6="Rotary","D245S 34","")</f>
        <v>D245S 34</v>
      </c>
      <c r="AM3">
        <v>1</v>
      </c>
      <c r="AN3">
        <v>89</v>
      </c>
      <c r="AO3">
        <v>1</v>
      </c>
      <c r="AP3">
        <v>102</v>
      </c>
      <c r="AQ3">
        <v>1</v>
      </c>
      <c r="AR3">
        <v>114</v>
      </c>
      <c r="AS3">
        <v>1</v>
      </c>
      <c r="AT3">
        <v>127</v>
      </c>
      <c r="AU3">
        <v>1</v>
      </c>
      <c r="AV3">
        <v>140</v>
      </c>
      <c r="AW3">
        <v>1</v>
      </c>
      <c r="AY3">
        <v>1</v>
      </c>
      <c r="BA3">
        <v>1</v>
      </c>
      <c r="BB3">
        <f>IF(AN2=0,"",+AN2)</f>
        <v>178</v>
      </c>
      <c r="BC3">
        <f>BB3/25.4</f>
        <v>7.0078740157480315</v>
      </c>
      <c r="BE3">
        <v>1</v>
      </c>
      <c r="BF3" t="str">
        <f>IF($AB$6="Rotary","D245S 34","")</f>
        <v>D245S 34</v>
      </c>
      <c r="BG3">
        <v>1</v>
      </c>
      <c r="BH3">
        <f>IF(BM2&gt;11,60,"")</f>
        <v>60</v>
      </c>
      <c r="BI3">
        <v>1</v>
      </c>
      <c r="BJ3">
        <v>3335</v>
      </c>
      <c r="BK3">
        <v>1</v>
      </c>
      <c r="BL3" t="str">
        <v>D245S</v>
      </c>
      <c r="BM3">
        <v>1</v>
      </c>
      <c r="BN3">
        <v>900</v>
      </c>
      <c r="BO3">
        <v>1</v>
      </c>
      <c r="BP3">
        <v>1050</v>
      </c>
      <c r="BQ3">
        <v>1</v>
      </c>
      <c r="BR3">
        <v>1225</v>
      </c>
      <c r="BS3">
        <v>1</v>
      </c>
      <c r="BU3">
        <v>1</v>
      </c>
      <c r="BV3">
        <f>IF($AB$6="Rotary",BN2,CA2)</f>
        <v>1600</v>
      </c>
      <c r="BX3">
        <v>1</v>
      </c>
      <c r="BY3" t="str">
        <v>D245S</v>
      </c>
      <c r="BZ3">
        <v>1</v>
      </c>
      <c r="CA3">
        <v>900</v>
      </c>
      <c r="CB3">
        <v>1</v>
      </c>
      <c r="CC3">
        <v>1000</v>
      </c>
      <c r="CD3">
        <v>1</v>
      </c>
      <c r="CE3">
        <v>1160</v>
      </c>
      <c r="CG3">
        <v>1</v>
      </c>
      <c r="CH3" t="str">
        <f>IF(AB6="Rotary","Standard","M30")</f>
        <v>Standard</v>
      </c>
      <c r="CI3">
        <v>1</v>
      </c>
      <c r="CJ3" t="str">
        <f>IF(AB6="DTH H",855,"")</f>
        <v/>
      </c>
      <c r="CK3">
        <v>1</v>
      </c>
      <c r="CL3">
        <v>102</v>
      </c>
      <c r="CM3">
        <v>1</v>
      </c>
      <c r="CN3">
        <v>114</v>
      </c>
      <c r="CO3">
        <v>1</v>
      </c>
      <c r="CP3">
        <v>121</v>
      </c>
      <c r="CQ3">
        <v>1</v>
      </c>
      <c r="CR3">
        <v>127</v>
      </c>
      <c r="CS3">
        <v>1</v>
      </c>
      <c r="CT3">
        <v>130</v>
      </c>
      <c r="CU3">
        <v>1</v>
      </c>
      <c r="CV3">
        <v>133</v>
      </c>
      <c r="CW3">
        <v>1</v>
      </c>
      <c r="CX3">
        <v>140</v>
      </c>
      <c r="CY3">
        <v>1</v>
      </c>
      <c r="DA3">
        <f>+IF(CL2=0,"",CL2)</f>
        <v>130</v>
      </c>
      <c r="DB3">
        <f>IF(CL10=0,"",+CL10)</f>
        <v>229</v>
      </c>
      <c r="DC3">
        <v>1</v>
      </c>
      <c r="DD3">
        <f>IF($AB$6="Rotary",+DB3,IF($AB$6="DTH",BV60,""))</f>
        <v>229</v>
      </c>
      <c r="DF3" t="str">
        <v>Temp factor</v>
      </c>
      <c r="DG3">
        <f>IF(DG4&gt;60,1-(DG4-60)/500,1)</f>
        <v>0.9803999999999999</v>
      </c>
      <c r="DH3" t="str">
        <v>Penetration rate DTH hammer</v>
      </c>
      <c r="DI3">
        <f>CQ54*3.28084</f>
        <v>0</v>
      </c>
      <c r="DJ3" t="str">
        <v>Hours per day</v>
      </c>
      <c r="DK3">
        <f>+Calculator!N12</f>
        <v>24</v>
      </c>
      <c r="DL3">
        <v>1</v>
      </c>
      <c r="DM3" t="str">
        <v>bcyd</v>
      </c>
      <c r="DN3">
        <v>1</v>
      </c>
      <c r="DO3" t="str">
        <v xml:space="preserve"> bcm</v>
      </c>
      <c r="DQ3">
        <v>1</v>
      </c>
      <c r="DR3" t="str">
        <v>Mission 50</v>
      </c>
      <c r="DS3">
        <v>1</v>
      </c>
      <c r="DT3">
        <v>855</v>
      </c>
      <c r="DU3">
        <v>1</v>
      </c>
      <c r="DV3">
        <v>0.94</v>
      </c>
      <c r="DW3">
        <v>1</v>
      </c>
      <c r="DX3">
        <v>161</v>
      </c>
      <c r="DY3">
        <v>1</v>
      </c>
      <c r="DZ3">
        <v>8.020031</v>
      </c>
      <c r="EA3" t="str">
        <v>D25KS</v>
      </c>
      <c r="EB3">
        <v>1</v>
      </c>
      <c r="EC3">
        <v>0.4</v>
      </c>
      <c r="ED3">
        <v>1</v>
      </c>
      <c r="EE3" t="str">
        <v>D245S</v>
      </c>
      <c r="EF3">
        <v>1</v>
      </c>
      <c r="EG3">
        <v>28.6</v>
      </c>
      <c r="EH3">
        <v>1</v>
      </c>
      <c r="EI3">
        <v>30</v>
      </c>
      <c r="EJ3">
        <v>1</v>
      </c>
      <c r="EK3">
        <v>4</v>
      </c>
      <c r="EL3">
        <f>IF((+Calculator!$D$22+Calculator!$D$25)-'Calc. Sdk'!EG3-('Calc. Sdk'!EI3*'Calc. Sdk'!EK3)&gt;0,"Too deep",+'Calc. Sdk'!EM3)</f>
        <v>2</v>
      </c>
      <c r="EM3">
        <f>ROUNDUP((Calculator!$D$22+Calculator!$D$25-'Calc. Sdk'!EG3)/'Calc. Sdk'!EI3,0)</f>
        <v>2</v>
      </c>
      <c r="EO3">
        <v>1</v>
      </c>
      <c r="EP3" t="str">
        <v>D245S</v>
      </c>
      <c r="EQ3">
        <v>1</v>
      </c>
      <c r="ER3">
        <v>97</v>
      </c>
      <c r="ES3">
        <v>1</v>
      </c>
      <c r="ET3">
        <v>207</v>
      </c>
      <c r="EU3">
        <v>1</v>
      </c>
      <c r="EV3">
        <v>1</v>
      </c>
      <c r="EW3" t="str">
        <v>Add pipe</v>
      </c>
      <c r="EX3">
        <f>IF(EL2&gt;0,(EL2*EC2),0)</f>
        <v>0.35</v>
      </c>
      <c r="FA3">
        <v>1</v>
      </c>
      <c r="FB3" t="str">
        <v>D245S</v>
      </c>
      <c r="FC3">
        <v>1</v>
      </c>
      <c r="FD3">
        <v>45000</v>
      </c>
      <c r="FE3">
        <v>1</v>
      </c>
      <c r="FF3">
        <f>4.95*$DD$2*$DH$20*(FD3/1000)^1.6/$DG$9</f>
        <v>1594.0556959429998</v>
      </c>
      <c r="FH3">
        <v>1</v>
      </c>
      <c r="FI3" t="str">
        <v>None</v>
      </c>
      <c r="FK3">
        <v>1</v>
      </c>
    </row>
    <row r="4">
      <c r="AA4">
        <v>2</v>
      </c>
      <c r="AB4" t="str">
        <v>Metric</v>
      </c>
      <c r="AD4">
        <v>2</v>
      </c>
      <c r="AE4" t="str">
        <v>D25KS</v>
      </c>
      <c r="AF4">
        <v>30</v>
      </c>
      <c r="AG4">
        <v>5</v>
      </c>
      <c r="AH4">
        <v>2</v>
      </c>
      <c r="AI4">
        <v>5</v>
      </c>
      <c r="AK4">
        <v>2</v>
      </c>
      <c r="AL4" t="str">
        <f>IF($AB$6="Rotary","D25KS 34",IF($AB$6="DTH","D25KS 34",""))</f>
        <v>D25KS 34</v>
      </c>
      <c r="AM4">
        <v>2</v>
      </c>
      <c r="AN4">
        <v>89</v>
      </c>
      <c r="AO4">
        <v>2</v>
      </c>
      <c r="AP4">
        <v>102</v>
      </c>
      <c r="AQ4">
        <v>2</v>
      </c>
      <c r="AR4">
        <v>114</v>
      </c>
      <c r="AS4">
        <v>2</v>
      </c>
      <c r="AT4">
        <v>127</v>
      </c>
      <c r="AU4">
        <v>2</v>
      </c>
      <c r="AV4">
        <v>140</v>
      </c>
      <c r="AW4">
        <v>2</v>
      </c>
      <c r="AY4">
        <v>2</v>
      </c>
      <c r="BA4">
        <v>2</v>
      </c>
      <c r="BB4">
        <f>IF(AP2=0,"",+AP2)</f>
        <v>194</v>
      </c>
      <c r="BC4">
        <f>BB4/25.4</f>
        <v>7.637795275590552</v>
      </c>
      <c r="BE4">
        <v>2</v>
      </c>
      <c r="BF4" t="str">
        <f>IF($AB$6="Rotary","D25KS 34",IF($AB$6="DTH","D25KS 34",""))</f>
        <v>D25KS 34</v>
      </c>
      <c r="BG4">
        <v>2</v>
      </c>
      <c r="BH4">
        <f>IF(BM2&gt;11,50,"")</f>
        <v>50</v>
      </c>
      <c r="BI4">
        <v>2</v>
      </c>
      <c r="BJ4">
        <v>2870</v>
      </c>
      <c r="BK4">
        <v>2</v>
      </c>
      <c r="BL4" t="str">
        <v>D25KS</v>
      </c>
      <c r="BM4">
        <v>2</v>
      </c>
      <c r="BN4">
        <v>900</v>
      </c>
      <c r="BO4">
        <v>2</v>
      </c>
      <c r="BP4">
        <v>1050</v>
      </c>
      <c r="BQ4">
        <v>2</v>
      </c>
      <c r="BR4">
        <v>1225</v>
      </c>
      <c r="BS4">
        <v>2</v>
      </c>
      <c r="BU4">
        <v>2</v>
      </c>
      <c r="BV4">
        <f>IF($AB$6="Rotary",BP2,CC2)</f>
        <v>2000</v>
      </c>
      <c r="BX4">
        <v>2</v>
      </c>
      <c r="BY4" t="str">
        <v>D25KS</v>
      </c>
      <c r="BZ4">
        <v>2</v>
      </c>
      <c r="CA4">
        <v>900</v>
      </c>
      <c r="CB4">
        <v>2</v>
      </c>
      <c r="CC4">
        <v>1000</v>
      </c>
      <c r="CD4">
        <v>2</v>
      </c>
      <c r="CE4">
        <v>1160</v>
      </c>
      <c r="CG4">
        <v>2</v>
      </c>
      <c r="CH4" t="str">
        <f>IF(AB6="Rotary","Charger","M40")</f>
        <v>Charger</v>
      </c>
      <c r="CI4">
        <v>2</v>
      </c>
      <c r="CJ4" t="str">
        <f>IF(AB6="DTH H",855,"")</f>
        <v/>
      </c>
      <c r="CK4">
        <v>2</v>
      </c>
      <c r="CL4">
        <v>130</v>
      </c>
      <c r="CM4">
        <v>2</v>
      </c>
      <c r="CN4">
        <v>133</v>
      </c>
      <c r="CO4">
        <v>2</v>
      </c>
      <c r="CP4">
        <v>140</v>
      </c>
      <c r="CQ4">
        <v>2</v>
      </c>
      <c r="CR4">
        <v>143</v>
      </c>
      <c r="CS4">
        <v>2</v>
      </c>
      <c r="CT4">
        <v>146</v>
      </c>
      <c r="CU4">
        <v>2</v>
      </c>
      <c r="CV4">
        <v>152</v>
      </c>
      <c r="CW4">
        <v>2</v>
      </c>
      <c r="CY4">
        <v>2</v>
      </c>
      <c r="DA4">
        <f>IF(CN2=0,"",+CN2)</f>
        <v>133</v>
      </c>
      <c r="DB4">
        <f>IF(CN10=0,"",+CN10)</f>
        <v>251</v>
      </c>
      <c r="DC4">
        <v>2</v>
      </c>
      <c r="DD4">
        <f>IF($AB$6="Rotary",+DB4,IF($AB$6="DTH",BV61,""))</f>
        <v>251</v>
      </c>
      <c r="DF4" t="str">
        <v>Ambient temp</v>
      </c>
      <c r="DG4">
        <f>+Calculator!I13</f>
        <v>69.80000000000001</v>
      </c>
      <c r="DH4" t="str">
        <v>Pure penetration rate</v>
      </c>
      <c r="DI4">
        <f>IF(AB6="Rotary",+DI2,+DI3)</f>
        <v>18.029109057552343</v>
      </c>
      <c r="DJ4" t="str">
        <v>Days per year</v>
      </c>
      <c r="DK4">
        <f>+Calculator!N13</f>
        <v>360</v>
      </c>
      <c r="DL4">
        <v>2</v>
      </c>
      <c r="DM4" t="str">
        <v>ton</v>
      </c>
      <c r="DN4">
        <v>2</v>
      </c>
      <c r="DO4" t="str">
        <v xml:space="preserve"> tonne</v>
      </c>
      <c r="DQ4">
        <v>2</v>
      </c>
      <c r="DR4" t="str">
        <v>Mission 55</v>
      </c>
      <c r="DS4">
        <v>2</v>
      </c>
      <c r="DT4">
        <v>855</v>
      </c>
      <c r="DU4">
        <v>2</v>
      </c>
      <c r="DV4">
        <v>0.94</v>
      </c>
      <c r="DW4">
        <v>2</v>
      </c>
      <c r="DX4">
        <v>161</v>
      </c>
      <c r="DY4">
        <v>2</v>
      </c>
      <c r="DZ4">
        <v>8.0200315</v>
      </c>
      <c r="EA4" t="str">
        <v>D245S</v>
      </c>
      <c r="EB4">
        <v>2</v>
      </c>
      <c r="EC4">
        <v>0.4</v>
      </c>
      <c r="ED4">
        <v>2</v>
      </c>
      <c r="EE4" t="str">
        <v>D25KS</v>
      </c>
      <c r="EF4">
        <v>2</v>
      </c>
      <c r="EG4">
        <v>28.6</v>
      </c>
      <c r="EH4">
        <v>2</v>
      </c>
      <c r="EI4">
        <v>30</v>
      </c>
      <c r="EJ4">
        <v>2</v>
      </c>
      <c r="EK4">
        <v>2</v>
      </c>
      <c r="EL4">
        <f>IF((+Calculator!$D$22+Calculator!$D$25)-'Calc. Sdk'!EG4-('Calc. Sdk'!EI4*'Calc. Sdk'!EK4)&gt;0,"Too deep",+'Calc. Sdk'!EM4)</f>
        <v>2</v>
      </c>
      <c r="EM4">
        <f>ROUNDUP((Calculator!$D$22+Calculator!$D$25-'Calc. Sdk'!EG4)/'Calc. Sdk'!EI4,0)</f>
        <v>2</v>
      </c>
      <c r="EO4">
        <v>2</v>
      </c>
      <c r="EP4" t="str">
        <v>D25KS</v>
      </c>
      <c r="EQ4">
        <v>2</v>
      </c>
      <c r="ER4">
        <v>120</v>
      </c>
      <c r="ES4">
        <v>2</v>
      </c>
      <c r="ET4">
        <v>217</v>
      </c>
      <c r="EU4">
        <v>2</v>
      </c>
      <c r="EV4">
        <v>1</v>
      </c>
      <c r="EW4" t="str">
        <v>Retract</v>
      </c>
      <c r="EX4">
        <f>IF(EL2&gt;0,(+(EL2*EI2/ER2)+(EL2*EI2/ET2)),((EI2/ET2)))</f>
        <v>0.3472222222222222</v>
      </c>
      <c r="FA4">
        <v>2</v>
      </c>
      <c r="FB4" t="str">
        <v>D25KS</v>
      </c>
      <c r="FC4">
        <v>2</v>
      </c>
      <c r="FD4">
        <v>30000</v>
      </c>
      <c r="FE4">
        <v>2</v>
      </c>
      <c r="FF4">
        <f>4.95*$DD$2*$DH$20*(FD4/1000)^1.6/$DG$9</f>
        <v>833.2157621042362</v>
      </c>
      <c r="FH4">
        <v>2</v>
      </c>
      <c r="FI4" t="str">
        <v>Light</v>
      </c>
      <c r="FK4">
        <v>0.98</v>
      </c>
    </row>
    <row r="5">
      <c r="AB5" t="str">
        <v>Drilling method</v>
      </c>
      <c r="AD5">
        <v>3</v>
      </c>
      <c r="AE5" t="str">
        <v>D45KS "34"</v>
      </c>
      <c r="AF5">
        <v>30</v>
      </c>
      <c r="AG5">
        <v>10</v>
      </c>
      <c r="AH5">
        <v>3</v>
      </c>
      <c r="AI5">
        <v>10</v>
      </c>
      <c r="AK5">
        <v>3</v>
      </c>
      <c r="AL5" t="str">
        <f>IF($AB$6="Rotary","D45KS 34",IF($AB$6="DTH","D45KS 34",""))</f>
        <v>D45KS 34</v>
      </c>
      <c r="AM5">
        <v>3</v>
      </c>
      <c r="AN5">
        <v>114</v>
      </c>
      <c r="AO5">
        <v>3</v>
      </c>
      <c r="AP5">
        <v>127</v>
      </c>
      <c r="AQ5">
        <v>3</v>
      </c>
      <c r="AR5">
        <v>140</v>
      </c>
      <c r="AS5">
        <v>3</v>
      </c>
      <c r="AT5">
        <v>152</v>
      </c>
      <c r="AU5">
        <v>3</v>
      </c>
      <c r="AV5">
        <v>165</v>
      </c>
      <c r="AW5">
        <v>3</v>
      </c>
      <c r="AX5">
        <v>179</v>
      </c>
      <c r="AY5">
        <v>3</v>
      </c>
      <c r="BA5">
        <v>3</v>
      </c>
      <c r="BB5">
        <f>IF(AR2=0,"",+AR2)</f>
        <v>203</v>
      </c>
      <c r="BC5">
        <f>BB5/25.4</f>
        <v>7.9921259842519685</v>
      </c>
      <c r="BE5">
        <v>3</v>
      </c>
      <c r="BF5" t="str">
        <f>IF($AB$6="Rotary","D45KS 34",IF($AB$6="DTH","D45KS 34",""))</f>
        <v>D45KS 34</v>
      </c>
      <c r="BK5">
        <v>3</v>
      </c>
      <c r="BL5" t="str">
        <v>D45KS 34</v>
      </c>
      <c r="BM5">
        <v>3</v>
      </c>
      <c r="BN5">
        <v>900</v>
      </c>
      <c r="BO5">
        <v>3</v>
      </c>
      <c r="BP5">
        <v>1050</v>
      </c>
      <c r="BQ5">
        <v>3</v>
      </c>
      <c r="BR5">
        <v>1300</v>
      </c>
      <c r="BS5">
        <v>3</v>
      </c>
      <c r="BT5">
        <v>1160</v>
      </c>
      <c r="BU5">
        <v>3</v>
      </c>
      <c r="BV5">
        <f>IF($AB$6="Rotary",BR2,CE2)</f>
        <v>0</v>
      </c>
      <c r="BX5">
        <v>3</v>
      </c>
      <c r="BY5" t="str">
        <v>D45KS34</v>
      </c>
      <c r="BZ5">
        <v>3</v>
      </c>
      <c r="CA5">
        <v>900</v>
      </c>
      <c r="CB5">
        <v>3</v>
      </c>
      <c r="CC5">
        <v>1000</v>
      </c>
      <c r="CD5">
        <v>3</v>
      </c>
      <c r="CE5">
        <v>1250</v>
      </c>
      <c r="CG5">
        <v>3</v>
      </c>
      <c r="CH5" t="str">
        <f>IF(AB5="Rotary","","M50")</f>
        <v>M50</v>
      </c>
      <c r="CI5">
        <v>3</v>
      </c>
      <c r="CJ5" t="str">
        <f>IF(AB6="DTH H",972,"")</f>
        <v/>
      </c>
      <c r="CK5">
        <v>3</v>
      </c>
      <c r="CL5">
        <v>140</v>
      </c>
      <c r="CM5">
        <v>3</v>
      </c>
      <c r="CN5">
        <v>143</v>
      </c>
      <c r="CO5">
        <v>3</v>
      </c>
      <c r="CP5">
        <v>146</v>
      </c>
      <c r="CQ5">
        <v>3</v>
      </c>
      <c r="CR5">
        <v>152</v>
      </c>
      <c r="CS5">
        <v>3</v>
      </c>
      <c r="CU5">
        <v>3</v>
      </c>
      <c r="CW5">
        <v>3</v>
      </c>
      <c r="CY5">
        <v>3</v>
      </c>
      <c r="DA5">
        <f>IF(CP2=0,"",+CP2)</f>
        <v>140</v>
      </c>
      <c r="DB5">
        <f>IF(CP10=0,"",+CP10)</f>
        <v>270</v>
      </c>
      <c r="DC5">
        <v>3</v>
      </c>
      <c r="DD5">
        <f>IF($AB$6="Rotary",+DB5,IF($AB$6="DTH",BV62,""))</f>
        <v>270</v>
      </c>
      <c r="DF5" t="str">
        <v>Elevation factor</v>
      </c>
      <c r="DG5">
        <f>+(1-(DG6/1000)*TAN(0.029767))</f>
        <v>0.9706931151164461</v>
      </c>
      <c r="DH5" t="str">
        <v>Net penetration rate</v>
      </c>
      <c r="DI5">
        <f>EX16</f>
        <v>4.025957673911455</v>
      </c>
      <c r="DL5">
        <v>3</v>
      </c>
      <c r="DQ5">
        <v>3</v>
      </c>
      <c r="DR5" t="str">
        <v>Mission 60</v>
      </c>
      <c r="DS5">
        <v>3</v>
      </c>
      <c r="DT5">
        <v>972</v>
      </c>
      <c r="DU5">
        <v>3</v>
      </c>
      <c r="DV5">
        <v>0.94</v>
      </c>
      <c r="DW5">
        <v>3</v>
      </c>
      <c r="DX5">
        <v>115</v>
      </c>
      <c r="DY5">
        <v>3</v>
      </c>
      <c r="DZ5">
        <v>9.6240375</v>
      </c>
      <c r="EA5" t="str">
        <v>D45KS34</v>
      </c>
      <c r="EB5">
        <v>3</v>
      </c>
      <c r="EC5">
        <v>0.5</v>
      </c>
      <c r="ED5">
        <v>3</v>
      </c>
      <c r="EE5" t="str">
        <v>D45KS34</v>
      </c>
      <c r="EF5">
        <v>3</v>
      </c>
      <c r="EG5">
        <v>28.6</v>
      </c>
      <c r="EH5">
        <v>3</v>
      </c>
      <c r="EI5">
        <v>30</v>
      </c>
      <c r="EJ5">
        <v>3</v>
      </c>
      <c r="EK5">
        <v>4</v>
      </c>
      <c r="EL5">
        <f>IF((+Calculator!$D$22+Calculator!$D$25)-'Calc. Sdk'!EG5-('Calc. Sdk'!EI5*'Calc. Sdk'!EK5)&gt;0,"Too deep",+'Calc. Sdk'!EM5)</f>
        <v>2</v>
      </c>
      <c r="EM5">
        <f>ROUNDUP((Calculator!$D$22+Calculator!$D$25-'Calc. Sdk'!EG5)/'Calc. Sdk'!EI5,0)</f>
        <v>2</v>
      </c>
      <c r="EO5">
        <v>3</v>
      </c>
      <c r="EP5" t="str">
        <v>D45KS34</v>
      </c>
      <c r="EQ5">
        <v>3</v>
      </c>
      <c r="ER5">
        <v>125</v>
      </c>
      <c r="ES5">
        <v>3</v>
      </c>
      <c r="ET5">
        <v>164</v>
      </c>
      <c r="EU5">
        <v>3</v>
      </c>
      <c r="EV5">
        <v>1.5</v>
      </c>
      <c r="EW5" t="str">
        <v>Remove</v>
      </c>
      <c r="EX5">
        <f>IF(EL2&gt;0,(EC2*EL2),0)</f>
        <v>0.35</v>
      </c>
      <c r="FA5">
        <v>3</v>
      </c>
      <c r="FB5" t="str">
        <v>D45KS34</v>
      </c>
      <c r="FC5">
        <v>3</v>
      </c>
      <c r="FD5">
        <v>45000</v>
      </c>
      <c r="FE5">
        <v>3</v>
      </c>
      <c r="FF5">
        <f>4.95*$DD$2*$DH$20*(FD5/1000)^1.6/$DG$9</f>
        <v>1594.0556959429998</v>
      </c>
      <c r="FH5">
        <v>3</v>
      </c>
      <c r="FI5" t="str">
        <v>Moderate</v>
      </c>
      <c r="FK5">
        <v>0.95</v>
      </c>
    </row>
    <row r="6">
      <c r="AA6">
        <v>1</v>
      </c>
      <c r="AB6" t="str">
        <f>LOOKUP(AA6,AA7:AB9)</f>
        <v>Rotary</v>
      </c>
      <c r="AD6">
        <v>4</v>
      </c>
      <c r="AE6" t="str">
        <v>D45KS "40"</v>
      </c>
      <c r="AF6">
        <v>30</v>
      </c>
      <c r="AG6">
        <v>15</v>
      </c>
      <c r="AH6">
        <v>4</v>
      </c>
      <c r="AI6">
        <v>15</v>
      </c>
      <c r="AK6">
        <v>4</v>
      </c>
      <c r="AL6" t="str">
        <f>IF($AB$6="Rotary","D45KS 40",IF($AB$6="DTH","D45KS 40",""))</f>
        <v>D45KS 40</v>
      </c>
      <c r="AM6">
        <v>4</v>
      </c>
      <c r="AN6">
        <v>114</v>
      </c>
      <c r="AO6">
        <v>4</v>
      </c>
      <c r="AP6">
        <v>127</v>
      </c>
      <c r="AQ6">
        <v>4</v>
      </c>
      <c r="AR6">
        <v>140</v>
      </c>
      <c r="AS6">
        <v>4</v>
      </c>
      <c r="AT6">
        <v>152</v>
      </c>
      <c r="AU6">
        <v>4</v>
      </c>
      <c r="AV6">
        <v>165</v>
      </c>
      <c r="AW6">
        <v>4</v>
      </c>
      <c r="AX6">
        <v>179</v>
      </c>
      <c r="AY6">
        <v>4</v>
      </c>
      <c r="BA6">
        <v>4</v>
      </c>
      <c r="BB6">
        <f>IF(AT2=0,"",+AT2)</f>
        <v>219</v>
      </c>
      <c r="BC6">
        <f>BB6/25.4</f>
        <v>8.622047244094489</v>
      </c>
      <c r="BE6">
        <v>4</v>
      </c>
      <c r="BF6" t="str">
        <f>IF($AB$6="Rotary","D45KS 40",IF($AB$6="DTH","D45KS 40",""))</f>
        <v>D45KS 40</v>
      </c>
      <c r="BK6">
        <v>4</v>
      </c>
      <c r="BL6" t="str">
        <v>D45KS 40</v>
      </c>
      <c r="BM6">
        <v>4</v>
      </c>
      <c r="BN6">
        <v>900</v>
      </c>
      <c r="BO6">
        <v>4</v>
      </c>
      <c r="BP6">
        <v>1050</v>
      </c>
      <c r="BQ6">
        <v>4</v>
      </c>
      <c r="BR6">
        <v>1300</v>
      </c>
      <c r="BS6">
        <v>4</v>
      </c>
      <c r="BT6">
        <v>1160</v>
      </c>
      <c r="BU6">
        <v>4</v>
      </c>
      <c r="BV6">
        <f>IF($AB$6="Rotary",BT2,"")</f>
        <v>0</v>
      </c>
      <c r="BX6">
        <v>4</v>
      </c>
      <c r="BY6" t="str">
        <v>D45KS40</v>
      </c>
      <c r="BZ6">
        <v>4</v>
      </c>
      <c r="CA6">
        <v>900</v>
      </c>
      <c r="CB6">
        <v>4</v>
      </c>
      <c r="CC6">
        <v>1000</v>
      </c>
      <c r="CD6">
        <v>4</v>
      </c>
      <c r="CE6">
        <v>1160</v>
      </c>
      <c r="CG6">
        <v>4</v>
      </c>
      <c r="CH6" t="str">
        <f>IF(AB6="Rotary","","M60")</f>
        <v/>
      </c>
      <c r="CI6">
        <v>4</v>
      </c>
      <c r="CJ6" t="str">
        <f>IF(AB6="DTH H",972,"")</f>
        <v/>
      </c>
      <c r="CK6">
        <v>4</v>
      </c>
      <c r="CL6">
        <v>152</v>
      </c>
      <c r="CM6">
        <v>4</v>
      </c>
      <c r="CN6">
        <v>156</v>
      </c>
      <c r="CO6">
        <v>4</v>
      </c>
      <c r="CP6">
        <v>159</v>
      </c>
      <c r="CQ6">
        <v>4</v>
      </c>
      <c r="CR6">
        <v>165</v>
      </c>
      <c r="CS6">
        <v>4</v>
      </c>
      <c r="CT6">
        <v>171</v>
      </c>
      <c r="CU6">
        <v>4</v>
      </c>
      <c r="CV6">
        <v>178</v>
      </c>
      <c r="CW6">
        <v>4</v>
      </c>
      <c r="CX6">
        <v>191</v>
      </c>
      <c r="CY6">
        <v>4</v>
      </c>
      <c r="CZ6">
        <v>203</v>
      </c>
      <c r="DA6">
        <f>IF(CR2=0,"",+CR2)</f>
        <v>143</v>
      </c>
      <c r="DB6">
        <f>IF(CR10=0,"",+CR10)</f>
        <v>279</v>
      </c>
      <c r="DC6">
        <v>4</v>
      </c>
      <c r="DD6">
        <f>IF($AB$6="Rotary",+DB6,IF($AB$6="DTH",BV63,""))</f>
        <v>279</v>
      </c>
      <c r="DF6" t="str">
        <v>Site elevation</v>
      </c>
      <c r="DG6">
        <f>+Calculator!D13</f>
        <v>984.251968503937</v>
      </c>
      <c r="DL6">
        <v>4</v>
      </c>
      <c r="DQ6">
        <v>4</v>
      </c>
      <c r="DR6" t="str">
        <v>Mission 65</v>
      </c>
      <c r="DS6">
        <v>4</v>
      </c>
      <c r="DT6">
        <v>972</v>
      </c>
      <c r="DU6">
        <v>4</v>
      </c>
      <c r="DV6">
        <v>0.94</v>
      </c>
      <c r="DW6">
        <v>4</v>
      </c>
      <c r="DX6">
        <v>115</v>
      </c>
      <c r="DY6">
        <v>4</v>
      </c>
      <c r="DZ6">
        <v>9.6240376</v>
      </c>
      <c r="EA6" t="str">
        <v>D45KS40</v>
      </c>
      <c r="EB6">
        <v>4</v>
      </c>
      <c r="EC6">
        <v>0.5</v>
      </c>
      <c r="ED6">
        <v>4</v>
      </c>
      <c r="EE6" t="str">
        <v>D45KS40</v>
      </c>
      <c r="EF6">
        <v>4</v>
      </c>
      <c r="EG6">
        <v>34.5</v>
      </c>
      <c r="EH6">
        <v>4</v>
      </c>
      <c r="EI6">
        <v>35</v>
      </c>
      <c r="EJ6">
        <v>4</v>
      </c>
      <c r="EK6">
        <v>4</v>
      </c>
      <c r="EL6">
        <f>IF((+Calculator!$D$22+Calculator!$D$25)-'Calc. Sdk'!EG6-('Calc. Sdk'!EI6*'Calc. Sdk'!EK6)&gt;0,"Too deep",+'Calc. Sdk'!EM6)</f>
        <v>1</v>
      </c>
      <c r="EM6">
        <f>ROUNDUP((Calculator!$D$22+Calculator!$D$25-'Calc. Sdk'!EG6)/'Calc. Sdk'!EI6,0)</f>
        <v>1</v>
      </c>
      <c r="EO6">
        <v>4</v>
      </c>
      <c r="EP6" t="str">
        <v>D45KS40</v>
      </c>
      <c r="EQ6">
        <v>4</v>
      </c>
      <c r="ER6">
        <v>125</v>
      </c>
      <c r="ES6">
        <v>4</v>
      </c>
      <c r="ET6">
        <v>164</v>
      </c>
      <c r="EU6">
        <v>4</v>
      </c>
      <c r="EV6">
        <v>2</v>
      </c>
      <c r="EW6" t="str">
        <v>Set up</v>
      </c>
      <c r="EX6">
        <f>+EV2</f>
        <v>2</v>
      </c>
      <c r="FA6">
        <v>4</v>
      </c>
      <c r="FB6" t="str">
        <v>D45KS40</v>
      </c>
      <c r="FC6">
        <v>4</v>
      </c>
      <c r="FD6">
        <v>45000</v>
      </c>
      <c r="FE6">
        <v>4</v>
      </c>
      <c r="FF6">
        <f>4.95*$DD$2*$DH$20*(FD6/1000)^1.6/$DG$9</f>
        <v>1594.0556959429998</v>
      </c>
      <c r="FH6">
        <v>4</v>
      </c>
      <c r="FI6" t="str">
        <v>Heavy</v>
      </c>
      <c r="FK6">
        <v>0.91</v>
      </c>
    </row>
    <row r="7">
      <c r="AA7">
        <v>1</v>
      </c>
      <c r="AB7" t="str">
        <v>Rotary</v>
      </c>
      <c r="AD7">
        <v>5</v>
      </c>
      <c r="AE7" t="str">
        <v>D50KS "34"</v>
      </c>
      <c r="AF7">
        <v>30</v>
      </c>
      <c r="AG7">
        <v>20</v>
      </c>
      <c r="AH7">
        <v>5</v>
      </c>
      <c r="AI7">
        <v>20</v>
      </c>
      <c r="AK7">
        <v>5</v>
      </c>
      <c r="AL7" t="str">
        <f>IF($AB$6="Rotary","D50KS 34","")</f>
        <v>D50KS 34</v>
      </c>
      <c r="AM7">
        <v>5</v>
      </c>
      <c r="AN7">
        <v>114</v>
      </c>
      <c r="AO7">
        <v>5</v>
      </c>
      <c r="AP7">
        <v>152</v>
      </c>
      <c r="AQ7">
        <v>5</v>
      </c>
      <c r="AR7">
        <v>165</v>
      </c>
      <c r="AS7">
        <v>5</v>
      </c>
      <c r="AT7">
        <v>178</v>
      </c>
      <c r="AU7">
        <v>5</v>
      </c>
      <c r="AW7">
        <v>5</v>
      </c>
      <c r="AY7">
        <v>5</v>
      </c>
      <c r="BA7">
        <v>5</v>
      </c>
      <c r="BB7">
        <f>IF(AV2=0,"",+AV2)</f>
        <v>245</v>
      </c>
      <c r="BC7">
        <f>BB7/25.4</f>
        <v>9.645669291338583</v>
      </c>
      <c r="BE7">
        <v>5</v>
      </c>
      <c r="BF7" t="str">
        <f>IF($AB$6="Rotary","D50KS 34","")</f>
        <v>D50KS 34</v>
      </c>
      <c r="BK7">
        <v>5</v>
      </c>
      <c r="BL7" t="str">
        <v>D50KS 34</v>
      </c>
      <c r="BM7">
        <v>5</v>
      </c>
      <c r="BN7">
        <v>900</v>
      </c>
      <c r="BO7">
        <v>5</v>
      </c>
      <c r="BP7">
        <v>1050</v>
      </c>
      <c r="BQ7">
        <v>5</v>
      </c>
      <c r="BR7">
        <v>1300</v>
      </c>
      <c r="BS7">
        <v>5</v>
      </c>
      <c r="BT7">
        <v>1600</v>
      </c>
      <c r="BX7">
        <v>5</v>
      </c>
      <c r="BY7" t="str">
        <v>D50KS34</v>
      </c>
      <c r="BZ7">
        <v>5</v>
      </c>
      <c r="CB7">
        <v>5</v>
      </c>
      <c r="CD7">
        <v>5</v>
      </c>
      <c r="CG7">
        <v>5</v>
      </c>
      <c r="CH7" t="str">
        <f>IF(AB6="Rotary","","M80")</f>
        <v/>
      </c>
      <c r="CI7">
        <v>5</v>
      </c>
      <c r="CJ7" t="str">
        <f>IF(AB6="DTH H",1180,"")</f>
        <v/>
      </c>
      <c r="CK7">
        <v>5</v>
      </c>
      <c r="CL7">
        <v>165</v>
      </c>
      <c r="CM7">
        <v>5</v>
      </c>
      <c r="CN7">
        <v>171</v>
      </c>
      <c r="CO7">
        <v>5</v>
      </c>
      <c r="CP7">
        <v>178</v>
      </c>
      <c r="CQ7">
        <v>5</v>
      </c>
      <c r="CR7">
        <v>191</v>
      </c>
      <c r="CS7">
        <v>5</v>
      </c>
      <c r="CT7">
        <v>203</v>
      </c>
      <c r="CU7">
        <v>5</v>
      </c>
      <c r="CW7">
        <v>5</v>
      </c>
      <c r="CY7">
        <v>5</v>
      </c>
      <c r="DA7">
        <f>IF(CT2=0,"",+CT2)</f>
        <v>146</v>
      </c>
      <c r="DB7">
        <f>IF(CT10=0,"",+CT10)</f>
        <v>311</v>
      </c>
      <c r="DC7">
        <v>5</v>
      </c>
      <c r="DD7">
        <f>IF($AB$6="Rotary",+DB7,IF($AB$6="DTH",BV64,""))</f>
        <v>311</v>
      </c>
      <c r="DF7" t="str">
        <v>Volume selected</v>
      </c>
      <c r="DG7">
        <f>+BV2</f>
        <v>2000</v>
      </c>
      <c r="DH7" t="str">
        <v>Optimum bit load</v>
      </c>
      <c r="DI7">
        <f>IF(Calculator!E27="",IF(AB6="Rotary",+DH16,""),Calculator!E27)</f>
        <v>97672.07123476491</v>
      </c>
      <c r="DQ7">
        <v>5</v>
      </c>
      <c r="DR7" t="str">
        <v>Mission 85</v>
      </c>
      <c r="DS7">
        <v>5</v>
      </c>
      <c r="DT7">
        <v>1180</v>
      </c>
      <c r="DU7">
        <v>5</v>
      </c>
      <c r="DV7">
        <v>0.94</v>
      </c>
      <c r="DW7">
        <v>5</v>
      </c>
      <c r="DX7">
        <v>149</v>
      </c>
      <c r="DY7">
        <v>5</v>
      </c>
      <c r="DZ7">
        <v>12.83205</v>
      </c>
      <c r="EA7" t="str">
        <v>D50KS34</v>
      </c>
      <c r="EB7">
        <v>5</v>
      </c>
      <c r="EC7">
        <v>0.5</v>
      </c>
      <c r="ED7">
        <v>5</v>
      </c>
      <c r="EE7" t="str">
        <v>D50KS34</v>
      </c>
      <c r="EF7">
        <v>5</v>
      </c>
      <c r="EG7">
        <v>28.6</v>
      </c>
      <c r="EH7">
        <v>5</v>
      </c>
      <c r="EI7">
        <v>30</v>
      </c>
      <c r="EJ7">
        <v>5</v>
      </c>
      <c r="EK7">
        <v>4</v>
      </c>
      <c r="EL7">
        <f>IF((+Calculator!$D$22+Calculator!$D$25)-'Calc. Sdk'!EG7-('Calc. Sdk'!EI7*'Calc. Sdk'!EK7)&gt;0,"Too deep",+'Calc. Sdk'!EM7)</f>
        <v>2</v>
      </c>
      <c r="EM7">
        <f>ROUNDUP((Calculator!$D$22+Calculator!$D$25-'Calc. Sdk'!EG7)/'Calc. Sdk'!EI7,0)</f>
        <v>2</v>
      </c>
      <c r="EO7">
        <v>5</v>
      </c>
      <c r="EP7" t="str">
        <v>D50KS34</v>
      </c>
      <c r="EQ7">
        <v>5</v>
      </c>
      <c r="ER7">
        <v>125</v>
      </c>
      <c r="ES7">
        <v>5</v>
      </c>
      <c r="ET7">
        <v>164</v>
      </c>
      <c r="EU7">
        <v>5</v>
      </c>
      <c r="EV7">
        <v>1.5</v>
      </c>
      <c r="EW7" t="str">
        <v>Cleaning</v>
      </c>
      <c r="EX7">
        <f>0.5*(1-FK2)*EX1</f>
        <v>6.464867579396784</v>
      </c>
      <c r="FA7">
        <v>5</v>
      </c>
      <c r="FB7" t="str">
        <v>D50KS34</v>
      </c>
      <c r="FC7">
        <v>5</v>
      </c>
      <c r="FD7">
        <v>50000</v>
      </c>
      <c r="FE7">
        <v>5</v>
      </c>
      <c r="FF7">
        <f>4.95*$DD$2*$DH$20*(FD7/1000)^1.6/$DG$9</f>
        <v>1886.754855784503</v>
      </c>
      <c r="FI7" t="str">
        <v>Angle drilling</v>
      </c>
      <c r="FJ7">
        <f>+AH2</f>
        <v>1</v>
      </c>
      <c r="FK7">
        <f>LOOKUP(FJ7,FJ8:FK14)</f>
        <v>1</v>
      </c>
    </row>
    <row r="8">
      <c r="AA8">
        <v>2</v>
      </c>
      <c r="AB8" t="str">
        <v>DTH</v>
      </c>
      <c r="AD8">
        <v>6</v>
      </c>
      <c r="AE8" t="str">
        <v>D50KS "40"</v>
      </c>
      <c r="AF8">
        <v>30</v>
      </c>
      <c r="AG8" t="str">
        <f>IF(AF2&gt;AG7,+AG7+5,"")</f>
        <v/>
      </c>
      <c r="AH8">
        <v>6</v>
      </c>
      <c r="AI8">
        <v>25</v>
      </c>
      <c r="AK8">
        <v>6</v>
      </c>
      <c r="AL8" t="str">
        <f>IF($AB$6="Rotary","D50KS 40","")</f>
        <v>D50KS 40</v>
      </c>
      <c r="AM8">
        <v>6</v>
      </c>
      <c r="AN8">
        <v>114</v>
      </c>
      <c r="AO8">
        <v>6</v>
      </c>
      <c r="AP8">
        <v>152</v>
      </c>
      <c r="AQ8">
        <v>6</v>
      </c>
      <c r="AR8">
        <v>165</v>
      </c>
      <c r="AS8">
        <v>6</v>
      </c>
      <c r="AT8">
        <v>178</v>
      </c>
      <c r="AU8">
        <v>6</v>
      </c>
      <c r="AW8">
        <v>6</v>
      </c>
      <c r="AY8">
        <v>6</v>
      </c>
      <c r="BA8">
        <v>6</v>
      </c>
      <c r="BB8" t="str">
        <f>IF(AX2=0,"",+AX2)</f>
        <v/>
      </c>
      <c r="BC8" t="e">
        <f>BB8/25.4</f>
        <v>#VALUE!</v>
      </c>
      <c r="BE8">
        <v>6</v>
      </c>
      <c r="BF8" t="str">
        <f>IF($AB$6="Rotary","D50KS 40","")</f>
        <v>D50KS 40</v>
      </c>
      <c r="BK8">
        <v>6</v>
      </c>
      <c r="BL8" t="str">
        <v>D50KS 40</v>
      </c>
      <c r="BM8">
        <v>6</v>
      </c>
      <c r="BN8">
        <v>900</v>
      </c>
      <c r="BO8">
        <v>6</v>
      </c>
      <c r="BP8">
        <v>1050</v>
      </c>
      <c r="BQ8">
        <v>6</v>
      </c>
      <c r="BR8">
        <v>1300</v>
      </c>
      <c r="BS8">
        <v>6</v>
      </c>
      <c r="BT8">
        <v>1600</v>
      </c>
      <c r="BX8">
        <v>6</v>
      </c>
      <c r="BY8" t="str">
        <v>D50KS40</v>
      </c>
      <c r="BZ8">
        <v>6</v>
      </c>
      <c r="CB8">
        <v>6</v>
      </c>
      <c r="CD8">
        <v>6</v>
      </c>
      <c r="CG8">
        <v>6</v>
      </c>
      <c r="CH8" t="str">
        <f>IF(AB6="Rotary","","M85")</f>
        <v/>
      </c>
      <c r="CI8">
        <v>6</v>
      </c>
      <c r="CK8">
        <v>6</v>
      </c>
      <c r="CL8">
        <v>203</v>
      </c>
      <c r="CM8">
        <v>6</v>
      </c>
      <c r="CN8">
        <v>219</v>
      </c>
      <c r="CO8">
        <v>6</v>
      </c>
      <c r="CP8">
        <v>225</v>
      </c>
      <c r="CQ8">
        <v>6</v>
      </c>
      <c r="CR8">
        <v>241</v>
      </c>
      <c r="CS8">
        <v>6</v>
      </c>
      <c r="CT8">
        <v>254</v>
      </c>
      <c r="CU8">
        <v>6</v>
      </c>
      <c r="CV8">
        <v>270</v>
      </c>
      <c r="CW8">
        <v>6</v>
      </c>
      <c r="CY8">
        <v>6</v>
      </c>
      <c r="DA8">
        <f>IF(CV2=0,"",+CV2)</f>
        <v>152</v>
      </c>
      <c r="DB8" t="str">
        <f>IF(CV10=0,"",+CV10)</f>
        <v/>
      </c>
      <c r="DC8">
        <v>6</v>
      </c>
      <c r="DD8" t="str">
        <f>IF($AB$6="Rotary",+DB8,IF($AB$6="DTH",BV65,""))</f>
        <v/>
      </c>
      <c r="DF8" t="str">
        <v>Adjusted volume</v>
      </c>
      <c r="DG8">
        <f>+DG7*DG3*DG5</f>
        <v>1903.3350601203274</v>
      </c>
      <c r="DH8" t="str">
        <v>Rotation power</v>
      </c>
      <c r="DI8">
        <f>IF(AB6="Rotary",+DH19,"")</f>
        <v>216.85147911779663</v>
      </c>
      <c r="DL8" t="str">
        <v>Dilling required</v>
      </c>
      <c r="DM8">
        <f>IF(DM2="bcyd",+DM12,DM13)</f>
        <v>993583.1307849529</v>
      </c>
      <c r="DN8" t="str">
        <v>ft</v>
      </c>
      <c r="EA8" t="str">
        <v>D50KS40</v>
      </c>
      <c r="EB8">
        <v>6</v>
      </c>
      <c r="EC8">
        <v>0.5</v>
      </c>
      <c r="ED8">
        <v>6</v>
      </c>
      <c r="EE8" t="str">
        <v>D50KS40</v>
      </c>
      <c r="EF8">
        <v>6</v>
      </c>
      <c r="EG8">
        <v>34.5</v>
      </c>
      <c r="EH8">
        <v>6</v>
      </c>
      <c r="EI8">
        <v>35</v>
      </c>
      <c r="EJ8">
        <v>6</v>
      </c>
      <c r="EK8">
        <v>4</v>
      </c>
      <c r="EL8">
        <f>IF((+Calculator!$D$22+Calculator!$D$25)-'Calc. Sdk'!EG8-('Calc. Sdk'!EI8*'Calc. Sdk'!EK8)&gt;0,"Too deep",+'Calc. Sdk'!EM8)</f>
        <v>1</v>
      </c>
      <c r="EM8">
        <f>ROUNDUP((Calculator!$D$22+Calculator!$D$25-'Calc. Sdk'!EG8)/'Calc. Sdk'!EI8,0)</f>
        <v>1</v>
      </c>
      <c r="EO8">
        <v>6</v>
      </c>
      <c r="EP8" t="str">
        <v>D50KS40</v>
      </c>
      <c r="EQ8">
        <v>6</v>
      </c>
      <c r="ER8">
        <v>125</v>
      </c>
      <c r="ES8">
        <v>6</v>
      </c>
      <c r="ET8">
        <v>164</v>
      </c>
      <c r="EU8">
        <v>6</v>
      </c>
      <c r="EV8">
        <v>2</v>
      </c>
      <c r="EX8">
        <f>SUM(EX1:EX7)</f>
        <v>268.25915408860135</v>
      </c>
      <c r="EY8">
        <f>SUM(EX2:EX7)</f>
        <v>9.664450912730118</v>
      </c>
      <c r="FA8">
        <v>6</v>
      </c>
      <c r="FB8" t="str">
        <v>D50KS40</v>
      </c>
      <c r="FC8">
        <v>6</v>
      </c>
      <c r="FD8">
        <v>50000</v>
      </c>
      <c r="FE8">
        <v>6</v>
      </c>
      <c r="FF8">
        <f>4.95*$DD$2*$DH$20*(FD8/1000)^1.6/$DG$9</f>
        <v>1886.754855784503</v>
      </c>
      <c r="FH8">
        <v>1</v>
      </c>
      <c r="FI8">
        <v>0</v>
      </c>
      <c r="FJ8">
        <v>1</v>
      </c>
      <c r="FK8">
        <v>1</v>
      </c>
    </row>
    <row r="9">
      <c r="AD9">
        <v>7</v>
      </c>
      <c r="AE9" t="str">
        <v>D55SP</v>
      </c>
      <c r="AF9">
        <v>20</v>
      </c>
      <c r="AG9" t="str">
        <f>IF(AF2&gt;AG7+5,+AG8+5,"")</f>
        <v/>
      </c>
      <c r="AH9">
        <v>7</v>
      </c>
      <c r="AI9">
        <v>30</v>
      </c>
      <c r="AK9">
        <v>7</v>
      </c>
      <c r="AL9" t="str">
        <f>IF($AB$6="Rotary","D55SP 55",IF($AB$6="DTH","D55SP 55",""))</f>
        <v>D55SP 55</v>
      </c>
      <c r="AM9">
        <v>7</v>
      </c>
      <c r="AN9">
        <v>140</v>
      </c>
      <c r="AO9">
        <v>7</v>
      </c>
      <c r="AP9">
        <v>152</v>
      </c>
      <c r="AQ9">
        <v>7</v>
      </c>
      <c r="AR9">
        <v>165</v>
      </c>
      <c r="AS9">
        <v>7</v>
      </c>
      <c r="AT9">
        <v>178</v>
      </c>
      <c r="AU9">
        <v>7</v>
      </c>
      <c r="AV9">
        <v>194</v>
      </c>
      <c r="AW9">
        <v>7</v>
      </c>
      <c r="AY9">
        <v>7</v>
      </c>
      <c r="BA9">
        <v>7</v>
      </c>
      <c r="BB9">
        <f>IF(AY2=0,"",+AZ2)</f>
        <v>0</v>
      </c>
      <c r="BC9">
        <f>BB9/25.4</f>
        <v>0</v>
      </c>
      <c r="BE9">
        <v>7</v>
      </c>
      <c r="BF9" t="str">
        <f>IF($AB$6="Rotary","D55SP 55",IF($AB$6="DTH","D55SP 55",""))</f>
        <v>D55SP 55</v>
      </c>
      <c r="BK9">
        <v>7</v>
      </c>
      <c r="BL9" t="str">
        <v>D55SP</v>
      </c>
      <c r="BM9">
        <v>7</v>
      </c>
      <c r="BN9">
        <v>1600</v>
      </c>
      <c r="BO9">
        <v>7</v>
      </c>
      <c r="BP9">
        <v>2000</v>
      </c>
      <c r="BQ9">
        <v>7</v>
      </c>
      <c r="BS9">
        <v>7</v>
      </c>
      <c r="BX9">
        <v>7</v>
      </c>
      <c r="BY9" t="str">
        <v>D55SP</v>
      </c>
      <c r="BZ9">
        <v>7</v>
      </c>
      <c r="CA9">
        <v>1350</v>
      </c>
      <c r="CB9">
        <v>7</v>
      </c>
      <c r="CD9">
        <v>7</v>
      </c>
      <c r="DA9" t="str">
        <f>IF(CX2=0,"",+CX2)</f>
        <v/>
      </c>
      <c r="DB9" t="str">
        <f>IF(CX10=0,"",+CX10)</f>
        <v/>
      </c>
      <c r="DC9">
        <v>7</v>
      </c>
      <c r="DD9" t="str">
        <f>IF($AB$6="Rotary",+DB9,IF($AB$6="DTH",BV66,""))</f>
        <v/>
      </c>
      <c r="DF9" t="str">
        <v>UCS</v>
      </c>
      <c r="DG9">
        <f>+Calculator!N22</f>
        <v>36259.43597432078</v>
      </c>
      <c r="DM9">
        <f>+DM8*0.3048</f>
        <v>302844.13826325367</v>
      </c>
      <c r="DN9" t="str">
        <v>m</v>
      </c>
      <c r="EA9" t="str">
        <v>D55SP</v>
      </c>
      <c r="EB9">
        <v>7</v>
      </c>
      <c r="EC9">
        <v>0</v>
      </c>
      <c r="ED9">
        <v>7</v>
      </c>
      <c r="EE9" t="str">
        <v>D55SP</v>
      </c>
      <c r="EF9">
        <v>7</v>
      </c>
      <c r="EG9">
        <v>55</v>
      </c>
      <c r="EH9">
        <v>7</v>
      </c>
      <c r="EI9">
        <v>25</v>
      </c>
      <c r="EJ9">
        <v>7</v>
      </c>
      <c r="EK9">
        <v>2</v>
      </c>
      <c r="EL9">
        <f>IF((+Calculator!$D$22+Calculator!$D$25)-'Calc. Sdk'!EG9-('Calc. Sdk'!EI9*'Calc. Sdk'!EK9)&gt;0,"Too deep",+'Calc. Sdk'!EM9)</f>
        <v>1</v>
      </c>
      <c r="EM9">
        <f>ROUNDUP((Calculator!$D$22+Calculator!$D$25-'Calc. Sdk'!EG9)/'Calc. Sdk'!EI9,0)</f>
        <v>1</v>
      </c>
      <c r="EO9">
        <v>7</v>
      </c>
      <c r="EP9" t="str">
        <v>D55SP</v>
      </c>
      <c r="EQ9">
        <v>7</v>
      </c>
      <c r="ER9">
        <v>139</v>
      </c>
      <c r="ES9">
        <v>7</v>
      </c>
      <c r="ET9">
        <v>171</v>
      </c>
      <c r="EU9">
        <v>7</v>
      </c>
      <c r="EV9">
        <v>2.5</v>
      </c>
      <c r="EX9">
        <f>+EX1/(+EX8)</f>
        <v>0.9639734534108826</v>
      </c>
      <c r="EY9">
        <f>EY8/EX8</f>
        <v>0.03602654658911702</v>
      </c>
      <c r="FA9">
        <v>7</v>
      </c>
      <c r="FB9" t="str">
        <v>D55SP</v>
      </c>
      <c r="FC9">
        <v>7</v>
      </c>
      <c r="FD9">
        <v>55000</v>
      </c>
      <c r="FE9">
        <v>7</v>
      </c>
      <c r="FF9">
        <f>4.95*$DD$2*$DH$20*(FD9/1000)^1.6/$DG$9</f>
        <v>2197.575337992597</v>
      </c>
      <c r="FH9">
        <v>2</v>
      </c>
      <c r="FI9">
        <v>5</v>
      </c>
      <c r="FJ9">
        <v>2</v>
      </c>
      <c r="FK9">
        <v>0.99</v>
      </c>
    </row>
    <row r="10">
      <c r="AB10" t="str">
        <f>IF(AB2="Imperial","in","mm")</f>
        <v>in</v>
      </c>
      <c r="AD10">
        <v>8</v>
      </c>
      <c r="AE10" t="str">
        <v>D75KS "40"</v>
      </c>
      <c r="AF10">
        <v>25</v>
      </c>
      <c r="AK10">
        <v>8</v>
      </c>
      <c r="AL10" t="str">
        <f>IF($AB$6="Rotary","D75KS 40",IF($AB$6="DTH","D75KS 40",""))</f>
        <v>D75KS 40</v>
      </c>
      <c r="AM10">
        <v>8</v>
      </c>
      <c r="AN10">
        <v>178</v>
      </c>
      <c r="AO10">
        <v>8</v>
      </c>
      <c r="AP10">
        <v>194</v>
      </c>
      <c r="AQ10">
        <v>8</v>
      </c>
      <c r="AR10">
        <v>203</v>
      </c>
      <c r="AS10">
        <v>8</v>
      </c>
      <c r="AT10">
        <v>219</v>
      </c>
      <c r="AU10">
        <v>8</v>
      </c>
      <c r="AV10">
        <v>229</v>
      </c>
      <c r="AW10">
        <v>8</v>
      </c>
      <c r="AX10">
        <v>244</v>
      </c>
      <c r="AY10">
        <v>8</v>
      </c>
      <c r="BE10">
        <v>8</v>
      </c>
      <c r="BF10" t="str">
        <f>IF($AB$6="Rotary","D75KS 40",IF($AB$6="DTH","D75KS 40",""))</f>
        <v>D75KS 40</v>
      </c>
      <c r="BK10">
        <v>8</v>
      </c>
      <c r="BL10" t="str">
        <v>D75KS 40</v>
      </c>
      <c r="BM10">
        <v>8</v>
      </c>
      <c r="BN10">
        <v>1600</v>
      </c>
      <c r="BO10">
        <v>8</v>
      </c>
      <c r="BP10">
        <v>2000</v>
      </c>
      <c r="BQ10">
        <v>8</v>
      </c>
      <c r="BS10">
        <v>8</v>
      </c>
      <c r="BX10">
        <v>8</v>
      </c>
      <c r="BY10" t="str">
        <v>D75KS40</v>
      </c>
      <c r="BZ10">
        <v>8</v>
      </c>
      <c r="CA10">
        <v>1350</v>
      </c>
      <c r="CB10">
        <v>8</v>
      </c>
      <c r="CC10">
        <v>1450</v>
      </c>
      <c r="CD10">
        <v>8</v>
      </c>
      <c r="CK10">
        <f>+$AK$2</f>
        <v>16</v>
      </c>
      <c r="CL10">
        <f>LOOKUP(CK10,CK11:CL31)</f>
        <v>229</v>
      </c>
      <c r="CM10">
        <f>+$AK$2</f>
        <v>16</v>
      </c>
      <c r="CN10">
        <f>LOOKUP(CM10,CM11:CN31)</f>
        <v>251</v>
      </c>
      <c r="CO10">
        <f>+$AK$2</f>
        <v>16</v>
      </c>
      <c r="CP10">
        <f>LOOKUP(CO10,CO11:CP31)</f>
        <v>270</v>
      </c>
      <c r="CQ10">
        <f>+$AK$2</f>
        <v>16</v>
      </c>
      <c r="CR10">
        <f>LOOKUP(CQ10,CQ11:CR31)</f>
        <v>279</v>
      </c>
      <c r="CS10">
        <f>+$AK$2</f>
        <v>16</v>
      </c>
      <c r="CT10">
        <f>LOOKUP(CS10,CS11:CT31)</f>
        <v>311</v>
      </c>
      <c r="CU10">
        <f>+$AK$2</f>
        <v>16</v>
      </c>
      <c r="CV10">
        <f>LOOKUP(CU10,CU11:CV31)</f>
        <v>0</v>
      </c>
      <c r="CW10">
        <f>+$AK$2</f>
        <v>16</v>
      </c>
      <c r="CX10">
        <f>LOOKUP(CW10,CW11:CX31)</f>
        <v>0</v>
      </c>
      <c r="CY10">
        <f>+$AK$2</f>
        <v>16</v>
      </c>
      <c r="CZ10">
        <f>LOOKUP(CY10,CY11:CZ30)</f>
        <v>0</v>
      </c>
      <c r="DA10" t="str">
        <f>IF(CZ2=0,"",+CZ2)</f>
        <v/>
      </c>
      <c r="DB10" t="str">
        <f>IF(CZ10=0,"",+CZ10)</f>
        <v/>
      </c>
      <c r="DC10">
        <v>8</v>
      </c>
      <c r="DD10" t="str">
        <f>IF($AB$6="Rotary",+DB10,DA10)</f>
        <v/>
      </c>
      <c r="DH10" t="str">
        <v>Set Bit Load</v>
      </c>
      <c r="DI10">
        <f>Calculator!D32</f>
        <v>80000</v>
      </c>
      <c r="DL10" t="str">
        <v>byd required</v>
      </c>
      <c r="DM10" t="str">
        <f>IF(DM2="bcyd",+Calculator!D40,"")</f>
        <v/>
      </c>
      <c r="DR10" t="str">
        <v>VE/VR</v>
      </c>
      <c r="EA10" t="str">
        <v>D75KS40</v>
      </c>
      <c r="EB10">
        <v>8</v>
      </c>
      <c r="EC10">
        <v>0.5</v>
      </c>
      <c r="ED10">
        <v>8</v>
      </c>
      <c r="EE10" t="str">
        <v>D75KS40</v>
      </c>
      <c r="EF10">
        <v>8</v>
      </c>
      <c r="EG10">
        <v>33.5</v>
      </c>
      <c r="EH10">
        <v>8</v>
      </c>
      <c r="EI10">
        <v>35</v>
      </c>
      <c r="EJ10">
        <v>8</v>
      </c>
      <c r="EK10">
        <v>6</v>
      </c>
      <c r="EL10">
        <f>IF((+Calculator!$D$22+Calculator!$D$25)-'Calc. Sdk'!EG10-('Calc. Sdk'!EI10*'Calc. Sdk'!EK10)&gt;0,"Too deep",+'Calc. Sdk'!EM10)</f>
        <v>1</v>
      </c>
      <c r="EM10">
        <f>ROUNDUP((Calculator!$D$22+Calculator!$D$25-'Calc. Sdk'!EG10)/'Calc. Sdk'!EI10,0)</f>
        <v>1</v>
      </c>
      <c r="EO10">
        <v>8</v>
      </c>
      <c r="EP10" t="str">
        <v>D75KS40</v>
      </c>
      <c r="EQ10">
        <v>8</v>
      </c>
      <c r="ER10">
        <v>89</v>
      </c>
      <c r="ES10">
        <v>8</v>
      </c>
      <c r="ET10">
        <v>114</v>
      </c>
      <c r="EU10">
        <v>8</v>
      </c>
      <c r="EV10">
        <v>2</v>
      </c>
      <c r="FA10">
        <v>8</v>
      </c>
      <c r="FB10" t="str">
        <v>D75KS40</v>
      </c>
      <c r="FC10">
        <v>8</v>
      </c>
      <c r="FD10">
        <v>75000</v>
      </c>
      <c r="FE10">
        <v>8</v>
      </c>
      <c r="FF10">
        <f>4.95*$DD$2*$DH$20*(FD10/1000)^1.6/$DG$9</f>
        <v>3609.6200546133514</v>
      </c>
      <c r="FH10">
        <v>3</v>
      </c>
      <c r="FI10">
        <v>10</v>
      </c>
      <c r="FJ10">
        <v>3</v>
      </c>
      <c r="FK10">
        <v>0.98</v>
      </c>
      <c r="FW10" t="str">
        <v>FRACTURIZATION</v>
      </c>
      <c r="FY10" t="str">
        <v>PENETRATION RESISTANCE</v>
      </c>
    </row>
    <row r="11">
      <c r="AB11" t="str">
        <f>IF(AB2="Imperial","mm","in")</f>
        <v>mm</v>
      </c>
      <c r="AD11">
        <v>9</v>
      </c>
      <c r="AE11" t="str">
        <v>D85KS "48"</v>
      </c>
      <c r="AF11">
        <v>25</v>
      </c>
      <c r="AK11">
        <v>9</v>
      </c>
      <c r="AL11" t="str">
        <f>IF($AB$6="Rotary","DR460 48",IF($AB$6="DTH","DR460 48",""))</f>
        <v>DR460 48</v>
      </c>
      <c r="AM11">
        <v>9</v>
      </c>
      <c r="AN11">
        <v>178</v>
      </c>
      <c r="AO11">
        <v>9</v>
      </c>
      <c r="AP11">
        <v>194</v>
      </c>
      <c r="AQ11">
        <v>9</v>
      </c>
      <c r="AR11">
        <v>203</v>
      </c>
      <c r="AS11">
        <v>9</v>
      </c>
      <c r="AT11">
        <v>219</v>
      </c>
      <c r="AU11">
        <v>9</v>
      </c>
      <c r="AV11">
        <v>229</v>
      </c>
      <c r="AW11">
        <v>9</v>
      </c>
      <c r="AX11">
        <v>244</v>
      </c>
      <c r="AY11">
        <v>9</v>
      </c>
      <c r="AZ11">
        <v>244</v>
      </c>
      <c r="BE11">
        <v>9</v>
      </c>
      <c r="BF11" t="str">
        <f>IF($AB$6="Rotary","DR460 48",IF($AB$6="DTH","DR460 48",""))</f>
        <v>DR460 48</v>
      </c>
      <c r="BK11">
        <v>9</v>
      </c>
      <c r="BL11" t="str">
        <v>DR460 48</v>
      </c>
      <c r="BM11">
        <v>9</v>
      </c>
      <c r="BN11">
        <v>1600</v>
      </c>
      <c r="BO11">
        <v>9</v>
      </c>
      <c r="BP11">
        <v>2000</v>
      </c>
      <c r="BQ11">
        <v>9</v>
      </c>
      <c r="BR11">
        <v>2600</v>
      </c>
      <c r="BS11">
        <v>9</v>
      </c>
      <c r="BX11">
        <v>9</v>
      </c>
      <c r="BY11" t="str">
        <v>DR46048</v>
      </c>
      <c r="BZ11">
        <v>9</v>
      </c>
      <c r="CA11">
        <v>1450</v>
      </c>
      <c r="CB11">
        <v>9</v>
      </c>
      <c r="CD11">
        <v>9</v>
      </c>
      <c r="CG11">
        <v>1</v>
      </c>
      <c r="CH11" t="str">
        <v>D245S</v>
      </c>
      <c r="CK11">
        <v>1</v>
      </c>
      <c r="CL11">
        <v>127</v>
      </c>
      <c r="CM11">
        <v>1</v>
      </c>
      <c r="CN11">
        <v>133</v>
      </c>
      <c r="CO11">
        <v>1</v>
      </c>
      <c r="CP11">
        <v>140</v>
      </c>
      <c r="CQ11">
        <v>1</v>
      </c>
      <c r="CR11">
        <v>146</v>
      </c>
      <c r="CS11">
        <v>1</v>
      </c>
      <c r="CT11">
        <v>152</v>
      </c>
      <c r="CU11">
        <v>1</v>
      </c>
      <c r="CV11">
        <v>159</v>
      </c>
      <c r="CW11">
        <v>1</v>
      </c>
      <c r="CX11">
        <v>171</v>
      </c>
      <c r="CY11">
        <v>1</v>
      </c>
      <c r="CZ11">
        <v>200</v>
      </c>
      <c r="DL11" t="str">
        <v>ton required</v>
      </c>
      <c r="DM11">
        <f>IF(DM2="ton",+Calculator!D40,"")</f>
        <v>29210000</v>
      </c>
      <c r="DR11">
        <f>IF(DG8&gt;DT2,1,+DG8/DT2)</f>
        <v>1</v>
      </c>
      <c r="EA11" t="str">
        <v>DR46048</v>
      </c>
      <c r="EB11">
        <v>9</v>
      </c>
      <c r="EC11">
        <v>0.5</v>
      </c>
      <c r="ED11">
        <v>9</v>
      </c>
      <c r="EE11" t="str">
        <v>DR46048</v>
      </c>
      <c r="EF11">
        <v>9</v>
      </c>
      <c r="EG11">
        <v>40.6</v>
      </c>
      <c r="EH11">
        <v>9</v>
      </c>
      <c r="EI11">
        <v>42</v>
      </c>
      <c r="EJ11">
        <v>9</v>
      </c>
      <c r="EK11">
        <v>4</v>
      </c>
      <c r="EL11">
        <f>IF((+Calculator!$D$22+Calculator!$D$25)-'Calc. Sdk'!EG11-('Calc. Sdk'!EI11*'Calc. Sdk'!EK11)&gt;0,"Too deep",+'Calc. Sdk'!EM11)</f>
        <v>1</v>
      </c>
      <c r="EM11">
        <f>ROUNDUP((Calculator!$D$22+Calculator!$D$25-'Calc. Sdk'!EG11)/'Calc. Sdk'!EI11,0)</f>
        <v>1</v>
      </c>
      <c r="EO11">
        <v>9</v>
      </c>
      <c r="EP11" t="str">
        <v>DR46048</v>
      </c>
      <c r="EQ11">
        <v>9</v>
      </c>
      <c r="ER11">
        <v>68</v>
      </c>
      <c r="ES11">
        <v>9</v>
      </c>
      <c r="ET11">
        <v>176</v>
      </c>
      <c r="EU11">
        <v>9</v>
      </c>
      <c r="EV11">
        <v>1.2</v>
      </c>
      <c r="EW11" t="str">
        <v>Pure Pen Rate</v>
      </c>
      <c r="EX11">
        <f>DI4/3.28083</f>
        <v>5.495289014533622</v>
      </c>
      <c r="EY11" t="str">
        <v>m/hr</v>
      </c>
      <c r="FA11">
        <v>9</v>
      </c>
      <c r="FB11" t="str">
        <v>DR46048</v>
      </c>
      <c r="FC11">
        <v>9</v>
      </c>
      <c r="FD11">
        <v>80000</v>
      </c>
      <c r="FE11">
        <v>9</v>
      </c>
      <c r="FF11">
        <f>4.95*$DD$2*$DH$20*(FD11/1000)^1.6/$DG$9</f>
        <v>4002.279815354027</v>
      </c>
      <c r="FH11">
        <v>4</v>
      </c>
      <c r="FI11">
        <v>15</v>
      </c>
      <c r="FJ11">
        <v>4</v>
      </c>
      <c r="FK11">
        <v>0.965</v>
      </c>
      <c r="FW11" t="str">
        <v>None</v>
      </c>
      <c r="FX11">
        <v>1</v>
      </c>
      <c r="FY11">
        <v>0</v>
      </c>
    </row>
    <row r="12">
      <c r="AD12">
        <v>10</v>
      </c>
      <c r="AE12" t="str">
        <v>D90KS</v>
      </c>
      <c r="AF12">
        <v>30</v>
      </c>
      <c r="AK12">
        <v>10</v>
      </c>
      <c r="AL12" t="str">
        <f>IF($AB$6="Rotary","DR460 63",IF($AB$6="DTH","DR460 63",""))</f>
        <v>DR460 63</v>
      </c>
      <c r="AM12">
        <v>10</v>
      </c>
      <c r="AN12">
        <v>178</v>
      </c>
      <c r="AO12">
        <v>10</v>
      </c>
      <c r="AP12">
        <v>194</v>
      </c>
      <c r="AQ12">
        <v>10</v>
      </c>
      <c r="AR12">
        <v>203</v>
      </c>
      <c r="AS12">
        <v>10</v>
      </c>
      <c r="AT12">
        <v>219</v>
      </c>
      <c r="AU12">
        <v>10</v>
      </c>
      <c r="AV12">
        <v>229</v>
      </c>
      <c r="AW12">
        <v>10</v>
      </c>
      <c r="AX12">
        <v>244</v>
      </c>
      <c r="AY12">
        <v>10</v>
      </c>
      <c r="AZ12">
        <v>244</v>
      </c>
      <c r="BE12">
        <v>10</v>
      </c>
      <c r="BF12" t="str">
        <f>IF($AB$6="Rotary","DR460 63",IF($AB$6="DTH","DR460 63",""))</f>
        <v>DR460 63</v>
      </c>
      <c r="BK12">
        <v>10</v>
      </c>
      <c r="BL12" t="str">
        <v>DR460 63</v>
      </c>
      <c r="BM12">
        <v>10</v>
      </c>
      <c r="BN12">
        <v>1600</v>
      </c>
      <c r="BO12">
        <v>10</v>
      </c>
      <c r="BP12">
        <v>2000</v>
      </c>
      <c r="BQ12">
        <v>10</v>
      </c>
      <c r="BR12">
        <v>2600</v>
      </c>
      <c r="BS12">
        <v>10</v>
      </c>
      <c r="BX12">
        <v>10</v>
      </c>
      <c r="BY12" t="str">
        <v>DR460 63</v>
      </c>
      <c r="BZ12">
        <v>10</v>
      </c>
      <c r="CA12">
        <v>1450</v>
      </c>
      <c r="CB12">
        <v>10</v>
      </c>
      <c r="CD12">
        <v>10</v>
      </c>
      <c r="CG12">
        <v>2</v>
      </c>
      <c r="CH12" t="str">
        <v>D25KS</v>
      </c>
      <c r="CK12">
        <v>2</v>
      </c>
      <c r="CL12">
        <v>127</v>
      </c>
      <c r="CM12">
        <v>2</v>
      </c>
      <c r="CN12">
        <v>133</v>
      </c>
      <c r="CO12">
        <v>2</v>
      </c>
      <c r="CP12">
        <v>140</v>
      </c>
      <c r="CQ12">
        <v>2</v>
      </c>
      <c r="CR12">
        <v>146</v>
      </c>
      <c r="CS12">
        <v>2</v>
      </c>
      <c r="CT12">
        <v>152</v>
      </c>
      <c r="CU12">
        <v>2</v>
      </c>
      <c r="CW12">
        <v>2</v>
      </c>
      <c r="CY12">
        <v>2</v>
      </c>
      <c r="DB12" t="str">
        <v>TopHammer</v>
      </c>
      <c r="DM12" t="e">
        <f>+DM10/DM14</f>
        <v>#VALUE!</v>
      </c>
      <c r="DN12" t="str">
        <v>ft</v>
      </c>
      <c r="EA12" t="str">
        <v>DR46063</v>
      </c>
      <c r="EB12">
        <v>10</v>
      </c>
      <c r="EC12">
        <v>0</v>
      </c>
      <c r="ED12">
        <v>10</v>
      </c>
      <c r="EE12" t="str">
        <v>DR46063</v>
      </c>
      <c r="EF12">
        <v>10</v>
      </c>
      <c r="EG12">
        <v>54</v>
      </c>
      <c r="EH12">
        <v>10</v>
      </c>
      <c r="EI12">
        <v>25</v>
      </c>
      <c r="EJ12">
        <v>10</v>
      </c>
      <c r="EK12">
        <v>2</v>
      </c>
      <c r="EL12">
        <f>IF((+Calculator!$D$22+Calculator!$D$25)-'Calc. Sdk'!EG12-('Calc. Sdk'!EI12*'Calc. Sdk'!EK12)&gt;0,"Too deep",+'Calc. Sdk'!EM12)</f>
        <v>1</v>
      </c>
      <c r="EM12">
        <f>ROUNDUP((Calculator!$D$22+Calculator!$D$25-'Calc. Sdk'!EG12)/'Calc. Sdk'!EI12,0)</f>
        <v>1</v>
      </c>
      <c r="EO12">
        <v>10</v>
      </c>
      <c r="EP12" t="str">
        <v>DR46063</v>
      </c>
      <c r="EQ12">
        <v>10</v>
      </c>
      <c r="ER12">
        <v>144</v>
      </c>
      <c r="ES12">
        <v>10</v>
      </c>
      <c r="ET12">
        <v>144</v>
      </c>
      <c r="EU12">
        <v>10</v>
      </c>
      <c r="EV12">
        <v>3</v>
      </c>
      <c r="EX12">
        <f>EX11*FK2*FK7*DH22</f>
        <v>4.176419651045553</v>
      </c>
      <c r="EY12" t="str">
        <v>m/hr</v>
      </c>
      <c r="FA12">
        <v>10</v>
      </c>
      <c r="FB12" t="str">
        <v>DR46063</v>
      </c>
      <c r="FC12">
        <v>10</v>
      </c>
      <c r="FD12">
        <v>80000</v>
      </c>
      <c r="FE12">
        <v>10</v>
      </c>
      <c r="FF12">
        <f>4.95*$DD$2*$DH$20*(FD12/1000)^1.6/$DG$9</f>
        <v>4002.279815354027</v>
      </c>
      <c r="FH12">
        <v>5</v>
      </c>
      <c r="FI12">
        <v>20</v>
      </c>
      <c r="FJ12">
        <v>5</v>
      </c>
      <c r="FK12">
        <v>0.95</v>
      </c>
      <c r="FO12" t="str">
        <f>CH2</f>
        <v>Charger</v>
      </c>
      <c r="FP12" t="str">
        <v>Standard</v>
      </c>
      <c r="FW12" t="str">
        <v>Light</v>
      </c>
      <c r="FX12">
        <v>0.98</v>
      </c>
      <c r="FY12">
        <v>10000</v>
      </c>
    </row>
    <row r="13">
      <c r="AB13" t="str">
        <f>IF(AB6="DTH","Hammer model ","Bit type")</f>
        <v>Bit type</v>
      </c>
      <c r="AD13">
        <v>11</v>
      </c>
      <c r="AE13" t="str">
        <v>D90KS "65"</v>
      </c>
      <c r="AF13">
        <v>20</v>
      </c>
      <c r="AK13">
        <v>11</v>
      </c>
      <c r="AL13" t="str">
        <f>IF($AB$6="Rotary","D90KS 46","")</f>
        <v>D90KS 46</v>
      </c>
      <c r="AM13">
        <v>11</v>
      </c>
      <c r="AN13">
        <v>194</v>
      </c>
      <c r="AO13">
        <v>11</v>
      </c>
      <c r="AP13">
        <v>219</v>
      </c>
      <c r="AQ13">
        <v>11</v>
      </c>
      <c r="AR13">
        <v>229</v>
      </c>
      <c r="AS13">
        <v>11</v>
      </c>
      <c r="AT13">
        <v>244</v>
      </c>
      <c r="AU13">
        <v>11</v>
      </c>
      <c r="AV13">
        <v>254</v>
      </c>
      <c r="AW13">
        <v>11</v>
      </c>
      <c r="AX13">
        <v>260</v>
      </c>
      <c r="AY13">
        <v>11</v>
      </c>
      <c r="BE13">
        <v>11</v>
      </c>
      <c r="BF13" t="str">
        <f>IF($AB$6="Rotary","D90KS 46","")</f>
        <v>D90KS 46</v>
      </c>
      <c r="BK13">
        <v>11</v>
      </c>
      <c r="BL13" t="str">
        <v>D90KS</v>
      </c>
      <c r="BM13">
        <v>11</v>
      </c>
      <c r="BN13">
        <v>2600</v>
      </c>
      <c r="BO13">
        <v>11</v>
      </c>
      <c r="BP13">
        <v>3000</v>
      </c>
      <c r="BQ13">
        <v>11</v>
      </c>
      <c r="BS13">
        <v>11</v>
      </c>
      <c r="BX13">
        <v>11</v>
      </c>
      <c r="BY13" t="str">
        <v>D90KS</v>
      </c>
      <c r="BZ13">
        <v>11</v>
      </c>
      <c r="CB13">
        <v>11</v>
      </c>
      <c r="CD13">
        <v>11</v>
      </c>
      <c r="CG13">
        <v>3</v>
      </c>
      <c r="CH13" t="str">
        <v>D45KS34</v>
      </c>
      <c r="CK13">
        <v>3</v>
      </c>
      <c r="CL13">
        <v>152</v>
      </c>
      <c r="CM13">
        <v>3</v>
      </c>
      <c r="CN13">
        <v>159</v>
      </c>
      <c r="CO13">
        <v>3</v>
      </c>
      <c r="CP13">
        <v>171</v>
      </c>
      <c r="CQ13">
        <v>3</v>
      </c>
      <c r="CR13">
        <v>200</v>
      </c>
      <c r="CS13">
        <v>3</v>
      </c>
      <c r="CT13">
        <v>203</v>
      </c>
      <c r="CU13">
        <v>3</v>
      </c>
      <c r="CV13">
        <v>216</v>
      </c>
      <c r="CW13">
        <v>3</v>
      </c>
      <c r="CX13">
        <v>229</v>
      </c>
      <c r="CY13">
        <v>3</v>
      </c>
      <c r="DB13">
        <f>IF(CL10=0,"",+CL10)</f>
        <v>229</v>
      </c>
      <c r="DM13">
        <f>+DM11/DM15</f>
        <v>993583.1307849529</v>
      </c>
      <c r="EA13" t="str">
        <v>D90KS</v>
      </c>
      <c r="EB13">
        <v>11</v>
      </c>
      <c r="EC13">
        <v>0.5</v>
      </c>
      <c r="ED13">
        <v>11</v>
      </c>
      <c r="EE13" t="str">
        <v>D90KS</v>
      </c>
      <c r="EF13">
        <v>11</v>
      </c>
      <c r="EG13">
        <v>38.6</v>
      </c>
      <c r="EH13">
        <v>11</v>
      </c>
      <c r="EI13">
        <v>40</v>
      </c>
      <c r="EJ13">
        <v>11</v>
      </c>
      <c r="EK13">
        <v>6</v>
      </c>
      <c r="EL13">
        <f>IF((+Calculator!$D$22+Calculator!$D$25)-'Calc. Sdk'!EG13-('Calc. Sdk'!EI13*'Calc. Sdk'!EK13)&gt;0,"Too deep",+'Calc. Sdk'!EM13)</f>
        <v>1</v>
      </c>
      <c r="EM13">
        <f>ROUNDUP((Calculator!$D$22+Calculator!$D$25-'Calc. Sdk'!EG13)/'Calc. Sdk'!EI13,0)</f>
        <v>1</v>
      </c>
      <c r="EO13">
        <v>11</v>
      </c>
      <c r="EP13" t="str">
        <v>D90KS</v>
      </c>
      <c r="EQ13">
        <v>11</v>
      </c>
      <c r="ER13">
        <v>71</v>
      </c>
      <c r="ES13">
        <v>11</v>
      </c>
      <c r="ET13">
        <v>120</v>
      </c>
      <c r="EU13">
        <v>11</v>
      </c>
      <c r="EV13">
        <v>2</v>
      </c>
      <c r="EX13">
        <f>(EX8/60)</f>
        <v>4.4709859014766895</v>
      </c>
      <c r="EY13" t="str">
        <v>hr</v>
      </c>
      <c r="FA13">
        <v>11</v>
      </c>
      <c r="FB13" t="str">
        <v>D90KS</v>
      </c>
      <c r="FC13">
        <v>11</v>
      </c>
      <c r="FD13">
        <v>110000</v>
      </c>
      <c r="FE13">
        <v>11</v>
      </c>
      <c r="FF13">
        <f>4.95*$DD$2*$DH$20*(FD13/1000)^1.6/$DG$9</f>
        <v>6661.802691900133</v>
      </c>
      <c r="FH13">
        <v>6</v>
      </c>
      <c r="FI13">
        <v>25</v>
      </c>
      <c r="FJ13">
        <v>6</v>
      </c>
      <c r="FK13">
        <v>0.935</v>
      </c>
      <c r="FP13" t="str">
        <v>Charger</v>
      </c>
      <c r="FW13" t="str">
        <v>Moderate</v>
      </c>
      <c r="FX13">
        <v>0.95</v>
      </c>
      <c r="FY13">
        <v>20000</v>
      </c>
    </row>
    <row r="14">
      <c r="AD14">
        <v>12</v>
      </c>
      <c r="AE14" t="str">
        <v>1190E</v>
      </c>
      <c r="AF14">
        <v>30</v>
      </c>
      <c r="AK14">
        <v>12</v>
      </c>
      <c r="AL14" t="str">
        <f>IF($AB$6="Rotary","D90KS 72","")</f>
        <v>D90KS 72</v>
      </c>
      <c r="AM14">
        <v>12</v>
      </c>
      <c r="AN14">
        <v>194</v>
      </c>
      <c r="AO14">
        <v>12</v>
      </c>
      <c r="AP14">
        <v>219</v>
      </c>
      <c r="AQ14">
        <v>12</v>
      </c>
      <c r="AR14">
        <v>229</v>
      </c>
      <c r="AS14">
        <v>12</v>
      </c>
      <c r="AT14">
        <v>244</v>
      </c>
      <c r="AU14">
        <v>12</v>
      </c>
      <c r="AV14">
        <v>254</v>
      </c>
      <c r="AW14">
        <v>12</v>
      </c>
      <c r="AX14">
        <v>260</v>
      </c>
      <c r="AY14">
        <v>12</v>
      </c>
      <c r="BE14">
        <v>12</v>
      </c>
      <c r="BF14" t="str">
        <f>IF($AB$6="Rotary","D90KS 72","")</f>
        <v>D90KS 72</v>
      </c>
      <c r="BK14">
        <v>12</v>
      </c>
      <c r="BL14" t="str">
        <v>D90KS 65</v>
      </c>
      <c r="BM14">
        <v>12</v>
      </c>
      <c r="BN14">
        <v>2600</v>
      </c>
      <c r="BO14">
        <v>12</v>
      </c>
      <c r="BP14">
        <v>3000</v>
      </c>
      <c r="BQ14">
        <v>12</v>
      </c>
      <c r="BR14">
        <v>3800</v>
      </c>
      <c r="BS14">
        <v>12</v>
      </c>
      <c r="BX14">
        <v>12</v>
      </c>
      <c r="BY14" t="str">
        <v>D90KS65</v>
      </c>
      <c r="BZ14">
        <v>12</v>
      </c>
      <c r="CB14">
        <v>12</v>
      </c>
      <c r="CD14">
        <v>12</v>
      </c>
      <c r="CG14">
        <v>4</v>
      </c>
      <c r="CH14" t="str">
        <v>D45KS40</v>
      </c>
      <c r="CK14">
        <v>4</v>
      </c>
      <c r="CL14">
        <v>152</v>
      </c>
      <c r="CM14">
        <v>4</v>
      </c>
      <c r="CN14">
        <v>159</v>
      </c>
      <c r="CO14">
        <v>4</v>
      </c>
      <c r="CP14">
        <v>171</v>
      </c>
      <c r="CQ14">
        <v>4</v>
      </c>
      <c r="CR14">
        <v>200</v>
      </c>
      <c r="CS14">
        <v>4</v>
      </c>
      <c r="CT14">
        <v>203</v>
      </c>
      <c r="CU14">
        <v>4</v>
      </c>
      <c r="CV14">
        <v>216</v>
      </c>
      <c r="CW14">
        <v>4</v>
      </c>
      <c r="CX14">
        <v>229</v>
      </c>
      <c r="CY14">
        <v>4</v>
      </c>
      <c r="DB14">
        <f>IF(CN10=0,"",+CN10)</f>
        <v>251</v>
      </c>
      <c r="DL14" t="str">
        <v>cyd per ft drilled</v>
      </c>
      <c r="DM14">
        <f>+Calculator!I22*Calculator!I25/27*((Calculator!D22/(Calculator!D22+Calculator!D25)))</f>
        <v>19.534504089584306</v>
      </c>
      <c r="DN14" t="str">
        <v>yd³/ft</v>
      </c>
      <c r="DO14">
        <f>+DM14*0.7645549/0.3048</f>
        <v>49.000002692787795</v>
      </c>
      <c r="DP14" t="str">
        <v>m³/m</v>
      </c>
      <c r="EA14" t="str">
        <v>D90KS65</v>
      </c>
      <c r="EB14">
        <v>12</v>
      </c>
      <c r="EC14">
        <v>0</v>
      </c>
      <c r="ED14">
        <v>12</v>
      </c>
      <c r="EE14" t="str">
        <v>D90KS65</v>
      </c>
      <c r="EF14">
        <v>12</v>
      </c>
      <c r="EG14">
        <v>65</v>
      </c>
      <c r="EH14">
        <v>12</v>
      </c>
      <c r="EI14">
        <v>32.5</v>
      </c>
      <c r="EJ14">
        <v>12</v>
      </c>
      <c r="EK14">
        <v>0</v>
      </c>
      <c r="EL14">
        <f>IF((+Calculator!$D$22+Calculator!$D$25)-'Calc. Sdk'!EG14-('Calc. Sdk'!EI14*'Calc. Sdk'!EK14)&gt;0,"Too deep",+'Calc. Sdk'!EM14)</f>
        <v>-1</v>
      </c>
      <c r="EM14">
        <f>ROUNDUP((Calculator!$D$22+Calculator!$D$25-'Calc. Sdk'!EG14)/'Calc. Sdk'!EI14,0)</f>
        <v>-1</v>
      </c>
      <c r="EO14">
        <v>12</v>
      </c>
      <c r="EP14" t="str">
        <v>D90KS65</v>
      </c>
      <c r="EQ14">
        <v>12</v>
      </c>
      <c r="ER14">
        <v>75</v>
      </c>
      <c r="ES14">
        <v>12</v>
      </c>
      <c r="ET14">
        <v>98</v>
      </c>
      <c r="EU14">
        <v>12</v>
      </c>
      <c r="EV14">
        <v>3</v>
      </c>
      <c r="EX14">
        <f>EX21/EX13</f>
        <v>4.025957673911455</v>
      </c>
      <c r="EY14" t="str">
        <v>m/hr</v>
      </c>
      <c r="FA14">
        <v>12</v>
      </c>
      <c r="FB14" t="str">
        <v>D90KS65</v>
      </c>
      <c r="FC14">
        <v>12</v>
      </c>
      <c r="FD14">
        <v>110000</v>
      </c>
      <c r="FE14">
        <v>12</v>
      </c>
      <c r="FF14">
        <f>4.95*$DD$2*$DH$20*(FD14/1000)^1.6/$DG$9</f>
        <v>6661.802691900133</v>
      </c>
      <c r="FH14">
        <v>7</v>
      </c>
      <c r="FI14">
        <v>30</v>
      </c>
      <c r="FJ14">
        <v>7</v>
      </c>
      <c r="FK14">
        <v>0.92</v>
      </c>
      <c r="FP14" t="str">
        <v>M55</v>
      </c>
      <c r="FW14" t="str">
        <v>Heavy</v>
      </c>
      <c r="FX14">
        <v>0.91</v>
      </c>
      <c r="FY14">
        <v>30000</v>
      </c>
    </row>
    <row r="15">
      <c r="AB15" t="str">
        <f>IF(AB2="Imperial","cfm","m³/min")</f>
        <v>cfm</v>
      </c>
      <c r="AD15">
        <v>13</v>
      </c>
      <c r="AE15" t="str">
        <v>1190E "65"</v>
      </c>
      <c r="AF15">
        <v>20</v>
      </c>
      <c r="AK15">
        <v>13</v>
      </c>
      <c r="AL15" t="str">
        <f>IF($AB$6="Rotary","1190E 46","")</f>
        <v>1190E 46</v>
      </c>
      <c r="AM15">
        <v>13</v>
      </c>
      <c r="AN15">
        <v>194</v>
      </c>
      <c r="AO15">
        <v>13</v>
      </c>
      <c r="AP15">
        <v>219</v>
      </c>
      <c r="AQ15">
        <v>13</v>
      </c>
      <c r="AR15">
        <v>229</v>
      </c>
      <c r="AS15">
        <v>13</v>
      </c>
      <c r="AT15">
        <v>244</v>
      </c>
      <c r="AU15">
        <v>13</v>
      </c>
      <c r="AV15">
        <v>254</v>
      </c>
      <c r="AW15">
        <v>13</v>
      </c>
      <c r="AX15">
        <v>260</v>
      </c>
      <c r="AY15">
        <v>13</v>
      </c>
      <c r="AZ15">
        <v>273</v>
      </c>
      <c r="BE15">
        <v>13</v>
      </c>
      <c r="BF15" t="str">
        <f>IF($AB$6="Rotary","1190E 46","")</f>
        <v>1190E 46</v>
      </c>
      <c r="BK15">
        <v>13</v>
      </c>
      <c r="BL15" t="str">
        <v>1190E</v>
      </c>
      <c r="BM15">
        <v>13</v>
      </c>
      <c r="BN15">
        <f>IF(BK2&gt;11,BJ2,"")</f>
        <v>2870</v>
      </c>
      <c r="BO15">
        <v>13</v>
      </c>
      <c r="BQ15">
        <v>13</v>
      </c>
      <c r="BS15">
        <v>13</v>
      </c>
      <c r="BX15">
        <v>13</v>
      </c>
      <c r="BY15" t="str">
        <v>1190E</v>
      </c>
      <c r="BZ15">
        <v>13</v>
      </c>
      <c r="CB15">
        <v>13</v>
      </c>
      <c r="CD15">
        <v>13</v>
      </c>
      <c r="CG15">
        <v>5</v>
      </c>
      <c r="CH15" t="str">
        <v>D50KS34</v>
      </c>
      <c r="CK15">
        <v>5</v>
      </c>
      <c r="CL15">
        <v>152</v>
      </c>
      <c r="CM15">
        <v>5</v>
      </c>
      <c r="CN15">
        <v>159</v>
      </c>
      <c r="CO15">
        <v>5</v>
      </c>
      <c r="CP15">
        <v>171</v>
      </c>
      <c r="CQ15">
        <v>5</v>
      </c>
      <c r="CR15">
        <v>200</v>
      </c>
      <c r="CS15">
        <v>5</v>
      </c>
      <c r="CT15">
        <v>216</v>
      </c>
      <c r="CU15">
        <v>5</v>
      </c>
      <c r="CV15">
        <v>229</v>
      </c>
      <c r="CW15">
        <v>5</v>
      </c>
      <c r="CX15">
        <v>251</v>
      </c>
      <c r="CY15">
        <v>5</v>
      </c>
      <c r="DB15">
        <f>IF(CP10=0,"",+CP10)</f>
        <v>270</v>
      </c>
      <c r="DH15" t="str">
        <v>Rotary power</v>
      </c>
      <c r="DL15" t="str">
        <v>ton per ft drilled</v>
      </c>
      <c r="DM15">
        <f>+DM14*Calculator!N25</f>
        <v>29.3986472746608</v>
      </c>
      <c r="DN15" t="str">
        <v>ton/ft</v>
      </c>
      <c r="DO15">
        <f>+DO14*Calculator!N24</f>
        <v>98.00000538557559</v>
      </c>
      <c r="DP15" t="str">
        <v>tonne/m</v>
      </c>
      <c r="EA15" t="str">
        <v>1190E</v>
      </c>
      <c r="EB15">
        <v>13</v>
      </c>
      <c r="EC15">
        <v>0.5</v>
      </c>
      <c r="ED15">
        <v>13</v>
      </c>
      <c r="EE15" t="str">
        <v>1190E</v>
      </c>
      <c r="EF15">
        <v>13</v>
      </c>
      <c r="EG15">
        <v>38.6</v>
      </c>
      <c r="EH15">
        <v>13</v>
      </c>
      <c r="EI15">
        <v>40</v>
      </c>
      <c r="EJ15">
        <v>13</v>
      </c>
      <c r="EK15">
        <v>6</v>
      </c>
      <c r="EL15">
        <f>IF((+Calculator!$D$22+Calculator!$D$25)-'Calc. Sdk'!EG15-('Calc. Sdk'!EI15*'Calc. Sdk'!EK15)&gt;0,"Too deep",+'Calc. Sdk'!EM15)</f>
        <v>1</v>
      </c>
      <c r="EM15">
        <f>ROUNDUP((Calculator!$D$22+Calculator!$D$25-'Calc. Sdk'!EG15)/'Calc. Sdk'!EI15,0)</f>
        <v>1</v>
      </c>
      <c r="EO15">
        <v>13</v>
      </c>
      <c r="EP15" t="str">
        <v>1190E</v>
      </c>
      <c r="EQ15">
        <v>13</v>
      </c>
      <c r="ER15">
        <v>71</v>
      </c>
      <c r="ES15">
        <v>13</v>
      </c>
      <c r="ET15">
        <v>120</v>
      </c>
      <c r="EU15">
        <v>13</v>
      </c>
      <c r="EV15">
        <v>3</v>
      </c>
      <c r="FA15">
        <v>13</v>
      </c>
      <c r="FB15" t="str">
        <v>1190E</v>
      </c>
      <c r="FC15">
        <v>13</v>
      </c>
      <c r="FD15">
        <v>110000</v>
      </c>
      <c r="FE15">
        <v>13</v>
      </c>
      <c r="FF15">
        <f>4.95*$DD$2*$DH$20*(FD15/1000)^1.6/$DG$9</f>
        <v>6661.802691900133</v>
      </c>
      <c r="FY15">
        <v>40000</v>
      </c>
    </row>
    <row r="16">
      <c r="AB16" t="str">
        <f>IF(AB2="Imperial","m³/min","cfm")</f>
        <v>m³/min</v>
      </c>
      <c r="AD16">
        <v>15</v>
      </c>
      <c r="AE16" t="str">
        <v>DR412i MP</v>
      </c>
      <c r="AK16">
        <v>14</v>
      </c>
      <c r="AL16" t="str">
        <f>IF($AB$6="Rotary","1190E 72","")</f>
        <v>1190E 72</v>
      </c>
      <c r="AM16">
        <v>14</v>
      </c>
      <c r="AN16">
        <v>194</v>
      </c>
      <c r="AO16">
        <v>14</v>
      </c>
      <c r="AP16">
        <v>219</v>
      </c>
      <c r="AQ16">
        <v>14</v>
      </c>
      <c r="AR16">
        <v>229</v>
      </c>
      <c r="AS16">
        <v>14</v>
      </c>
      <c r="AT16">
        <v>244</v>
      </c>
      <c r="AU16">
        <v>14</v>
      </c>
      <c r="AV16">
        <v>254</v>
      </c>
      <c r="AW16">
        <v>14</v>
      </c>
      <c r="AX16">
        <v>260</v>
      </c>
      <c r="AY16">
        <v>14</v>
      </c>
      <c r="AZ16">
        <v>273</v>
      </c>
      <c r="BE16">
        <v>14</v>
      </c>
      <c r="BF16" t="str">
        <f>IF($AB$6="Rotary","1190E 72","")</f>
        <v>1190E 72</v>
      </c>
      <c r="BK16">
        <v>14</v>
      </c>
      <c r="BL16" t="str">
        <v>1190E 65</v>
      </c>
      <c r="BM16">
        <v>14</v>
      </c>
      <c r="BN16">
        <f>IF(BK2&gt;11,BJ2,"")</f>
        <v>2870</v>
      </c>
      <c r="BO16">
        <v>14</v>
      </c>
      <c r="BQ16">
        <v>14</v>
      </c>
      <c r="BS16">
        <v>14</v>
      </c>
      <c r="BX16">
        <v>14</v>
      </c>
      <c r="BY16" t="str">
        <v>1190E 65</v>
      </c>
      <c r="BZ16">
        <v>14</v>
      </c>
      <c r="CB16">
        <v>14</v>
      </c>
      <c r="CD16">
        <v>14</v>
      </c>
      <c r="CG16">
        <v>6</v>
      </c>
      <c r="CH16" t="str">
        <v>D50KS40</v>
      </c>
      <c r="CK16">
        <v>6</v>
      </c>
      <c r="CL16">
        <v>152</v>
      </c>
      <c r="CM16">
        <v>6</v>
      </c>
      <c r="CN16">
        <v>159</v>
      </c>
      <c r="CO16">
        <v>6</v>
      </c>
      <c r="CP16">
        <v>171</v>
      </c>
      <c r="CQ16">
        <v>6</v>
      </c>
      <c r="CR16">
        <v>200</v>
      </c>
      <c r="CS16">
        <v>6</v>
      </c>
      <c r="CT16">
        <v>216</v>
      </c>
      <c r="CU16">
        <v>6</v>
      </c>
      <c r="CV16">
        <v>229</v>
      </c>
      <c r="CW16">
        <v>6</v>
      </c>
      <c r="CX16">
        <v>251</v>
      </c>
      <c r="CY16">
        <v>6</v>
      </c>
      <c r="DB16">
        <f>IF(CR10=0,"",+CR10)</f>
        <v>279</v>
      </c>
      <c r="DG16" t="str">
        <v>W</v>
      </c>
      <c r="DH16">
        <f>IF(Calculator!E27="",+DE2*DH17*DT16/5,Calculator!E27)</f>
        <v>97672.07123476491</v>
      </c>
      <c r="DQ16">
        <v>2</v>
      </c>
      <c r="DR16" t="str">
        <f>LOOKUP(DQ16,DQ17:DR18)</f>
        <v>Charger</v>
      </c>
      <c r="DS16">
        <f>+CG2</f>
        <v>2</v>
      </c>
      <c r="DT16">
        <f>LOOKUP(DS16,DS17:DT18)</f>
        <v>1.1</v>
      </c>
      <c r="EA16" t="str">
        <v>1190E 65</v>
      </c>
      <c r="EB16">
        <v>14</v>
      </c>
      <c r="EC16">
        <v>0</v>
      </c>
      <c r="ED16">
        <v>14</v>
      </c>
      <c r="EE16" t="str">
        <v>1190E 65</v>
      </c>
      <c r="EF16">
        <v>14</v>
      </c>
      <c r="EG16">
        <v>65</v>
      </c>
      <c r="EH16">
        <v>14</v>
      </c>
      <c r="EI16">
        <v>32.5</v>
      </c>
      <c r="EJ16">
        <v>14</v>
      </c>
      <c r="EK16">
        <v>0</v>
      </c>
      <c r="EL16">
        <f>IF((+Calculator!$D$22+Calculator!$D$25)-'Calc. Sdk'!EG16-('Calc. Sdk'!EI16*'Calc. Sdk'!EK16)&gt;0,"Too deep",+'Calc. Sdk'!EM16)</f>
        <v>-1</v>
      </c>
      <c r="EM16">
        <f>ROUNDUP((Calculator!$D$22+Calculator!$D$25-'Calc. Sdk'!EG16)/'Calc. Sdk'!EI16,0)</f>
        <v>-1</v>
      </c>
      <c r="EO16">
        <v>14</v>
      </c>
      <c r="EP16" t="str">
        <v>1190E 65</v>
      </c>
      <c r="EQ16">
        <v>14</v>
      </c>
      <c r="ER16">
        <v>75</v>
      </c>
      <c r="ES16">
        <v>14</v>
      </c>
      <c r="ET16">
        <v>98</v>
      </c>
      <c r="EU16">
        <v>14</v>
      </c>
      <c r="EV16">
        <v>4</v>
      </c>
      <c r="EX16">
        <f>EX12*EX9</f>
        <v>4.025957673911455</v>
      </c>
      <c r="FA16">
        <v>14</v>
      </c>
      <c r="FB16" t="str">
        <v>1190E 65</v>
      </c>
      <c r="FC16">
        <v>14</v>
      </c>
      <c r="FD16">
        <v>110000</v>
      </c>
      <c r="FE16">
        <v>14</v>
      </c>
      <c r="FF16">
        <f>4.95*$DD$2*$DH$20*(FD16/1000)^1.6/$DG$9</f>
        <v>6661.802691900133</v>
      </c>
      <c r="FO16" t="str">
        <v>UNITS</v>
      </c>
      <c r="FP16" t="str">
        <v>MAX RPM</v>
      </c>
      <c r="FQ16" t="str">
        <v>MIN Hole</v>
      </c>
      <c r="FR16" t="str">
        <v>MAX Hole</v>
      </c>
      <c r="FS16" t="str">
        <v>Max Pulldown</v>
      </c>
      <c r="FY16">
        <v>50000</v>
      </c>
    </row>
    <row r="17">
      <c r="AD17">
        <v>16</v>
      </c>
      <c r="AE17" t="str">
        <v>DR412i SP</v>
      </c>
      <c r="AK17">
        <v>15</v>
      </c>
      <c r="AL17" t="str">
        <f>IF($AB$6="Rotary","DR412i MP",IF($AB$6="DTH","DR412i MP",""))</f>
        <v>DR412i MP</v>
      </c>
      <c r="AM17">
        <v>15</v>
      </c>
      <c r="AN17">
        <v>178</v>
      </c>
      <c r="AO17">
        <v>15</v>
      </c>
      <c r="AP17">
        <v>194</v>
      </c>
      <c r="AQ17">
        <v>15</v>
      </c>
      <c r="AR17">
        <v>203</v>
      </c>
      <c r="AS17">
        <v>15</v>
      </c>
      <c r="AT17">
        <v>219</v>
      </c>
      <c r="AU17">
        <v>15</v>
      </c>
      <c r="AW17">
        <v>15</v>
      </c>
      <c r="AY17">
        <v>15</v>
      </c>
      <c r="BE17">
        <v>15</v>
      </c>
      <c r="BF17" t="str">
        <f>IF($AB$6="Rotary","DR412i MP",IF($AB$6="DTH","DR412i MP",""))</f>
        <v>DR412i MP</v>
      </c>
      <c r="BK17">
        <v>15</v>
      </c>
      <c r="BL17" t="str">
        <v>DR412i MP</v>
      </c>
      <c r="BM17">
        <v>15</v>
      </c>
      <c r="BN17">
        <v>1600</v>
      </c>
      <c r="BO17">
        <v>15</v>
      </c>
      <c r="BP17">
        <v>2000</v>
      </c>
      <c r="BQ17">
        <v>15</v>
      </c>
      <c r="BS17">
        <v>15</v>
      </c>
      <c r="BX17">
        <v>15</v>
      </c>
      <c r="BY17" t="str">
        <v>DR412i MP</v>
      </c>
      <c r="BZ17">
        <v>15</v>
      </c>
      <c r="CA17">
        <v>1450</v>
      </c>
      <c r="CB17">
        <v>15</v>
      </c>
      <c r="CD17">
        <v>15</v>
      </c>
      <c r="CG17">
        <v>7</v>
      </c>
      <c r="CH17" t="str">
        <v>D55SP</v>
      </c>
      <c r="CK17">
        <v>7</v>
      </c>
      <c r="CL17">
        <v>200</v>
      </c>
      <c r="CM17">
        <v>7</v>
      </c>
      <c r="CN17">
        <v>216</v>
      </c>
      <c r="CO17">
        <v>7</v>
      </c>
      <c r="CP17">
        <v>229</v>
      </c>
      <c r="CQ17">
        <v>7</v>
      </c>
      <c r="CR17">
        <v>251</v>
      </c>
      <c r="CS17">
        <v>7</v>
      </c>
      <c r="CU17">
        <v>7</v>
      </c>
      <c r="CW17">
        <v>7</v>
      </c>
      <c r="CY17">
        <v>7</v>
      </c>
      <c r="DB17">
        <f>IF(CT10=0,"",+CT10)</f>
        <v>311</v>
      </c>
      <c r="DG17" t="str">
        <v>C</v>
      </c>
      <c r="DH17">
        <f>+DG9</f>
        <v>36259.43597432078</v>
      </c>
      <c r="DL17" t="str">
        <v>ft drilled</v>
      </c>
      <c r="DM17">
        <f>+DM11/DM15</f>
        <v>993583.1307849529</v>
      </c>
      <c r="DQ17">
        <v>1</v>
      </c>
      <c r="DR17" t="str">
        <v>Std bit</v>
      </c>
      <c r="DS17">
        <v>1</v>
      </c>
      <c r="DT17">
        <v>1</v>
      </c>
      <c r="EA17" t="str">
        <v>DR412i MP</v>
      </c>
      <c r="EB17">
        <v>15</v>
      </c>
      <c r="EC17">
        <v>0.35</v>
      </c>
      <c r="ED17">
        <v>15</v>
      </c>
      <c r="EE17" t="str">
        <v>DR412i MP</v>
      </c>
      <c r="EF17">
        <v>15</v>
      </c>
      <c r="EG17">
        <v>40.6</v>
      </c>
      <c r="EH17">
        <v>15</v>
      </c>
      <c r="EI17">
        <v>42</v>
      </c>
      <c r="EJ17">
        <v>15</v>
      </c>
      <c r="EK17">
        <v>5</v>
      </c>
      <c r="EL17">
        <f>IF((+Calculator!$D$22+Calculator!$D$25)-'Calc. Sdk'!EG17-('Calc. Sdk'!EI17*'Calc. Sdk'!EK17)&gt;0,"Too deep",+'Calc. Sdk'!EM17)</f>
        <v>1</v>
      </c>
      <c r="EM17">
        <f>ROUNDUP((Calculator!$D$22+Calculator!$D$25-'Calc. Sdk'!EG17)/'Calc. Sdk'!EI17,0)</f>
        <v>1</v>
      </c>
      <c r="EO17">
        <v>15</v>
      </c>
      <c r="EP17" t="str">
        <v>DR412i MP</v>
      </c>
      <c r="EQ17">
        <v>15</v>
      </c>
      <c r="ER17">
        <v>68</v>
      </c>
      <c r="ES17">
        <v>15</v>
      </c>
      <c r="ET17">
        <v>176</v>
      </c>
      <c r="EU17">
        <v>15</v>
      </c>
      <c r="EV17">
        <v>1.2</v>
      </c>
      <c r="FA17">
        <v>15</v>
      </c>
      <c r="FB17" t="str">
        <v>DR412i MP</v>
      </c>
      <c r="FC17">
        <v>15</v>
      </c>
      <c r="FD17">
        <v>80000</v>
      </c>
      <c r="FE17">
        <v>15</v>
      </c>
      <c r="FF17">
        <f>4.95*$DD$2*$DH$20*(FD17/1000)^1.6/$DG$9</f>
        <v>4002.279815354027</v>
      </c>
      <c r="FN17">
        <v>1</v>
      </c>
      <c r="FO17" t="str">
        <v>D245S</v>
      </c>
      <c r="FP17">
        <v>146</v>
      </c>
      <c r="FQ17">
        <v>5</v>
      </c>
      <c r="FR17">
        <v>7.875</v>
      </c>
      <c r="FS17">
        <v>45000</v>
      </c>
      <c r="FY17">
        <v>60000</v>
      </c>
    </row>
    <row r="18">
      <c r="AD18">
        <v>17</v>
      </c>
      <c r="AE18" t="str">
        <v>DR540</v>
      </c>
      <c r="AK18">
        <v>16</v>
      </c>
      <c r="AL18" t="str">
        <f>IF($AB$6="Rotary","DR412i SP",IF($AB$6="DTH","DR412i SP",""))</f>
        <v>DR412i SP</v>
      </c>
      <c r="AM18">
        <v>16</v>
      </c>
      <c r="AN18">
        <v>178</v>
      </c>
      <c r="AO18">
        <v>16</v>
      </c>
      <c r="AP18">
        <v>194</v>
      </c>
      <c r="AQ18">
        <v>16</v>
      </c>
      <c r="AR18">
        <v>203</v>
      </c>
      <c r="AS18">
        <v>16</v>
      </c>
      <c r="AT18">
        <v>219</v>
      </c>
      <c r="AU18">
        <v>16</v>
      </c>
      <c r="AV18">
        <v>245</v>
      </c>
      <c r="AW18">
        <v>16</v>
      </c>
      <c r="AY18">
        <v>16</v>
      </c>
      <c r="BE18">
        <v>16</v>
      </c>
      <c r="BF18" t="str">
        <f>IF($AB$6="Rotary","DR412i SP",IF($AB$6="DTH","DR412i SP",""))</f>
        <v>DR412i SP</v>
      </c>
      <c r="BK18">
        <v>16</v>
      </c>
      <c r="BL18" t="str">
        <v>DR412i SP</v>
      </c>
      <c r="BM18">
        <v>16</v>
      </c>
      <c r="BN18">
        <v>1600</v>
      </c>
      <c r="BO18">
        <v>16</v>
      </c>
      <c r="BP18">
        <v>2000</v>
      </c>
      <c r="BQ18">
        <v>16</v>
      </c>
      <c r="BS18">
        <v>16</v>
      </c>
      <c r="BX18">
        <v>16</v>
      </c>
      <c r="BY18" t="str">
        <v>DR412i SP</v>
      </c>
      <c r="BZ18">
        <v>16</v>
      </c>
      <c r="CA18">
        <v>1450</v>
      </c>
      <c r="CB18">
        <v>16</v>
      </c>
      <c r="CD18">
        <v>16</v>
      </c>
      <c r="CG18">
        <v>8</v>
      </c>
      <c r="CH18" t="str">
        <v>D75KS40</v>
      </c>
      <c r="CK18">
        <v>8</v>
      </c>
      <c r="CL18">
        <v>229</v>
      </c>
      <c r="CM18">
        <v>8</v>
      </c>
      <c r="CN18">
        <v>251</v>
      </c>
      <c r="CO18">
        <v>8</v>
      </c>
      <c r="CP18">
        <v>270</v>
      </c>
      <c r="CQ18">
        <v>8</v>
      </c>
      <c r="CR18">
        <v>279</v>
      </c>
      <c r="CS18">
        <v>8</v>
      </c>
      <c r="CU18">
        <v>8</v>
      </c>
      <c r="CW18">
        <v>8</v>
      </c>
      <c r="CY18">
        <v>8</v>
      </c>
      <c r="DB18" t="str">
        <f>IF(CV10=0,"",+CV10)</f>
        <v/>
      </c>
      <c r="DG18" t="str">
        <v>D</v>
      </c>
      <c r="DH18">
        <f>DE2</f>
        <v>12.244094488188978</v>
      </c>
      <c r="DQ18">
        <v>2</v>
      </c>
      <c r="DR18" t="str">
        <v>Charger</v>
      </c>
      <c r="DS18">
        <v>2</v>
      </c>
      <c r="DT18">
        <v>1.1</v>
      </c>
      <c r="EA18" t="str">
        <v>DR412i SP</v>
      </c>
      <c r="EB18">
        <v>16</v>
      </c>
      <c r="EC18">
        <v>0.35</v>
      </c>
      <c r="ED18">
        <v>16</v>
      </c>
      <c r="EE18" t="str">
        <v>DR412i SP</v>
      </c>
      <c r="EF18">
        <v>16</v>
      </c>
      <c r="EG18">
        <v>59</v>
      </c>
      <c r="EH18">
        <v>16</v>
      </c>
      <c r="EI18">
        <v>25</v>
      </c>
      <c r="EJ18">
        <v>16</v>
      </c>
      <c r="EK18">
        <v>2</v>
      </c>
      <c r="EL18">
        <f>IF((+Calculator!$D$22+Calculator!$D$25)-'Calc. Sdk'!EG18-('Calc. Sdk'!EI18*'Calc. Sdk'!EK18)&gt;0,"Too deep",+'Calc. Sdk'!EM18)</f>
        <v>1</v>
      </c>
      <c r="EM18">
        <f>ROUNDUP((Calculator!$D$22+Calculator!$D$25-'Calc. Sdk'!EG18)/'Calc. Sdk'!EI18,0)</f>
        <v>1</v>
      </c>
      <c r="EO18">
        <v>16</v>
      </c>
      <c r="EP18" t="str">
        <v>DR412i SP</v>
      </c>
      <c r="EQ18">
        <v>16</v>
      </c>
      <c r="ER18">
        <v>144</v>
      </c>
      <c r="ES18">
        <v>16</v>
      </c>
      <c r="ET18">
        <v>144</v>
      </c>
      <c r="EU18">
        <v>16</v>
      </c>
      <c r="EV18">
        <v>2</v>
      </c>
      <c r="EW18" t="str">
        <v>Bench Height</v>
      </c>
      <c r="EX18">
        <f>Calculator!D21</f>
        <v>18</v>
      </c>
      <c r="EY18" t="str">
        <v>m</v>
      </c>
      <c r="FA18">
        <v>16</v>
      </c>
      <c r="FB18" t="str">
        <v>DR412i SP</v>
      </c>
      <c r="FC18">
        <v>16</v>
      </c>
      <c r="FD18">
        <v>80000</v>
      </c>
      <c r="FE18">
        <v>16</v>
      </c>
      <c r="FF18">
        <f>4.95*$DD$2*$DH$20*(FD18/1000)^1.6/$DG$9</f>
        <v>4002.279815354027</v>
      </c>
      <c r="FN18">
        <v>5</v>
      </c>
      <c r="FO18" t="str">
        <v>D50KS 34</v>
      </c>
      <c r="FP18">
        <v>194</v>
      </c>
      <c r="FQ18">
        <v>6</v>
      </c>
      <c r="FR18">
        <v>9.875</v>
      </c>
      <c r="FS18">
        <v>50000</v>
      </c>
      <c r="FY18">
        <v>70000</v>
      </c>
    </row>
    <row r="19">
      <c r="AD19">
        <v>18</v>
      </c>
      <c r="AE19" t="str">
        <v>DR560</v>
      </c>
      <c r="AK19">
        <v>17</v>
      </c>
      <c r="AL19" t="str">
        <f>IF($AB$6="DTH","DR540","")</f>
        <v/>
      </c>
      <c r="AM19">
        <v>17</v>
      </c>
      <c r="AN19">
        <v>89</v>
      </c>
      <c r="AO19">
        <v>17</v>
      </c>
      <c r="AP19">
        <v>102</v>
      </c>
      <c r="AQ19">
        <v>17</v>
      </c>
      <c r="AR19">
        <v>114</v>
      </c>
      <c r="AS19">
        <v>17</v>
      </c>
      <c r="AT19">
        <v>127</v>
      </c>
      <c r="AU19">
        <v>17</v>
      </c>
      <c r="AV19">
        <v>140</v>
      </c>
      <c r="AW19">
        <v>17</v>
      </c>
      <c r="AY19">
        <v>17</v>
      </c>
      <c r="BE19">
        <v>17</v>
      </c>
      <c r="BF19" t="str">
        <f>IF($AB$6="DTH","DR540","")</f>
        <v/>
      </c>
      <c r="BK19">
        <v>17</v>
      </c>
      <c r="BL19" t="str">
        <v>160D</v>
      </c>
      <c r="BM19">
        <v>17</v>
      </c>
      <c r="BN19">
        <v>600</v>
      </c>
      <c r="BO19">
        <v>17</v>
      </c>
      <c r="BX19">
        <v>17</v>
      </c>
      <c r="BY19" t="str">
        <v>DR540</v>
      </c>
      <c r="BZ19">
        <v>17</v>
      </c>
      <c r="CA19">
        <v>900</v>
      </c>
      <c r="CB19">
        <v>17</v>
      </c>
      <c r="CC19">
        <v>1050</v>
      </c>
      <c r="CD19">
        <v>17</v>
      </c>
      <c r="CF19">
        <v>17</v>
      </c>
      <c r="CG19">
        <v>9</v>
      </c>
      <c r="CH19" t="str">
        <v>DR46048</v>
      </c>
      <c r="CK19">
        <v>9</v>
      </c>
      <c r="CL19">
        <v>229</v>
      </c>
      <c r="CM19">
        <v>9</v>
      </c>
      <c r="CN19">
        <v>251</v>
      </c>
      <c r="CO19">
        <v>9</v>
      </c>
      <c r="CP19">
        <v>270</v>
      </c>
      <c r="CQ19">
        <v>9</v>
      </c>
      <c r="CR19">
        <v>279</v>
      </c>
      <c r="CS19">
        <v>9</v>
      </c>
      <c r="CU19">
        <v>9</v>
      </c>
      <c r="CW19">
        <v>9</v>
      </c>
      <c r="CX19">
        <v>216</v>
      </c>
      <c r="CY19">
        <v>9</v>
      </c>
      <c r="DB19" t="str">
        <f>IF(CX10=0,"",+CX10)</f>
        <v/>
      </c>
      <c r="DG19" t="str">
        <v>HP</v>
      </c>
      <c r="DH19">
        <f>+(4.95*DH18*DH20*(DH16/1000)^1.6)/DH17</f>
        <v>216.85147911779663</v>
      </c>
      <c r="EA19" t="str">
        <v>DR540</v>
      </c>
      <c r="EB19">
        <v>17</v>
      </c>
      <c r="EC19">
        <v>0.2</v>
      </c>
      <c r="ED19">
        <v>17</v>
      </c>
      <c r="EE19" t="str">
        <v>DR540</v>
      </c>
      <c r="EF19">
        <v>17</v>
      </c>
      <c r="EG19">
        <v>21.3</v>
      </c>
      <c r="EH19">
        <v>17</v>
      </c>
      <c r="EI19">
        <v>20</v>
      </c>
      <c r="EJ19">
        <v>17</v>
      </c>
      <c r="EK19">
        <f>IF($BB$2=5.5,$EK$25,IF($BB$2=3.5,$EL$25,IF($BB$2=4,$EM$25,6)))</f>
        <v>6</v>
      </c>
      <c r="EL19">
        <f>IF((+Calculator!$D$22+Calculator!$D$25)-'Calc. Sdk'!EG19-('Calc. Sdk'!EI19*'Calc. Sdk'!EK19)&gt;0,"Too deep",+'Calc. Sdk'!EM19)</f>
        <v>2</v>
      </c>
      <c r="EM19">
        <f>ROUNDUP((Calculator!$D$22+Calculator!$D$25-'Calc. Sdk'!EG19)/'Calc. Sdk'!EI19,0)</f>
        <v>2</v>
      </c>
      <c r="EO19">
        <v>17</v>
      </c>
      <c r="EP19" t="str">
        <v>DR540</v>
      </c>
      <c r="EQ19">
        <v>17</v>
      </c>
      <c r="ER19">
        <v>257</v>
      </c>
      <c r="ES19">
        <v>17</v>
      </c>
      <c r="ET19">
        <v>257</v>
      </c>
      <c r="EU19">
        <v>17</v>
      </c>
      <c r="EV19">
        <v>1</v>
      </c>
      <c r="EW19" t="str">
        <v>SubDrill</v>
      </c>
      <c r="EX19">
        <f>Calculator!D24</f>
        <v>0</v>
      </c>
      <c r="EY19" t="str">
        <v>m</v>
      </c>
      <c r="FA19">
        <v>17</v>
      </c>
      <c r="FB19" t="str">
        <v>DR540</v>
      </c>
      <c r="FC19">
        <v>17</v>
      </c>
      <c r="FD19">
        <v>10600</v>
      </c>
      <c r="FE19">
        <v>17</v>
      </c>
      <c r="FF19">
        <f>4.95*$DD$2*$DH$20*(FD19/1000)^1.6/$DG$9</f>
        <v>157.70768394940487</v>
      </c>
      <c r="FN19">
        <v>6</v>
      </c>
      <c r="FO19" t="str">
        <v>D50KS 40</v>
      </c>
      <c r="FP19">
        <v>194</v>
      </c>
      <c r="FQ19">
        <v>6</v>
      </c>
      <c r="FR19">
        <v>9.875</v>
      </c>
      <c r="FS19">
        <v>50000</v>
      </c>
    </row>
    <row r="20">
      <c r="AD20">
        <v>19</v>
      </c>
      <c r="AE20" t="str">
        <v>DR580</v>
      </c>
      <c r="AK20">
        <v>18</v>
      </c>
      <c r="AL20" t="str">
        <f>IF($AB$6="DTH","DR560","")</f>
        <v/>
      </c>
      <c r="AM20">
        <v>18</v>
      </c>
      <c r="AN20">
        <v>89</v>
      </c>
      <c r="AO20">
        <v>18</v>
      </c>
      <c r="AP20">
        <v>102</v>
      </c>
      <c r="AQ20">
        <v>18</v>
      </c>
      <c r="AR20">
        <v>114</v>
      </c>
      <c r="AS20">
        <v>18</v>
      </c>
      <c r="AT20">
        <v>127</v>
      </c>
      <c r="AU20">
        <v>18</v>
      </c>
      <c r="AV20">
        <v>140</v>
      </c>
      <c r="AW20">
        <v>18</v>
      </c>
      <c r="AY20">
        <v>18</v>
      </c>
      <c r="BE20">
        <v>18</v>
      </c>
      <c r="BF20" t="str">
        <f>IF($AB$6="DTH","DR560","")</f>
        <v/>
      </c>
      <c r="BK20">
        <v>18</v>
      </c>
      <c r="BL20" t="str">
        <v>DR416i</v>
      </c>
      <c r="BM20">
        <v>18</v>
      </c>
      <c r="BN20">
        <v>3850</v>
      </c>
      <c r="BO20">
        <v>18</v>
      </c>
      <c r="BX20">
        <v>18</v>
      </c>
      <c r="BY20" t="str">
        <v>DR560</v>
      </c>
      <c r="BZ20">
        <v>18</v>
      </c>
      <c r="CA20">
        <v>1150</v>
      </c>
      <c r="CB20">
        <v>18</v>
      </c>
      <c r="CC20">
        <v>1350</v>
      </c>
      <c r="CD20">
        <v>18</v>
      </c>
      <c r="CF20">
        <v>18</v>
      </c>
      <c r="CG20">
        <v>10</v>
      </c>
      <c r="CH20" t="str">
        <v>DR460 63</v>
      </c>
      <c r="CK20">
        <v>10</v>
      </c>
      <c r="CL20">
        <v>229</v>
      </c>
      <c r="CM20">
        <v>10</v>
      </c>
      <c r="CN20">
        <v>251</v>
      </c>
      <c r="CO20">
        <v>10</v>
      </c>
      <c r="CP20">
        <v>270</v>
      </c>
      <c r="CQ20">
        <v>10</v>
      </c>
      <c r="CR20">
        <v>279</v>
      </c>
      <c r="CS20">
        <v>10</v>
      </c>
      <c r="CU20">
        <v>10</v>
      </c>
      <c r="CW20">
        <v>10</v>
      </c>
      <c r="CX20">
        <v>216</v>
      </c>
      <c r="CY20">
        <v>10</v>
      </c>
      <c r="DB20" t="str">
        <f>IF(CZ10=0,"",+CZ10)</f>
        <v/>
      </c>
      <c r="DG20" t="str">
        <v>R</v>
      </c>
      <c r="DH20">
        <f>+Calculator!I27</f>
        <v>85</v>
      </c>
      <c r="DK20">
        <v>0.7645549</v>
      </c>
      <c r="EA20" t="str">
        <v>DR560</v>
      </c>
      <c r="EB20">
        <v>18</v>
      </c>
      <c r="EC20">
        <v>0.2</v>
      </c>
      <c r="ED20">
        <v>18</v>
      </c>
      <c r="EE20" t="str">
        <v>DR560</v>
      </c>
      <c r="EF20">
        <v>18</v>
      </c>
      <c r="EG20">
        <v>21.3</v>
      </c>
      <c r="EH20">
        <v>18</v>
      </c>
      <c r="EI20">
        <v>20</v>
      </c>
      <c r="EJ20">
        <v>18</v>
      </c>
      <c r="EK20">
        <f>IF($BB$2=5.5,$EK$25,IF($BB$2=3.5,$EL$25,IF($BB$2=4,$EM$25,6)))</f>
        <v>6</v>
      </c>
      <c r="EL20">
        <f>IF((+Calculator!$D$22+Calculator!$D$25)-'Calc. Sdk'!EG20-('Calc. Sdk'!EI20*'Calc. Sdk'!EK20)&gt;0,"Too deep",+'Calc. Sdk'!EM20)</f>
        <v>2</v>
      </c>
      <c r="EM20">
        <f>ROUNDUP((Calculator!$D$22+Calculator!$D$25-'Calc. Sdk'!EG20)/'Calc. Sdk'!EI20,0)</f>
        <v>2</v>
      </c>
      <c r="EO20">
        <v>18</v>
      </c>
      <c r="EP20" t="str">
        <v>DR560</v>
      </c>
      <c r="EQ20">
        <v>18</v>
      </c>
      <c r="ER20">
        <v>257</v>
      </c>
      <c r="ES20">
        <v>18</v>
      </c>
      <c r="ET20">
        <v>257</v>
      </c>
      <c r="EU20">
        <v>18</v>
      </c>
      <c r="EV20">
        <v>1</v>
      </c>
      <c r="FA20">
        <v>18</v>
      </c>
      <c r="FB20" t="str">
        <v>DR560</v>
      </c>
      <c r="FC20">
        <v>18</v>
      </c>
      <c r="FD20">
        <v>10600</v>
      </c>
      <c r="FE20">
        <v>18</v>
      </c>
      <c r="FF20">
        <f>4.95*$DD$2*$DH$20*(FD20/1000)^1.6/$DG$9</f>
        <v>157.70768394940487</v>
      </c>
      <c r="FN20">
        <v>7</v>
      </c>
      <c r="FO20" t="str">
        <v>D55SP</v>
      </c>
      <c r="FP20">
        <v>145</v>
      </c>
      <c r="FQ20">
        <v>7.875</v>
      </c>
      <c r="FR20">
        <v>9.875</v>
      </c>
      <c r="FS20">
        <v>55000</v>
      </c>
      <c r="FW20" t="str">
        <v>NECESSARY PULLDOWN REQUIRED</v>
      </c>
      <c r="GB20" t="str">
        <v>RPM/Bit Load exceeds that recommended for drill bit</v>
      </c>
    </row>
    <row r="21">
      <c r="AD21">
        <v>20</v>
      </c>
      <c r="AE21" t="str">
        <v>160D</v>
      </c>
      <c r="AK21">
        <v>19</v>
      </c>
      <c r="AL21" t="str">
        <f>IF($AB$6="DTH","DR580","")</f>
        <v/>
      </c>
      <c r="AM21">
        <v>19</v>
      </c>
      <c r="AN21">
        <v>89</v>
      </c>
      <c r="AO21">
        <v>19</v>
      </c>
      <c r="AP21">
        <v>102</v>
      </c>
      <c r="AQ21">
        <v>19</v>
      </c>
      <c r="AR21">
        <v>114</v>
      </c>
      <c r="AS21">
        <v>19</v>
      </c>
      <c r="AT21">
        <v>127</v>
      </c>
      <c r="AU21">
        <v>19</v>
      </c>
      <c r="AV21">
        <v>140</v>
      </c>
      <c r="AW21">
        <v>19</v>
      </c>
      <c r="AY21">
        <v>19</v>
      </c>
      <c r="BE21">
        <v>19</v>
      </c>
      <c r="BF21" t="str">
        <f>IF($AB$6="DTH","DR580","")</f>
        <v/>
      </c>
      <c r="BX21">
        <v>19</v>
      </c>
      <c r="BY21" t="str">
        <v>DR580</v>
      </c>
      <c r="BZ21">
        <v>19</v>
      </c>
      <c r="CA21">
        <v>1350</v>
      </c>
      <c r="CB21">
        <v>19</v>
      </c>
      <c r="CC21">
        <v>1575</v>
      </c>
      <c r="CD21">
        <v>19</v>
      </c>
      <c r="CG21">
        <v>11</v>
      </c>
      <c r="CH21" t="str">
        <v>D90KS</v>
      </c>
      <c r="CK21">
        <v>11</v>
      </c>
      <c r="CL21">
        <v>229</v>
      </c>
      <c r="CM21">
        <v>11</v>
      </c>
      <c r="CN21">
        <v>251</v>
      </c>
      <c r="CO21">
        <v>11</v>
      </c>
      <c r="CP21">
        <v>270</v>
      </c>
      <c r="CQ21">
        <v>11</v>
      </c>
      <c r="CR21">
        <v>279</v>
      </c>
      <c r="CS21">
        <v>11</v>
      </c>
      <c r="CT21">
        <v>286</v>
      </c>
      <c r="CU21">
        <v>11</v>
      </c>
      <c r="CV21">
        <v>311</v>
      </c>
      <c r="CW21">
        <v>11</v>
      </c>
      <c r="CY21">
        <v>11</v>
      </c>
      <c r="DG21" t="str">
        <v>Operator efficiency</v>
      </c>
      <c r="EA21" t="str">
        <v>DR580</v>
      </c>
      <c r="EB21">
        <v>19</v>
      </c>
      <c r="EC21">
        <v>0.2</v>
      </c>
      <c r="ED21">
        <v>19</v>
      </c>
      <c r="EE21" t="str">
        <v>DR580</v>
      </c>
      <c r="EF21">
        <v>19</v>
      </c>
      <c r="EG21">
        <v>21.3</v>
      </c>
      <c r="EH21">
        <v>19</v>
      </c>
      <c r="EI21">
        <v>20</v>
      </c>
      <c r="EJ21">
        <v>19</v>
      </c>
      <c r="EK21">
        <f>IF($BB$2=5.5,$EK$25,IF($BB$2=3.5,$EL$25,IF($BB$2=4,$EM$25,6)))</f>
        <v>6</v>
      </c>
      <c r="EL21">
        <f>IF((+Calculator!$D$22+Calculator!$D$25)-'Calc. Sdk'!EG21-('Calc. Sdk'!EI21*'Calc. Sdk'!EK21)&gt;0,"Too deep",+'Calc. Sdk'!EM21)</f>
        <v>2</v>
      </c>
      <c r="EM21">
        <f>ROUNDUP((Calculator!$D$22+Calculator!$D$25-'Calc. Sdk'!EG21)/'Calc. Sdk'!EI21,0)</f>
        <v>2</v>
      </c>
      <c r="EO21">
        <v>19</v>
      </c>
      <c r="EP21" t="str">
        <v>DR580</v>
      </c>
      <c r="EQ21">
        <v>19</v>
      </c>
      <c r="ER21">
        <v>257</v>
      </c>
      <c r="ES21">
        <v>19</v>
      </c>
      <c r="ET21">
        <v>257</v>
      </c>
      <c r="EU21">
        <v>19</v>
      </c>
      <c r="EV21">
        <v>1</v>
      </c>
      <c r="EX21">
        <f>SUM(EX18:EX19)</f>
        <v>18</v>
      </c>
      <c r="EY21" t="str">
        <v>m</v>
      </c>
      <c r="FA21">
        <v>19</v>
      </c>
      <c r="FB21" t="str">
        <v>DR580</v>
      </c>
      <c r="FC21">
        <v>19</v>
      </c>
      <c r="FD21">
        <v>10600</v>
      </c>
      <c r="FE21">
        <v>19</v>
      </c>
      <c r="FF21">
        <f>4.95*$DD$2*$DH$20*(FD21/1000)^1.6/$DG$9</f>
        <v>157.70768394940487</v>
      </c>
      <c r="FN21">
        <v>8</v>
      </c>
      <c r="FO21" t="str">
        <v>D75KS 40</v>
      </c>
      <c r="FP21">
        <v>144</v>
      </c>
      <c r="FQ21">
        <v>9</v>
      </c>
      <c r="FR21">
        <v>11</v>
      </c>
      <c r="FS21">
        <v>75000</v>
      </c>
      <c r="FW21">
        <f>DI10</f>
        <v>80000</v>
      </c>
    </row>
    <row r="22">
      <c r="AD22">
        <v>21</v>
      </c>
      <c r="AE22" t="str">
        <v>DR416i</v>
      </c>
      <c r="AK22">
        <v>20</v>
      </c>
      <c r="AL22" t="str">
        <f>IF($AB$6="Rotary","160D",IF($AB$6="DTH","160D",""))</f>
        <v>160D</v>
      </c>
      <c r="AM22">
        <v>20</v>
      </c>
      <c r="AN22">
        <v>127</v>
      </c>
      <c r="AO22">
        <v>20</v>
      </c>
      <c r="AQ22">
        <v>20</v>
      </c>
      <c r="AS22">
        <v>20</v>
      </c>
      <c r="AU22">
        <v>20</v>
      </c>
      <c r="AW22">
        <v>20</v>
      </c>
      <c r="AY22">
        <v>20</v>
      </c>
      <c r="BE22">
        <v>20</v>
      </c>
      <c r="BF22" t="str">
        <f>IF($AB$6="Rotary","160D",IF($AB$6="DTH","160D",""))</f>
        <v>160D</v>
      </c>
      <c r="BK22" t="str">
        <v>Operating Pressure</v>
      </c>
      <c r="BX22">
        <v>20</v>
      </c>
      <c r="BY22" t="str">
        <v>160D</v>
      </c>
      <c r="BZ22">
        <v>20</v>
      </c>
      <c r="CA22">
        <v>900.1</v>
      </c>
      <c r="CB22">
        <v>20</v>
      </c>
      <c r="CC22">
        <v>900</v>
      </c>
      <c r="CD22">
        <v>20</v>
      </c>
      <c r="CG22">
        <v>12</v>
      </c>
      <c r="CH22" t="str">
        <v>D90KS65</v>
      </c>
      <c r="CK22">
        <v>12</v>
      </c>
      <c r="CL22">
        <v>229</v>
      </c>
      <c r="CM22">
        <v>12</v>
      </c>
      <c r="CN22">
        <v>251</v>
      </c>
      <c r="CO22">
        <v>12</v>
      </c>
      <c r="CP22">
        <v>270</v>
      </c>
      <c r="CQ22">
        <v>12</v>
      </c>
      <c r="CR22">
        <v>279</v>
      </c>
      <c r="CS22">
        <v>12</v>
      </c>
      <c r="CT22">
        <v>286</v>
      </c>
      <c r="CU22">
        <v>12</v>
      </c>
      <c r="CV22">
        <v>311</v>
      </c>
      <c r="CW22">
        <v>12</v>
      </c>
      <c r="CY22">
        <v>12</v>
      </c>
      <c r="DG22">
        <v>5</v>
      </c>
      <c r="DH22">
        <f>LOOKUP(DG22,DG23:DH33)</f>
        <v>0.8</v>
      </c>
      <c r="EA22" t="str">
        <v>160D</v>
      </c>
      <c r="EB22">
        <v>20</v>
      </c>
      <c r="EC22">
        <v>0.35</v>
      </c>
      <c r="ED22">
        <v>20</v>
      </c>
      <c r="EE22" t="str">
        <v>160D</v>
      </c>
      <c r="EF22">
        <v>20</v>
      </c>
      <c r="EG22">
        <v>25</v>
      </c>
      <c r="EH22">
        <v>20</v>
      </c>
      <c r="EI22">
        <v>25</v>
      </c>
      <c r="EJ22">
        <v>20</v>
      </c>
      <c r="EK22">
        <v>3</v>
      </c>
      <c r="EL22">
        <f>IF((+Calculator!$D$22+Calculator!$D$25)-'Calc. Sdk'!EG22-('Calc. Sdk'!EI22*'Calc. Sdk'!EK22)&gt;0,"Too deep",+'Calc. Sdk'!EM22)</f>
        <v>2</v>
      </c>
      <c r="EM22">
        <f>ROUNDUP((Calculator!$D$22+Calculator!$D$25-'Calc. Sdk'!EG22)/'Calc. Sdk'!EI22,0)</f>
        <v>2</v>
      </c>
      <c r="EO22">
        <v>20</v>
      </c>
      <c r="EP22" t="str">
        <v>160D</v>
      </c>
      <c r="EQ22">
        <v>20</v>
      </c>
      <c r="ER22">
        <v>68</v>
      </c>
      <c r="ES22">
        <v>20</v>
      </c>
      <c r="ET22">
        <v>147</v>
      </c>
      <c r="EU22">
        <v>20</v>
      </c>
      <c r="EV22">
        <v>1</v>
      </c>
      <c r="FA22">
        <v>20</v>
      </c>
      <c r="FB22" t="str">
        <v>160D</v>
      </c>
      <c r="FC22">
        <v>20</v>
      </c>
      <c r="FD22">
        <v>30000</v>
      </c>
      <c r="FE22">
        <v>20</v>
      </c>
      <c r="FF22">
        <f>4.95*$DD$2*$DH$20*(FD22/1000)^1.6/$DG$9</f>
        <v>833.2157621042362</v>
      </c>
      <c r="FN22">
        <v>9</v>
      </c>
      <c r="FO22" t="str">
        <v>DR460 48</v>
      </c>
      <c r="FP22">
        <v>160</v>
      </c>
      <c r="FQ22">
        <v>9</v>
      </c>
      <c r="FR22">
        <v>11</v>
      </c>
      <c r="FS22">
        <v>80000</v>
      </c>
      <c r="FW22" t="str">
        <v>HOLE SIZE</v>
      </c>
    </row>
    <row r="23">
      <c r="AK23">
        <v>21</v>
      </c>
      <c r="AL23" t="str">
        <f>IF($AB$6="Rotary","DR416i","")</f>
        <v>DR416i</v>
      </c>
      <c r="AM23">
        <v>21</v>
      </c>
      <c r="AN23">
        <v>273</v>
      </c>
      <c r="AO23">
        <v>21</v>
      </c>
      <c r="AP23">
        <v>324</v>
      </c>
      <c r="AQ23">
        <v>21</v>
      </c>
      <c r="AS23">
        <v>21</v>
      </c>
      <c r="AU23">
        <v>21</v>
      </c>
      <c r="AW23">
        <v>21</v>
      </c>
      <c r="AY23">
        <v>21</v>
      </c>
      <c r="BE23">
        <v>21</v>
      </c>
      <c r="BF23" t="str">
        <f>IF($AB$6="Rotary","DR416i","")</f>
        <v>DR416i</v>
      </c>
      <c r="BK23">
        <f>+BK2</f>
        <v>16</v>
      </c>
      <c r="BL23" t="str">
        <f>LOOKUP(BK23,BK24:BL43)</f>
        <v>DR412i SP</v>
      </c>
      <c r="BM23">
        <f>+BK2</f>
        <v>16</v>
      </c>
      <c r="BN23">
        <f>LOOKUP(BM23,BM24:BN43)</f>
        <v>100</v>
      </c>
      <c r="BO23">
        <f>+AK15</f>
        <v>13</v>
      </c>
      <c r="BX23">
        <v>21</v>
      </c>
      <c r="BY23" t="str">
        <v>DR416i</v>
      </c>
      <c r="BZ23">
        <v>21</v>
      </c>
      <c r="CB23">
        <v>21</v>
      </c>
      <c r="CD23">
        <v>21</v>
      </c>
      <c r="CG23">
        <v>13</v>
      </c>
      <c r="CH23" t="str">
        <v>1190E</v>
      </c>
      <c r="CK23">
        <v>13</v>
      </c>
      <c r="CL23">
        <v>229</v>
      </c>
      <c r="CM23">
        <v>13</v>
      </c>
      <c r="CN23">
        <v>251</v>
      </c>
      <c r="CO23">
        <v>13</v>
      </c>
      <c r="CP23">
        <v>270</v>
      </c>
      <c r="CQ23">
        <v>13</v>
      </c>
      <c r="CR23">
        <v>279</v>
      </c>
      <c r="CS23">
        <v>13</v>
      </c>
      <c r="CT23">
        <v>286</v>
      </c>
      <c r="CU23">
        <v>13</v>
      </c>
      <c r="CV23">
        <v>311</v>
      </c>
      <c r="CW23">
        <v>13</v>
      </c>
      <c r="CY23">
        <v>13</v>
      </c>
      <c r="DG23">
        <v>1</v>
      </c>
      <c r="DH23">
        <v>1</v>
      </c>
      <c r="DR23" t="str">
        <v>Production</v>
      </c>
      <c r="ED23">
        <v>21</v>
      </c>
      <c r="EE23" t="str">
        <v>DR416i</v>
      </c>
      <c r="EF23">
        <v>21</v>
      </c>
      <c r="EG23">
        <v>65</v>
      </c>
      <c r="EH23">
        <v>21</v>
      </c>
      <c r="EI23">
        <v>32.5</v>
      </c>
      <c r="EJ23">
        <v>21</v>
      </c>
      <c r="EK23">
        <v>0</v>
      </c>
      <c r="EL23">
        <f>IF((+Calculator!$D$22+Calculator!$D$25)-'Calc. Sdk'!EG23-('Calc. Sdk'!EI23*'Calc. Sdk'!EK23)&gt;0,"Too deep",+'Calc. Sdk'!EM23)</f>
        <v>-1</v>
      </c>
      <c r="EM23">
        <f>ROUNDUP((Calculator!$D$22+Calculator!$D$25-'Calc. Sdk'!EG23)/'Calc. Sdk'!EI23,0)</f>
        <v>-1</v>
      </c>
      <c r="EO23">
        <v>21</v>
      </c>
      <c r="EP23" t="str">
        <v>DR416i</v>
      </c>
      <c r="EQ23">
        <v>21</v>
      </c>
      <c r="ER23">
        <v>140</v>
      </c>
      <c r="ES23">
        <v>21</v>
      </c>
      <c r="ET23">
        <v>140</v>
      </c>
      <c r="EU23">
        <v>21</v>
      </c>
      <c r="EV23">
        <v>3</v>
      </c>
      <c r="EX23">
        <f>EX8/60</f>
        <v>4.4709859014766895</v>
      </c>
      <c r="FA23">
        <v>21</v>
      </c>
      <c r="FB23" t="str">
        <v>DR416i</v>
      </c>
      <c r="FC23">
        <v>21</v>
      </c>
      <c r="FD23">
        <v>120000</v>
      </c>
      <c r="FE23">
        <v>21</v>
      </c>
      <c r="FF23">
        <f>4.95*$DD$2*$DH$20*(FD23/1000)^1.6/$DG$9</f>
        <v>7656.908602293896</v>
      </c>
      <c r="FN23">
        <v>10</v>
      </c>
      <c r="FO23" t="str">
        <v>DR460 63</v>
      </c>
      <c r="FP23">
        <v>160</v>
      </c>
      <c r="FQ23">
        <v>9</v>
      </c>
      <c r="FR23">
        <v>11</v>
      </c>
      <c r="FS23">
        <v>80000</v>
      </c>
      <c r="FW23">
        <f>DD2/25.4</f>
        <v>12.244094488188978</v>
      </c>
    </row>
    <row r="24">
      <c r="BK24">
        <v>1</v>
      </c>
      <c r="BL24" t="str">
        <v>D245S</v>
      </c>
      <c r="BM24">
        <v>1</v>
      </c>
      <c r="BN24">
        <f>IF($AB$6="Rotary",100,350)</f>
        <v>100</v>
      </c>
      <c r="BO24">
        <v>1</v>
      </c>
      <c r="CG24">
        <v>14</v>
      </c>
      <c r="CH24" t="str">
        <v>1190E 65</v>
      </c>
      <c r="CK24">
        <v>14</v>
      </c>
      <c r="CL24">
        <v>229</v>
      </c>
      <c r="CM24">
        <v>14</v>
      </c>
      <c r="CN24">
        <v>251</v>
      </c>
      <c r="CO24">
        <v>14</v>
      </c>
      <c r="CP24">
        <v>270</v>
      </c>
      <c r="CQ24">
        <v>14</v>
      </c>
      <c r="CR24">
        <v>279</v>
      </c>
      <c r="CS24">
        <v>14</v>
      </c>
      <c r="CT24">
        <v>286</v>
      </c>
      <c r="CU24">
        <v>14</v>
      </c>
      <c r="CV24">
        <v>311</v>
      </c>
      <c r="CW24">
        <v>14</v>
      </c>
      <c r="CY24">
        <v>14</v>
      </c>
      <c r="DG24">
        <v>2</v>
      </c>
      <c r="DH24">
        <v>0.95</v>
      </c>
      <c r="DR24" t="str">
        <v>Net pen rate</v>
      </c>
      <c r="DS24">
        <f>+DI5</f>
        <v>4.025957673911455</v>
      </c>
      <c r="DT24" t="str">
        <v>fph</v>
      </c>
      <c r="EX24">
        <f>EX21/EX23</f>
        <v>4.025957673911455</v>
      </c>
      <c r="FN24">
        <v>11</v>
      </c>
      <c r="FO24" t="str">
        <v>D90KS</v>
      </c>
      <c r="FP24">
        <v>175</v>
      </c>
      <c r="FQ24">
        <v>9</v>
      </c>
      <c r="FR24">
        <v>12.25</v>
      </c>
      <c r="FS24">
        <v>110000</v>
      </c>
      <c r="FW24" t="str">
        <v>RPM</v>
      </c>
    </row>
    <row r="25">
      <c r="BK25">
        <v>2</v>
      </c>
      <c r="BL25" t="str">
        <v>D25KS</v>
      </c>
      <c r="BM25">
        <v>2</v>
      </c>
      <c r="BN25">
        <f>IF($AB$6="Rotary",100,350)</f>
        <v>100</v>
      </c>
      <c r="BO25">
        <v>2</v>
      </c>
      <c r="CG25">
        <v>15</v>
      </c>
      <c r="CH25" t="str">
        <v>DR412i MP</v>
      </c>
      <c r="CK25">
        <v>15</v>
      </c>
      <c r="CL25">
        <v>229</v>
      </c>
      <c r="CM25">
        <v>15</v>
      </c>
      <c r="CN25">
        <v>251</v>
      </c>
      <c r="CO25">
        <v>15</v>
      </c>
      <c r="CP25">
        <v>270</v>
      </c>
      <c r="CQ25">
        <v>15</v>
      </c>
      <c r="CR25">
        <v>279</v>
      </c>
      <c r="CS25">
        <v>15</v>
      </c>
      <c r="CU25">
        <v>15</v>
      </c>
      <c r="CW25">
        <v>15</v>
      </c>
      <c r="CY25">
        <v>15</v>
      </c>
      <c r="DG25">
        <v>3</v>
      </c>
      <c r="DH25">
        <v>0.9</v>
      </c>
      <c r="DR25" t="str">
        <v>Burden</v>
      </c>
      <c r="DS25">
        <f>+Calculator!I22</f>
        <v>22.96587926509186</v>
      </c>
      <c r="EK25">
        <f>IF(BB2=5.5,5,)</f>
        <v>0</v>
      </c>
      <c r="EL25">
        <f>IF(BB2=3.5,8,0)</f>
        <v>0</v>
      </c>
      <c r="EM25">
        <f>IF(BB2=4,6,0)</f>
        <v>0</v>
      </c>
      <c r="FN25">
        <v>12</v>
      </c>
      <c r="FO25" t="str">
        <v>D90KS 65</v>
      </c>
      <c r="FP25">
        <v>175</v>
      </c>
      <c r="FQ25">
        <v>9</v>
      </c>
      <c r="FR25">
        <v>12.25</v>
      </c>
      <c r="FS25">
        <v>110000</v>
      </c>
      <c r="FW25">
        <f>DH20</f>
        <v>85</v>
      </c>
      <c r="FZ25">
        <f>IF(FW25=FP12,GK34,IF(FW25=FP13,GK68,0))</f>
        <v>0</v>
      </c>
      <c r="GB25" t="str">
        <f>IF(FW25&gt;=GK34,GB20,"")</f>
        <v/>
      </c>
    </row>
    <row r="26">
      <c r="BK26">
        <v>3</v>
      </c>
      <c r="BL26" t="str">
        <v>D45KS 34</v>
      </c>
      <c r="BM26">
        <v>3</v>
      </c>
      <c r="BN26">
        <f>IF($AB$6="Rotary",100,350)</f>
        <v>100</v>
      </c>
      <c r="BO26">
        <v>3</v>
      </c>
      <c r="CG26">
        <v>16</v>
      </c>
      <c r="CH26" t="str">
        <v>DR412i SP</v>
      </c>
      <c r="CK26">
        <v>16</v>
      </c>
      <c r="CL26">
        <v>229</v>
      </c>
      <c r="CM26">
        <v>16</v>
      </c>
      <c r="CN26">
        <v>251</v>
      </c>
      <c r="CO26">
        <v>16</v>
      </c>
      <c r="CP26">
        <v>270</v>
      </c>
      <c r="CQ26">
        <v>16</v>
      </c>
      <c r="CR26">
        <v>279</v>
      </c>
      <c r="CS26">
        <v>16</v>
      </c>
      <c r="CT26">
        <v>311</v>
      </c>
      <c r="CU26">
        <v>16</v>
      </c>
      <c r="CW26">
        <v>16</v>
      </c>
      <c r="CY26">
        <v>16</v>
      </c>
      <c r="DG26">
        <v>4</v>
      </c>
      <c r="DH26">
        <v>0.85</v>
      </c>
      <c r="DR26" t="str">
        <v>Spacing</v>
      </c>
      <c r="DS26">
        <f>+Calculator!I25</f>
        <v>22.96587926509186</v>
      </c>
      <c r="FN26">
        <v>13</v>
      </c>
      <c r="FO26" t="str">
        <v>1190E</v>
      </c>
      <c r="FP26">
        <v>175</v>
      </c>
      <c r="FQ26">
        <v>9</v>
      </c>
      <c r="FR26">
        <v>12.25</v>
      </c>
      <c r="FS26">
        <v>110000</v>
      </c>
      <c r="FW26" t="str">
        <v>ROCK HARDNESS</v>
      </c>
    </row>
    <row r="27">
      <c r="BK27">
        <v>4</v>
      </c>
      <c r="BL27" t="str">
        <v>D45KS 40</v>
      </c>
      <c r="BM27">
        <v>4</v>
      </c>
      <c r="BN27">
        <f>IF($AB$6="Rotary",100,350)</f>
        <v>100</v>
      </c>
      <c r="BO27">
        <v>4</v>
      </c>
      <c r="CG27">
        <v>17</v>
      </c>
      <c r="CH27" t="str">
        <v>DR540</v>
      </c>
      <c r="CK27">
        <v>17</v>
      </c>
      <c r="CM27">
        <v>17</v>
      </c>
      <c r="CO27">
        <v>17</v>
      </c>
      <c r="CQ27">
        <v>17</v>
      </c>
      <c r="CS27">
        <v>17</v>
      </c>
      <c r="CU27">
        <v>17</v>
      </c>
      <c r="CW27">
        <v>17</v>
      </c>
      <c r="CY27">
        <v>17</v>
      </c>
      <c r="DG27">
        <v>5</v>
      </c>
      <c r="DH27">
        <v>0.8</v>
      </c>
      <c r="DR27" t="str">
        <v>bench heigh</v>
      </c>
      <c r="DS27">
        <f>+Calculator!D22</f>
        <v>59.055118110236215</v>
      </c>
      <c r="FN27">
        <v>14</v>
      </c>
      <c r="FO27" t="str">
        <v>1190E 65</v>
      </c>
      <c r="FP27">
        <v>175</v>
      </c>
      <c r="FQ27">
        <v>9</v>
      </c>
      <c r="FR27">
        <v>12.25</v>
      </c>
      <c r="FS27">
        <v>110000</v>
      </c>
      <c r="FW27">
        <f>DG9</f>
        <v>36259.43597432078</v>
      </c>
    </row>
    <row r="28">
      <c r="AS28" t="str">
        <v xml:space="preserve">Shock Sub </v>
      </c>
      <c r="BK28">
        <v>5</v>
      </c>
      <c r="BL28" t="str">
        <v>D50KS 34</v>
      </c>
      <c r="BM28">
        <v>5</v>
      </c>
      <c r="BN28">
        <f>IF($AB$6="Rotary",100,"")</f>
        <v>100</v>
      </c>
      <c r="BO28">
        <v>5</v>
      </c>
      <c r="CG28">
        <v>18</v>
      </c>
      <c r="CH28" t="str">
        <v>DR560</v>
      </c>
      <c r="CK28">
        <v>18</v>
      </c>
      <c r="CM28">
        <v>18</v>
      </c>
      <c r="CO28">
        <v>18</v>
      </c>
      <c r="CQ28">
        <v>18</v>
      </c>
      <c r="CS28">
        <v>18</v>
      </c>
      <c r="CU28">
        <v>18</v>
      </c>
      <c r="CW28">
        <v>18</v>
      </c>
      <c r="CY28">
        <v>18</v>
      </c>
      <c r="DG28">
        <v>6</v>
      </c>
      <c r="DH28">
        <v>0.79</v>
      </c>
      <c r="DR28" t="str">
        <v>sub drilling</v>
      </c>
      <c r="DS28">
        <f>+Calculator!D25</f>
        <v>0</v>
      </c>
      <c r="FD28" t="str">
        <v>Bit load warning</v>
      </c>
      <c r="FN28">
        <v>15</v>
      </c>
      <c r="FO28" t="str">
        <v>DR412i MP</v>
      </c>
      <c r="FP28">
        <v>160</v>
      </c>
      <c r="FQ28">
        <v>9</v>
      </c>
      <c r="FR28">
        <v>11</v>
      </c>
      <c r="FS28">
        <v>80000</v>
      </c>
      <c r="FW28" t="str">
        <v>ROCK TYPE</v>
      </c>
    </row>
    <row r="29">
      <c r="AR29">
        <v>1</v>
      </c>
      <c r="AS29" t="str">
        <v>Yes</v>
      </c>
      <c r="BK29">
        <v>6</v>
      </c>
      <c r="BL29" t="str">
        <v>D50KS 40</v>
      </c>
      <c r="BM29">
        <v>6</v>
      </c>
      <c r="BN29">
        <f>IF($AB$6="Rotary",100,"")</f>
        <v>100</v>
      </c>
      <c r="BO29">
        <v>6</v>
      </c>
      <c r="CG29">
        <v>19</v>
      </c>
      <c r="CH29" t="str">
        <v>DR580</v>
      </c>
      <c r="CK29">
        <v>19</v>
      </c>
      <c r="CM29">
        <v>19</v>
      </c>
      <c r="CO29">
        <v>19</v>
      </c>
      <c r="CQ29">
        <v>19</v>
      </c>
      <c r="CS29">
        <v>19</v>
      </c>
      <c r="CU29">
        <v>19</v>
      </c>
      <c r="CW29">
        <v>19</v>
      </c>
      <c r="CY29">
        <v>19</v>
      </c>
      <c r="DG29">
        <v>7</v>
      </c>
      <c r="DH29">
        <v>0.78</v>
      </c>
      <c r="DR29" t="str">
        <v>hole dpth</v>
      </c>
      <c r="DS29">
        <f>+DS27+DS28</f>
        <v>59.055118110236215</v>
      </c>
      <c r="FD29" t="str">
        <f>IF(AB6="Rotary",IF(DI10&gt;FD2," Optimum bit load exceeds drill capability",""),"")</f>
        <v/>
      </c>
      <c r="FN29">
        <v>16</v>
      </c>
      <c r="FO29" t="str">
        <v>DR412i SP</v>
      </c>
      <c r="FP29">
        <v>160</v>
      </c>
      <c r="FQ29">
        <v>9</v>
      </c>
      <c r="FR29">
        <v>12.25</v>
      </c>
      <c r="FS29">
        <v>80000</v>
      </c>
      <c r="FW29" t="str">
        <f>FI2</f>
        <v>Moderate</v>
      </c>
      <c r="FX29">
        <f>IF(FW29=FW11,FX11,IF(FW29=FW12,FX12,IF(FW29=FW13,FX13,IF(FW29=FW14,FX14,0))))</f>
        <v>0.95</v>
      </c>
    </row>
    <row r="30">
      <c r="AS30" t="str">
        <v>No</v>
      </c>
      <c r="BK30">
        <v>7</v>
      </c>
      <c r="BL30" t="str">
        <v>D55SP</v>
      </c>
      <c r="BM30">
        <v>7</v>
      </c>
      <c r="BN30">
        <f>IF($AB$6="Rotary",100,350)</f>
        <v>100</v>
      </c>
      <c r="BO30">
        <v>7</v>
      </c>
      <c r="CG30">
        <v>20</v>
      </c>
      <c r="CH30" t="str">
        <v>160D</v>
      </c>
      <c r="CK30">
        <v>20</v>
      </c>
      <c r="CL30">
        <v>127</v>
      </c>
      <c r="CM30">
        <v>20</v>
      </c>
      <c r="CN30">
        <v>140</v>
      </c>
      <c r="CO30">
        <v>20</v>
      </c>
      <c r="CP30">
        <v>152</v>
      </c>
      <c r="CQ30">
        <v>20</v>
      </c>
      <c r="CR30">
        <v>165</v>
      </c>
      <c r="CS30">
        <v>20</v>
      </c>
      <c r="CT30">
        <v>171</v>
      </c>
      <c r="CU30">
        <v>20</v>
      </c>
      <c r="CW30">
        <v>20</v>
      </c>
      <c r="CY30">
        <v>20</v>
      </c>
      <c r="DG30">
        <v>8</v>
      </c>
      <c r="DH30">
        <v>0.77</v>
      </c>
      <c r="DR30" t="str">
        <v>hours drilling</v>
      </c>
      <c r="DS30">
        <f>+Calculator!N12*Calculator!N13</f>
        <v>8640</v>
      </c>
      <c r="FD30" t="str">
        <f>IF(+AB6="Rotary",FD29,"")</f>
        <v/>
      </c>
      <c r="FN30">
        <v>19</v>
      </c>
      <c r="FO30" t="str">
        <v>160D</v>
      </c>
      <c r="FP30">
        <v>90</v>
      </c>
      <c r="FQ30">
        <v>5</v>
      </c>
      <c r="FR30">
        <v>6.75</v>
      </c>
      <c r="FS30">
        <v>30000</v>
      </c>
    </row>
    <row r="31">
      <c r="BK31">
        <v>8</v>
      </c>
      <c r="BL31" t="str">
        <v>D75KS 40</v>
      </c>
      <c r="BM31">
        <v>8</v>
      </c>
      <c r="BN31">
        <f>IF($AB$6="Rotary",100,350)</f>
        <v>100</v>
      </c>
      <c r="BO31">
        <v>8</v>
      </c>
      <c r="CG31">
        <v>21</v>
      </c>
      <c r="CH31" t="str">
        <v>DR481</v>
      </c>
      <c r="CK31">
        <v>21</v>
      </c>
      <c r="CL31">
        <v>311</v>
      </c>
      <c r="CM31">
        <v>21</v>
      </c>
      <c r="CN31">
        <v>330</v>
      </c>
      <c r="CO31">
        <v>21</v>
      </c>
      <c r="CP31">
        <v>381</v>
      </c>
      <c r="CQ31">
        <v>21</v>
      </c>
      <c r="CR31">
        <v>406</v>
      </c>
      <c r="CS31">
        <v>21</v>
      </c>
      <c r="CU31">
        <v>21</v>
      </c>
      <c r="CW31">
        <v>21</v>
      </c>
      <c r="CY31">
        <v>21</v>
      </c>
      <c r="DG31">
        <v>9</v>
      </c>
      <c r="DH31">
        <v>0.76</v>
      </c>
      <c r="DR31" t="str">
        <v>density</v>
      </c>
      <c r="DS31">
        <f>+Calculator!N25</f>
        <v>1.50496</v>
      </c>
      <c r="FD31" t="str">
        <v>Rotation power warning</v>
      </c>
      <c r="FN31">
        <v>20</v>
      </c>
      <c r="FO31" t="str">
        <v>DR416i</v>
      </c>
      <c r="FP31">
        <v>180</v>
      </c>
      <c r="FQ31">
        <v>12.25</v>
      </c>
      <c r="FR31">
        <v>15</v>
      </c>
      <c r="FS31">
        <v>132000</v>
      </c>
    </row>
    <row r="32">
      <c r="FN32">
        <f>$FA$2</f>
        <v>16</v>
      </c>
      <c r="FO32" t="str">
        <f>LOOKUP(FN32,FN17:FO30)</f>
        <v>DR412i SP</v>
      </c>
      <c r="FP32">
        <f>LOOKUP(FN32,FN17:FN31,FP17:FP31)</f>
        <v>160</v>
      </c>
      <c r="FQ32">
        <f>LOOKUP(FN32,FN17:FN30,FQ17:FQ31)</f>
        <v>9</v>
      </c>
      <c r="FR32">
        <f>LOOKUP(FN32,FN17:FN30,FR17:FR31)</f>
        <v>12.25</v>
      </c>
      <c r="FS32">
        <f>LOOKUP(FN32,FN17:FN30,FS17:FS31)</f>
        <v>80000</v>
      </c>
    </row>
    <row r="33">
      <c r="BK33">
        <v>9</v>
      </c>
      <c r="BL33" t="str">
        <v>DR460 48</v>
      </c>
      <c r="BM33">
        <v>9</v>
      </c>
      <c r="BN33">
        <f>IF($AB$6="Rotary",100,350)</f>
        <v>100</v>
      </c>
      <c r="BO33">
        <v>9</v>
      </c>
      <c r="DG33">
        <v>10</v>
      </c>
      <c r="DH33">
        <v>0.75</v>
      </c>
      <c r="FD33" t="str">
        <f>IF(AB6="Rotary",IF(DI8&gt;FF2," HP requirements exceed rig capacity",""),"")</f>
        <v/>
      </c>
      <c r="FT33" t="str">
        <v>ROCK TYPE</v>
      </c>
      <c r="FX33" t="str">
        <v>ROCK TYPE</v>
      </c>
    </row>
    <row r="34">
      <c r="AH34" t="str">
        <v>Rotary Head Weight</v>
      </c>
      <c r="AI34" t="str">
        <v>Drill String Weight</v>
      </c>
      <c r="AJ34" t="str">
        <v>Pulldown</v>
      </c>
      <c r="AL34" t="str">
        <v>WEIGHT ON BIT</v>
      </c>
      <c r="AQ34" t="str">
        <v>DR460 48</v>
      </c>
      <c r="AZ34" t="str">
        <v>DR460 63</v>
      </c>
      <c r="BK34">
        <v>10</v>
      </c>
      <c r="BL34" t="str">
        <v>DR460 63</v>
      </c>
      <c r="BM34">
        <v>10</v>
      </c>
      <c r="BN34">
        <v>500</v>
      </c>
      <c r="BO34">
        <v>10</v>
      </c>
      <c r="DG34" t="str">
        <v>Mechanical availability</v>
      </c>
      <c r="DR34" t="str">
        <v>production</v>
      </c>
      <c r="DS34">
        <f>+DS24*(DS27/DS29)*DS25*DS26*DS30*DS31/27</f>
        <v>1022610.6109270373</v>
      </c>
      <c r="DT34" t="str">
        <v>ton</v>
      </c>
      <c r="FT34" t="str">
        <v>None</v>
      </c>
      <c r="FU34" t="str">
        <v>Light</v>
      </c>
      <c r="FV34" t="str">
        <v>Moderate</v>
      </c>
      <c r="FW34" t="str">
        <v>Heavy</v>
      </c>
      <c r="FX34" t="str">
        <v>None</v>
      </c>
      <c r="FY34" t="str">
        <v>Light</v>
      </c>
      <c r="FZ34" t="str">
        <v>Moderate</v>
      </c>
      <c r="GA34" t="str">
        <v>Heavy</v>
      </c>
      <c r="GK34">
        <f>MAX(GK36:GK65)</f>
        <v>120</v>
      </c>
    </row>
    <row r="35">
      <c r="AE35">
        <f>AK2</f>
        <v>16</v>
      </c>
      <c r="AF35" t="str">
        <f>LOOKUP(AE35,AE36:AF56)</f>
        <v>DR412i SP</v>
      </c>
      <c r="AG35">
        <f>AE35</f>
        <v>16</v>
      </c>
      <c r="AH35">
        <f>LOOKUP(AE35,AE36:AE56,AH36:AH56)</f>
        <v>2050</v>
      </c>
      <c r="AI35">
        <f>LOOKUP(AE35,AE36:AE56,AI36:AI56)</f>
        <v>7504</v>
      </c>
      <c r="AJ35">
        <f>LOOKUP(AE35,AE36:AE56,AJ36:AJ56)</f>
        <v>80000</v>
      </c>
      <c r="AL35">
        <f>SUM(AH35:AJ35)</f>
        <v>89554</v>
      </c>
      <c r="AQ35" t="str">
        <v>Pipe Diameter</v>
      </c>
      <c r="AR35" t="str">
        <v>Pipe Length</v>
      </c>
      <c r="AS35" t="str">
        <v>Pipe Weight</v>
      </c>
      <c r="AT35" t="str">
        <v>Top Sub Length</v>
      </c>
      <c r="AU35" t="str">
        <v>Top Sub Weight</v>
      </c>
      <c r="AV35" t="str">
        <v>Bit Sub Length</v>
      </c>
      <c r="AW35" t="str">
        <v>Bit Sub Weight</v>
      </c>
      <c r="AX35" t="str">
        <v>Shock Sub Length</v>
      </c>
      <c r="AY35" t="str">
        <v>Shock Sub Weight</v>
      </c>
      <c r="AZ35" t="str">
        <v>Pipe Diameter</v>
      </c>
      <c r="BA35" t="str">
        <v>Pipe Length</v>
      </c>
      <c r="BB35" t="str">
        <v>Pipe Weight</v>
      </c>
      <c r="BC35" t="str">
        <v>Top Sub Length</v>
      </c>
      <c r="BD35" t="str">
        <v>Top Sub Weight</v>
      </c>
      <c r="BE35" t="str">
        <v>Bit Sub Length</v>
      </c>
      <c r="BF35" t="str">
        <v>Bit Sub Weight</v>
      </c>
      <c r="BG35" t="str">
        <v>Shock Sub Length</v>
      </c>
      <c r="BH35" t="str">
        <v>Shock Sub Weight</v>
      </c>
      <c r="BK35">
        <v>11</v>
      </c>
      <c r="BL35" t="str">
        <v>D90KS</v>
      </c>
      <c r="BM35">
        <v>11</v>
      </c>
      <c r="BN35">
        <f>IF($AB$6="Rotary",80,"")</f>
        <v>80</v>
      </c>
      <c r="BO35">
        <v>11</v>
      </c>
      <c r="DG35">
        <v>7</v>
      </c>
      <c r="DH35">
        <f>LOOKUP(DG35,DG36:DH52)</f>
        <v>0.86</v>
      </c>
      <c r="DS35" t="str">
        <v>Operator efficiency</v>
      </c>
      <c r="DT35" t="str">
        <v>Mechanical availability</v>
      </c>
      <c r="DU35" t="str">
        <v>Fleet utilization</v>
      </c>
      <c r="DV35" t="str">
        <v>Total</v>
      </c>
      <c r="DW35">
        <f>+DS36*DT36*DU36</f>
        <v>1</v>
      </c>
      <c r="FO35" t="str">
        <v>CHARGER BITS</v>
      </c>
      <c r="FP35" t="str">
        <v>MAX RPM</v>
      </c>
      <c r="FQ35" t="str">
        <v>MIN Hole</v>
      </c>
      <c r="FR35" t="str">
        <v>MAX Hole</v>
      </c>
      <c r="FS35" t="str">
        <v>Max Pulldown</v>
      </c>
      <c r="FT35" t="str">
        <v>Min. UCS Capability</v>
      </c>
      <c r="FX35" t="str">
        <v>Max. UCS Capability</v>
      </c>
    </row>
    <row r="36">
      <c r="AE36">
        <v>1</v>
      </c>
      <c r="AF36" t="str">
        <f>IF($AB$6="Rotary","D245S 34","")</f>
        <v>D245S 34</v>
      </c>
      <c r="AG36">
        <v>1</v>
      </c>
      <c r="AH36">
        <v>1100</v>
      </c>
      <c r="AQ36">
        <v>7</v>
      </c>
      <c r="AR36">
        <f>IF($AR$29=1,35,38)</f>
        <v>35</v>
      </c>
      <c r="AS36">
        <f>1088*$EK$17</f>
        <v>5440</v>
      </c>
      <c r="AT36">
        <v>76</v>
      </c>
      <c r="AU36">
        <v>113</v>
      </c>
      <c r="AV36">
        <v>42</v>
      </c>
      <c r="AW36">
        <v>134</v>
      </c>
      <c r="AX36">
        <v>26</v>
      </c>
      <c r="AY36">
        <v>670</v>
      </c>
      <c r="AZ36">
        <v>7</v>
      </c>
      <c r="BA36">
        <f>(25*2)</f>
        <v>50</v>
      </c>
      <c r="BB36">
        <f>(1060*2)*$EK$18</f>
        <v>4240</v>
      </c>
      <c r="BC36">
        <v>76</v>
      </c>
      <c r="BD36">
        <v>113</v>
      </c>
      <c r="BE36">
        <v>42</v>
      </c>
      <c r="BF36">
        <v>134</v>
      </c>
      <c r="BG36">
        <v>26</v>
      </c>
      <c r="BH36">
        <v>670</v>
      </c>
      <c r="BK36">
        <v>12</v>
      </c>
      <c r="BL36" t="str">
        <v>D90KS 65</v>
      </c>
      <c r="BM36">
        <v>12</v>
      </c>
      <c r="BN36">
        <f>IF($AB$6="Rotary",80,"")</f>
        <v>80</v>
      </c>
      <c r="BO36">
        <v>12</v>
      </c>
      <c r="DG36">
        <v>1</v>
      </c>
      <c r="DH36">
        <v>0.92</v>
      </c>
      <c r="DS36">
        <v>1</v>
      </c>
      <c r="DT36">
        <v>1</v>
      </c>
      <c r="DU36">
        <v>1</v>
      </c>
      <c r="FN36">
        <v>1</v>
      </c>
      <c r="FO36" t="str">
        <v>07QX2,1</v>
      </c>
      <c r="FP36">
        <v>160</v>
      </c>
      <c r="FQ36">
        <v>7.875</v>
      </c>
      <c r="FR36">
        <v>9</v>
      </c>
      <c r="FS36">
        <v>30000</v>
      </c>
      <c r="FT36">
        <v>2500</v>
      </c>
      <c r="FU36">
        <f>FT36</f>
        <v>2500</v>
      </c>
      <c r="FV36">
        <v>3000</v>
      </c>
      <c r="FW36">
        <v>5000</v>
      </c>
      <c r="FX36">
        <v>15000</v>
      </c>
      <c r="FY36">
        <f>FX36</f>
        <v>15000</v>
      </c>
      <c r="FZ36">
        <v>20000</v>
      </c>
      <c r="GA36">
        <v>28000</v>
      </c>
      <c r="GE36">
        <f>IF($FW$23&lt;=FR36,1,0)</f>
        <v>0</v>
      </c>
      <c r="GF36">
        <f>GD36+GE36</f>
        <v>0</v>
      </c>
      <c r="GG36">
        <f>IF($FW$29=$FX$34,FX36,IF($FW$29=$FY$34,FY36,IF($FW$29=$FZ$34,FZ36,IF($FW$29=$GA$34,GA36,""))))</f>
        <v>20000</v>
      </c>
      <c r="GH36">
        <f>IF(GF36=1,1,0)</f>
        <v>0</v>
      </c>
      <c r="GI36">
        <f>IF($FW$21&lt;FS36,1,0)</f>
        <v>0</v>
      </c>
      <c r="GJ36">
        <f>GH36+GI36</f>
        <v>0</v>
      </c>
      <c r="GK36" t="str">
        <f>IF(GJ36=2,FP36,"")</f>
        <v/>
      </c>
    </row>
    <row r="37">
      <c r="AE37">
        <v>2</v>
      </c>
      <c r="AF37" t="str">
        <f>IF($AB$6="Rotary","D25KS 34",IF($AB$6="DTH","D25KS 34",""))</f>
        <v>D25KS 34</v>
      </c>
      <c r="AG37">
        <v>2</v>
      </c>
      <c r="AH37">
        <v>1100</v>
      </c>
      <c r="AQ37">
        <v>7.625</v>
      </c>
      <c r="AR37">
        <f>IF($AR$29=1,35,38)</f>
        <v>35</v>
      </c>
      <c r="AS37">
        <f>1220*EK17</f>
        <v>6100</v>
      </c>
      <c r="AT37">
        <v>76</v>
      </c>
      <c r="AU37">
        <v>148</v>
      </c>
      <c r="AV37">
        <v>42</v>
      </c>
      <c r="AW37">
        <v>202</v>
      </c>
      <c r="AX37">
        <v>26</v>
      </c>
      <c r="AY37">
        <v>670</v>
      </c>
      <c r="AZ37">
        <v>7.625</v>
      </c>
      <c r="BA37">
        <f>(25*2)</f>
        <v>50</v>
      </c>
      <c r="BB37">
        <f>(1240*2)*$EK$18</f>
        <v>4960</v>
      </c>
      <c r="BC37">
        <v>76</v>
      </c>
      <c r="BD37">
        <v>148</v>
      </c>
      <c r="BE37">
        <v>42</v>
      </c>
      <c r="BF37">
        <v>202</v>
      </c>
      <c r="BG37">
        <v>26</v>
      </c>
      <c r="BH37">
        <v>670</v>
      </c>
      <c r="BK37">
        <v>14</v>
      </c>
      <c r="BL37" t="str">
        <v>1190E 65</v>
      </c>
      <c r="BM37">
        <v>14</v>
      </c>
      <c r="BN37">
        <f>IF($AB$6="Rotary",80,"")</f>
        <v>80</v>
      </c>
      <c r="BO37">
        <v>14</v>
      </c>
      <c r="DG37">
        <v>3</v>
      </c>
      <c r="DH37">
        <v>0.9</v>
      </c>
      <c r="DS37">
        <f>0.01+DS38</f>
        <v>0.8400000000000001</v>
      </c>
      <c r="DT37">
        <f>0.01+DT38</f>
        <v>0.9</v>
      </c>
      <c r="DU37">
        <f>0.01+DU38</f>
        <v>0.8400000000000001</v>
      </c>
      <c r="DV37">
        <f>+DS37*DT37*DU37</f>
        <v>0.6350400000000002</v>
      </c>
      <c r="FN37">
        <v>2</v>
      </c>
      <c r="FO37" t="str">
        <v>07QX2,2</v>
      </c>
      <c r="FP37">
        <v>160</v>
      </c>
      <c r="FQ37">
        <v>9.875</v>
      </c>
      <c r="FR37">
        <v>11</v>
      </c>
      <c r="FS37">
        <v>37000</v>
      </c>
      <c r="GE37">
        <f>IF($FW$23&lt;=FR37,1,0)</f>
        <v>0</v>
      </c>
      <c r="GF37">
        <f>GD37+GE37</f>
        <v>0</v>
      </c>
      <c r="GG37">
        <f>IF($FW$29=$FX$34,FX37,IF($FW$29=$FY$34,FY37,IF($FW$29=$FZ$34,FZ37,IF($FW$29=$GA$34,GA37,""))))</f>
        <v>0</v>
      </c>
      <c r="GH37">
        <f>IF(GF37=1,1,0)</f>
        <v>0</v>
      </c>
      <c r="GI37">
        <f>IF($FW$21&lt;FS37,1,0)</f>
        <v>0</v>
      </c>
      <c r="GJ37">
        <f>GH37+GI37</f>
        <v>0</v>
      </c>
      <c r="GK37" t="str">
        <f>IF(GJ37=2,FP37,"")</f>
        <v/>
      </c>
    </row>
    <row r="38">
      <c r="AE38">
        <v>3</v>
      </c>
      <c r="AF38" t="str">
        <f>IF($AB$6="Rotary","D45KS 34",IF($AB$6="DTH","D45KS 34",""))</f>
        <v>D45KS 34</v>
      </c>
      <c r="AG38">
        <v>3</v>
      </c>
      <c r="AH38">
        <v>1300</v>
      </c>
      <c r="AQ38">
        <v>8</v>
      </c>
      <c r="AR38">
        <f>IF($AR$29=1,35,38)</f>
        <v>35</v>
      </c>
      <c r="AS38">
        <f>1220*EK17</f>
        <v>6100</v>
      </c>
      <c r="AT38">
        <v>76</v>
      </c>
      <c r="AU38">
        <v>148</v>
      </c>
      <c r="AV38">
        <v>42</v>
      </c>
      <c r="AW38">
        <v>202</v>
      </c>
      <c r="AX38">
        <v>26</v>
      </c>
      <c r="AY38">
        <v>670</v>
      </c>
      <c r="AZ38">
        <v>8</v>
      </c>
      <c r="BA38">
        <f>(25*2)</f>
        <v>50</v>
      </c>
      <c r="BB38">
        <f>(1240*2)*$EK$18</f>
        <v>4960</v>
      </c>
      <c r="BC38">
        <v>76</v>
      </c>
      <c r="BD38">
        <v>148</v>
      </c>
      <c r="BE38">
        <v>42</v>
      </c>
      <c r="BF38">
        <v>202</v>
      </c>
      <c r="BG38">
        <v>26</v>
      </c>
      <c r="BH38">
        <v>670</v>
      </c>
      <c r="BK38">
        <v>15</v>
      </c>
      <c r="BL38" t="str">
        <v>DR412i MP</v>
      </c>
      <c r="BM38">
        <v>15</v>
      </c>
      <c r="BN38">
        <f>IF($AB$6="Rotary",100,350)</f>
        <v>100</v>
      </c>
      <c r="BO38">
        <v>15</v>
      </c>
      <c r="DG38">
        <v>4</v>
      </c>
      <c r="DH38">
        <v>0.89</v>
      </c>
      <c r="DS38">
        <f>0.01+DS39</f>
        <v>0.8300000000000001</v>
      </c>
      <c r="DT38">
        <f>0.01+DT39</f>
        <v>0.89</v>
      </c>
      <c r="DU38">
        <f>0.01+DU39</f>
        <v>0.8300000000000001</v>
      </c>
      <c r="DV38">
        <f>+DS38*DT38*DU38</f>
        <v>0.613121</v>
      </c>
      <c r="FN38">
        <v>3</v>
      </c>
      <c r="FO38" t="str">
        <v>17QX2,1</v>
      </c>
      <c r="FP38">
        <v>150</v>
      </c>
      <c r="FQ38">
        <v>7.875</v>
      </c>
      <c r="FR38">
        <v>9</v>
      </c>
      <c r="FS38">
        <v>37000</v>
      </c>
      <c r="FT38">
        <v>2500</v>
      </c>
      <c r="FU38">
        <f>FT38</f>
        <v>2500</v>
      </c>
      <c r="FV38">
        <v>3000</v>
      </c>
      <c r="FW38">
        <v>5000</v>
      </c>
      <c r="FX38">
        <v>18500</v>
      </c>
      <c r="FY38">
        <f>FX38</f>
        <v>18500</v>
      </c>
      <c r="FZ38">
        <v>27500</v>
      </c>
      <c r="GA38">
        <v>35000</v>
      </c>
      <c r="GE38">
        <f>IF($FW$23&lt;=FR38,1,0)</f>
        <v>0</v>
      </c>
      <c r="GF38">
        <f>GD38+GE38</f>
        <v>0</v>
      </c>
      <c r="GG38">
        <f>IF($FW$29=$FX$34,FX38,IF($FW$29=$FY$34,FY38,IF($FW$29=$FZ$34,FZ38,IF($FW$29=$GA$34,GA38,""))))</f>
        <v>27500</v>
      </c>
      <c r="GH38">
        <f>IF(GF38=1,1,0)</f>
        <v>0</v>
      </c>
      <c r="GI38">
        <f>IF($FW$21&lt;FS38,1,0)</f>
        <v>0</v>
      </c>
      <c r="GJ38">
        <f>GH38+GI38</f>
        <v>0</v>
      </c>
      <c r="GK38" t="str">
        <f>IF(GJ38=2,FP38,"")</f>
        <v/>
      </c>
    </row>
    <row r="39">
      <c r="AE39">
        <v>4</v>
      </c>
      <c r="AF39" t="str">
        <f>IF($AB$6="Rotary","D45KS 40",IF($AB$6="DTH","D45KS 40",""))</f>
        <v>D45KS 40</v>
      </c>
      <c r="AG39">
        <v>4</v>
      </c>
      <c r="AH39">
        <v>1300</v>
      </c>
      <c r="AQ39">
        <v>8.625</v>
      </c>
      <c r="AR39">
        <f>IF($AR$29=1,35,38)</f>
        <v>35</v>
      </c>
      <c r="AS39">
        <f>1433*EK17</f>
        <v>7165</v>
      </c>
      <c r="AT39">
        <v>74</v>
      </c>
      <c r="AU39">
        <v>202</v>
      </c>
      <c r="AV39">
        <v>47</v>
      </c>
      <c r="AW39">
        <v>302</v>
      </c>
      <c r="AX39">
        <v>29</v>
      </c>
      <c r="AY39">
        <v>1000</v>
      </c>
      <c r="AZ39">
        <v>8.625</v>
      </c>
      <c r="BA39">
        <f>(25*2)</f>
        <v>50</v>
      </c>
      <c r="BB39">
        <f>(1500*2)*$EK$18</f>
        <v>6000</v>
      </c>
      <c r="BC39">
        <v>74</v>
      </c>
      <c r="BD39">
        <v>202</v>
      </c>
      <c r="BE39">
        <v>47</v>
      </c>
      <c r="BF39">
        <v>302</v>
      </c>
      <c r="BG39">
        <v>29</v>
      </c>
      <c r="BH39">
        <v>1000</v>
      </c>
      <c r="BK39">
        <v>16</v>
      </c>
      <c r="BL39" t="str">
        <v>DR412i SP</v>
      </c>
      <c r="BM39">
        <v>16</v>
      </c>
      <c r="BN39">
        <f>IF($AB$6="Rotary",100,350)</f>
        <v>100</v>
      </c>
      <c r="BO39">
        <v>16</v>
      </c>
      <c r="DG39">
        <v>5</v>
      </c>
      <c r="DH39">
        <v>0.88</v>
      </c>
      <c r="DS39">
        <f>0.01+DS40</f>
        <v>0.8200000000000001</v>
      </c>
      <c r="DT39">
        <f>0.01+DT40</f>
        <v>0.88</v>
      </c>
      <c r="DU39">
        <f>0.01+DU40</f>
        <v>0.8200000000000001</v>
      </c>
      <c r="DV39">
        <f>+DS39*DT39*DU39</f>
        <v>0.591712</v>
      </c>
      <c r="FN39">
        <v>4</v>
      </c>
      <c r="FO39" t="str">
        <v>17QX2,2</v>
      </c>
      <c r="FP39">
        <v>150</v>
      </c>
      <c r="FQ39">
        <v>9.875</v>
      </c>
      <c r="FR39">
        <v>11</v>
      </c>
      <c r="FS39">
        <v>50000</v>
      </c>
      <c r="FT39">
        <v>2500</v>
      </c>
      <c r="FU39">
        <f>FT39</f>
        <v>2500</v>
      </c>
      <c r="FV39">
        <v>3000</v>
      </c>
      <c r="FW39">
        <v>5000</v>
      </c>
      <c r="FX39">
        <v>18500</v>
      </c>
      <c r="FY39">
        <f>FX39</f>
        <v>18500</v>
      </c>
      <c r="FZ39">
        <v>27500</v>
      </c>
      <c r="GA39">
        <v>35000</v>
      </c>
      <c r="GE39">
        <f>IF($FW$23&lt;=FR39,1,0)</f>
        <v>0</v>
      </c>
      <c r="GF39">
        <f>GD39+GE39</f>
        <v>0</v>
      </c>
      <c r="GG39">
        <f>IF($FW$29=$FX$34,FX39,IF($FW$29=$FY$34,FY39,IF($FW$29=$FZ$34,FZ39,IF($FW$29=$GA$34,GA39,""))))</f>
        <v>27500</v>
      </c>
      <c r="GH39">
        <f>IF(GF39=1,1,0)</f>
        <v>0</v>
      </c>
      <c r="GI39">
        <f>IF($FW$21&lt;FS39,1,0)</f>
        <v>0</v>
      </c>
      <c r="GJ39">
        <f>GH39+GI39</f>
        <v>0</v>
      </c>
      <c r="GK39" t="str">
        <f>IF(GJ39=2,FP39,"")</f>
        <v/>
      </c>
    </row>
    <row r="40">
      <c r="AE40">
        <v>5</v>
      </c>
      <c r="AF40" t="str">
        <f>IF($AB$6="Rotary","D50KS 34","")</f>
        <v>D50KS 34</v>
      </c>
      <c r="AG40">
        <v>5</v>
      </c>
      <c r="AH40">
        <v>1300</v>
      </c>
      <c r="BK40">
        <v>17</v>
      </c>
      <c r="BL40" t="str">
        <v>DR540</v>
      </c>
      <c r="BM40">
        <v>17</v>
      </c>
      <c r="BN40">
        <f>IF(BR40=1050,350,IF(BR40=900,500,0))</f>
        <v>0</v>
      </c>
      <c r="BO40">
        <v>17</v>
      </c>
      <c r="BR40">
        <f>IF($AE$2="DR540",BV2,0)</f>
        <v>0</v>
      </c>
      <c r="BS40">
        <f>Calculator!N16</f>
        <v>100</v>
      </c>
      <c r="CG40">
        <f>DI4*0.3048</f>
        <v>5.495272440741955</v>
      </c>
      <c r="CJ40" t="str">
        <v>Hammer Model</v>
      </c>
      <c r="CK40" t="str">
        <f>CH2</f>
        <v>Charger</v>
      </c>
      <c r="CL40">
        <f>BV59</f>
        <v>0</v>
      </c>
      <c r="CM40">
        <f>IF(CK40=CK49,CN49,IF(CK40=CK50,CN50,IF(CK40=CK51,CN51,IF(CK40=CK52,CN52,IF(CK40=CK53,CN53,0)))))</f>
        <v>0</v>
      </c>
      <c r="DG40">
        <v>6</v>
      </c>
      <c r="DH40">
        <v>0.87</v>
      </c>
      <c r="DS40">
        <f>0.01+DS41</f>
        <v>0.81</v>
      </c>
      <c r="DT40">
        <f>0.01+DT41</f>
        <v>0.87</v>
      </c>
      <c r="DU40">
        <f>0.01+DU41</f>
        <v>0.81</v>
      </c>
      <c r="DV40">
        <f>+DS40*DT40*DU40</f>
        <v>0.5708070000000001</v>
      </c>
      <c r="FN40">
        <v>5</v>
      </c>
      <c r="FO40" t="str">
        <v>20QX2,1</v>
      </c>
      <c r="FP40">
        <v>150</v>
      </c>
      <c r="FQ40">
        <v>7.875</v>
      </c>
      <c r="FR40">
        <v>9</v>
      </c>
      <c r="FS40">
        <v>37000</v>
      </c>
      <c r="FT40">
        <v>5500</v>
      </c>
      <c r="FU40">
        <f>FT40</f>
        <v>5500</v>
      </c>
      <c r="FV40">
        <v>10000</v>
      </c>
      <c r="FW40">
        <v>13000</v>
      </c>
      <c r="FX40">
        <v>20000</v>
      </c>
      <c r="FY40">
        <f>FX40</f>
        <v>20000</v>
      </c>
      <c r="FZ40">
        <v>30000</v>
      </c>
      <c r="GA40">
        <v>40000</v>
      </c>
      <c r="GE40">
        <f>IF($FW$23&lt;=FR40,1,0)</f>
        <v>0</v>
      </c>
      <c r="GF40">
        <f>GD40+GE40</f>
        <v>0</v>
      </c>
      <c r="GG40">
        <f>IF($FW$29=$FX$34,FX40,IF($FW$29=$FY$34,FY40,IF($FW$29=$FZ$34,FZ40,IF($FW$29=$GA$34,GA40,""))))</f>
        <v>30000</v>
      </c>
      <c r="GH40">
        <f>IF(GF40=1,1,0)</f>
        <v>0</v>
      </c>
      <c r="GI40">
        <f>IF($FW$21&lt;FS40,1,0)</f>
        <v>0</v>
      </c>
      <c r="GJ40">
        <f>GH40+GI40</f>
        <v>0</v>
      </c>
      <c r="GK40" t="str">
        <f>IF(GJ40=2,FP40,"")</f>
        <v/>
      </c>
    </row>
    <row r="41">
      <c r="AE41">
        <v>6</v>
      </c>
      <c r="AF41" t="str">
        <f>IF($AB$6="Rotary","D50KS 40","")</f>
        <v>D50KS 40</v>
      </c>
      <c r="AG41">
        <v>6</v>
      </c>
      <c r="AH41">
        <v>1300</v>
      </c>
      <c r="BK41">
        <v>18</v>
      </c>
      <c r="BL41" t="str">
        <v>DR560</v>
      </c>
      <c r="BM41">
        <v>18</v>
      </c>
      <c r="BN41">
        <f>IF(BR41=1350,350,IF(BR41=1150,500,0))</f>
        <v>0</v>
      </c>
      <c r="BO41">
        <v>18</v>
      </c>
      <c r="BR41">
        <f>IF($AE$2="DR560",BV2,0)</f>
        <v>0</v>
      </c>
      <c r="BZ41" t="str">
        <v>M30</v>
      </c>
      <c r="CA41" t="str">
        <v>M40</v>
      </c>
      <c r="CB41" t="str">
        <v>M50</v>
      </c>
      <c r="CC41" t="str">
        <v>M60</v>
      </c>
      <c r="CD41" t="str">
        <v>M80</v>
      </c>
      <c r="DG41">
        <v>7</v>
      </c>
      <c r="DH41">
        <v>0.86</v>
      </c>
      <c r="DS41">
        <f>+DH22</f>
        <v>0.8</v>
      </c>
      <c r="DT41">
        <f>+DH35</f>
        <v>0.86</v>
      </c>
      <c r="DU41">
        <f>DH54</f>
        <v>0.8</v>
      </c>
      <c r="DV41">
        <f>+DS41*DT41*DU41</f>
        <v>0.5504000000000001</v>
      </c>
      <c r="FN41">
        <v>6</v>
      </c>
      <c r="FO41" t="str">
        <v>20QX2,2</v>
      </c>
      <c r="FP41">
        <v>130</v>
      </c>
      <c r="FQ41">
        <v>9.875</v>
      </c>
      <c r="FR41">
        <v>11</v>
      </c>
      <c r="FS41">
        <v>50000</v>
      </c>
      <c r="GE41">
        <f>IF($FW$23&lt;=FR41,1,0)</f>
        <v>0</v>
      </c>
      <c r="GF41">
        <f>GD41+GE41</f>
        <v>0</v>
      </c>
      <c r="GG41">
        <f>IF($FW$29=$FX$34,FX41,IF($FW$29=$FY$34,FY41,IF($FW$29=$FZ$34,FZ41,IF($FW$29=$GA$34,GA41,""))))</f>
        <v>0</v>
      </c>
      <c r="GH41">
        <f>IF(GF41=1,1,0)</f>
        <v>0</v>
      </c>
      <c r="GI41">
        <f>IF($FW$21&lt;FS41,1,0)</f>
        <v>0</v>
      </c>
      <c r="GJ41">
        <f>GH41+GI41</f>
        <v>0</v>
      </c>
      <c r="GK41" t="str">
        <f>IF(GJ41=2,FP41,"")</f>
        <v/>
      </c>
    </row>
    <row r="42">
      <c r="AE42">
        <v>7</v>
      </c>
      <c r="AF42" t="str">
        <f>IF($AB$6="Rotary","D55SP 55",IF($AB$6="DTH","D55SP 55",""))</f>
        <v>D55SP 55</v>
      </c>
      <c r="AG42">
        <v>7</v>
      </c>
      <c r="AH42">
        <v>1300</v>
      </c>
      <c r="BK42">
        <v>19</v>
      </c>
      <c r="BL42" t="str">
        <v>DR580</v>
      </c>
      <c r="BM42">
        <v>19</v>
      </c>
      <c r="BN42">
        <f>IF(BR42=1575,350,IF(BR42=1350,500,0))</f>
        <v>0</v>
      </c>
      <c r="BO42">
        <v>19</v>
      </c>
      <c r="BR42">
        <f>IF($AE$2="DR580",BV2,0)</f>
        <v>0</v>
      </c>
      <c r="BZ42">
        <v>90</v>
      </c>
      <c r="CA42">
        <v>108</v>
      </c>
      <c r="CB42">
        <v>152</v>
      </c>
      <c r="CC42">
        <v>155</v>
      </c>
      <c r="CD42">
        <v>203</v>
      </c>
      <c r="CJ42" t="str">
        <v>Bit Size Chosen</v>
      </c>
      <c r="CK42">
        <f>$DD$2</f>
        <v>311</v>
      </c>
      <c r="CL42">
        <f>CM40/CK42</f>
        <v>0</v>
      </c>
      <c r="CM42">
        <f>SQRT(CL42)</f>
        <v>0</v>
      </c>
      <c r="CN42">
        <f>POWER(CM42,3)</f>
        <v>0</v>
      </c>
      <c r="DG42">
        <v>8</v>
      </c>
      <c r="DH42">
        <v>0.85</v>
      </c>
      <c r="DS42">
        <f>+DS41-0.01</f>
        <v>0.79</v>
      </c>
      <c r="DT42">
        <f>+DT41-0.01</f>
        <v>0.85</v>
      </c>
      <c r="DU42">
        <f>+DU41-0.01</f>
        <v>0.79</v>
      </c>
      <c r="DV42">
        <f>+DS42*DT42*DU42</f>
        <v>0.530485</v>
      </c>
      <c r="FN42">
        <v>7</v>
      </c>
      <c r="FO42" t="str">
        <v>25QX2,1</v>
      </c>
      <c r="FP42">
        <v>130</v>
      </c>
      <c r="FQ42">
        <v>7.875</v>
      </c>
      <c r="FR42">
        <v>9</v>
      </c>
      <c r="FS42">
        <v>39000</v>
      </c>
      <c r="FT42">
        <v>10000</v>
      </c>
      <c r="FU42">
        <f>FT42</f>
        <v>10000</v>
      </c>
      <c r="FV42">
        <v>15000</v>
      </c>
      <c r="FW42">
        <v>20000</v>
      </c>
      <c r="FX42">
        <v>25000</v>
      </c>
      <c r="FY42">
        <f>FX42</f>
        <v>25000</v>
      </c>
      <c r="FZ42">
        <v>35000</v>
      </c>
      <c r="GA42">
        <v>45000</v>
      </c>
      <c r="GE42">
        <f>IF($FW$23&lt;=FR42,1,0)</f>
        <v>0</v>
      </c>
      <c r="GF42">
        <f>GD42+GE42</f>
        <v>0</v>
      </c>
      <c r="GG42">
        <f>IF($FW$29=$FX$34,FX42,IF($FW$29=$FY$34,FY42,IF($FW$29=$FZ$34,FZ42,IF($FW$29=$GA$34,GA42,""))))</f>
        <v>35000</v>
      </c>
      <c r="GH42">
        <f>IF(GF42=1,1,0)</f>
        <v>0</v>
      </c>
      <c r="GI42">
        <f>IF($FW$21&lt;FS42,1,0)</f>
        <v>0</v>
      </c>
      <c r="GJ42">
        <f>GH42+GI42</f>
        <v>0</v>
      </c>
      <c r="GK42" t="str">
        <f>IF(GJ42=2,FP42,"")</f>
        <v/>
      </c>
    </row>
    <row r="43">
      <c r="AE43">
        <v>8</v>
      </c>
      <c r="AF43" t="str">
        <f>IF($AB$6="Rotary","D75KS 40",IF($AB$6="DTH","D75KS 40",""))</f>
        <v>D75KS 40</v>
      </c>
      <c r="AG43">
        <v>8</v>
      </c>
      <c r="AH43">
        <v>2050</v>
      </c>
      <c r="BK43">
        <v>20</v>
      </c>
      <c r="BL43" t="str">
        <v>160D</v>
      </c>
      <c r="BM43">
        <v>20</v>
      </c>
      <c r="BN43">
        <f>IF($AB$6="Rotary",100,IF(BR43=900.1,350,IF(BR43=900,250)))</f>
        <v>100</v>
      </c>
      <c r="BO43">
        <v>20</v>
      </c>
      <c r="BR43">
        <f>IF($AE$2="160D",BV2,0)</f>
        <v>0</v>
      </c>
      <c r="BZ43">
        <v>92</v>
      </c>
      <c r="CA43">
        <v>110</v>
      </c>
      <c r="CB43">
        <v>146</v>
      </c>
      <c r="CC43">
        <v>159</v>
      </c>
      <c r="CD43">
        <v>219</v>
      </c>
      <c r="DG43">
        <v>9</v>
      </c>
      <c r="DH43">
        <v>0.84</v>
      </c>
      <c r="DS43">
        <f>+DS42-0.01</f>
        <v>0.78</v>
      </c>
      <c r="DT43">
        <f>+DT42-0.01</f>
        <v>0.84</v>
      </c>
      <c r="DU43">
        <f>+DU42-0.01</f>
        <v>0.78</v>
      </c>
      <c r="DV43">
        <f>+DS43*DT43*DU43</f>
        <v>0.5110560000000001</v>
      </c>
      <c r="FN43">
        <v>8</v>
      </c>
      <c r="FO43" t="str">
        <v>25QX2,2</v>
      </c>
      <c r="FP43">
        <v>130</v>
      </c>
      <c r="FQ43">
        <v>9.875</v>
      </c>
      <c r="FR43">
        <v>11</v>
      </c>
      <c r="FS43">
        <v>55000</v>
      </c>
      <c r="FT43">
        <v>10000</v>
      </c>
      <c r="FU43">
        <f>FT43</f>
        <v>10000</v>
      </c>
      <c r="FV43">
        <v>15000</v>
      </c>
      <c r="FW43">
        <v>20000</v>
      </c>
      <c r="FX43">
        <v>25000</v>
      </c>
      <c r="FY43">
        <f>FX43</f>
        <v>25000</v>
      </c>
      <c r="FZ43">
        <v>35000</v>
      </c>
      <c r="GA43">
        <v>45000</v>
      </c>
      <c r="GE43">
        <f>IF($FW$23&lt;=FR43,1,0)</f>
        <v>0</v>
      </c>
      <c r="GF43">
        <f>GD43+GE43</f>
        <v>0</v>
      </c>
      <c r="GG43">
        <f>IF($FW$29=$FX$34,FX43,IF($FW$29=$FY$34,FY43,IF($FW$29=$FZ$34,FZ43,IF($FW$29=$GA$34,GA43,""))))</f>
        <v>35000</v>
      </c>
      <c r="GH43">
        <f>IF(GF43=1,1,0)</f>
        <v>0</v>
      </c>
      <c r="GI43">
        <f>IF($FW$21&lt;FS43,1,0)</f>
        <v>0</v>
      </c>
      <c r="GJ43">
        <f>GH43+GI43</f>
        <v>0</v>
      </c>
      <c r="GK43" t="str">
        <f>IF(GJ43=2,FP43,"")</f>
        <v/>
      </c>
    </row>
    <row r="44">
      <c r="AE44">
        <v>9</v>
      </c>
      <c r="AF44" t="str">
        <f>IF($AB$6="Rotary","DR460 48",IF($AB$6="DTH","DR460 48",""))</f>
        <v>DR460 48</v>
      </c>
      <c r="AG44">
        <v>9</v>
      </c>
      <c r="AH44">
        <v>2050</v>
      </c>
      <c r="AR44">
        <f>AS36+AU36+AW36+AY36</f>
        <v>6357</v>
      </c>
      <c r="AU44">
        <f>BB36+BD36+BF36+BH36</f>
        <v>5157</v>
      </c>
      <c r="BK44">
        <v>21</v>
      </c>
      <c r="BL44" t="str">
        <v>DR416i</v>
      </c>
      <c r="BM44">
        <v>21</v>
      </c>
      <c r="BN44">
        <v>80</v>
      </c>
      <c r="BO44">
        <v>21</v>
      </c>
      <c r="BZ44">
        <v>95</v>
      </c>
      <c r="CA44">
        <v>115</v>
      </c>
      <c r="CB44">
        <v>140</v>
      </c>
      <c r="CC44">
        <v>165</v>
      </c>
      <c r="CD44">
        <v>222</v>
      </c>
      <c r="CG44" t="str">
        <v>Operating Air Pressure</v>
      </c>
      <c r="CJ44" t="str">
        <v>Rock DRI</v>
      </c>
      <c r="CK44">
        <v>48</v>
      </c>
      <c r="CL44">
        <v>12</v>
      </c>
      <c r="CM44">
        <f>VLOOKUP(CL44,CI58:CJ83,2)</f>
        <v>52</v>
      </c>
      <c r="CP44" t="str">
        <v>Theoretical Hammer  ROP</v>
      </c>
      <c r="DG44">
        <v>10</v>
      </c>
      <c r="DH44">
        <v>0.83</v>
      </c>
      <c r="DS44">
        <f>+DS43-0.01</f>
        <v>0.77</v>
      </c>
      <c r="DT44">
        <f>+DT43-0.01</f>
        <v>0.83</v>
      </c>
      <c r="DU44">
        <f>+DU43-0.01</f>
        <v>0.77</v>
      </c>
      <c r="DV44">
        <f>+DS44*DT44*DU44</f>
        <v>0.492107</v>
      </c>
      <c r="FN44">
        <v>9</v>
      </c>
      <c r="FO44" t="str">
        <v>30QX2,1</v>
      </c>
      <c r="FP44">
        <v>120</v>
      </c>
      <c r="FQ44">
        <v>6.75</v>
      </c>
      <c r="FR44">
        <v>7.375</v>
      </c>
      <c r="FS44">
        <v>40000</v>
      </c>
      <c r="FT44">
        <v>16000</v>
      </c>
      <c r="FU44">
        <f>FT44</f>
        <v>16000</v>
      </c>
      <c r="FV44">
        <v>25000</v>
      </c>
      <c r="FW44">
        <v>33000</v>
      </c>
      <c r="FX44">
        <v>28500</v>
      </c>
      <c r="FY44">
        <f>FX44</f>
        <v>28500</v>
      </c>
      <c r="FZ44">
        <v>43000</v>
      </c>
      <c r="GA44">
        <v>57000</v>
      </c>
      <c r="GE44">
        <f>IF($FW$23&lt;=FR44,1,0)</f>
        <v>0</v>
      </c>
      <c r="GF44">
        <f>GD44+GE44</f>
        <v>0</v>
      </c>
      <c r="GG44">
        <f>IF($FW$29=$FX$34,FX44,IF($FW$29=$FY$34,FY44,IF($FW$29=$FZ$34,FZ44,IF($FW$29=$GA$34,GA44,""))))</f>
        <v>43000</v>
      </c>
      <c r="GH44">
        <f>IF(GF44=1,1,0)</f>
        <v>0</v>
      </c>
      <c r="GI44">
        <f>IF($FW$21&lt;FS44,1,0)</f>
        <v>0</v>
      </c>
      <c r="GJ44">
        <f>GH44+GI44</f>
        <v>0</v>
      </c>
      <c r="GK44" t="str">
        <f>IF(GJ44=2,FP44,"")</f>
        <v/>
      </c>
    </row>
    <row r="45">
      <c r="AE45">
        <v>10</v>
      </c>
      <c r="AF45" t="str">
        <f>IF($AB$6="Rotary","DR460 63",IF($AB$6="DTH","DR460 63",""))</f>
        <v>DR460 63</v>
      </c>
      <c r="AG45">
        <v>10</v>
      </c>
      <c r="AH45">
        <v>2050</v>
      </c>
      <c r="AR45">
        <f>AS37+AU37+AW37+AY37</f>
        <v>7120</v>
      </c>
      <c r="AU45">
        <f>BB37+BD37+BF37+BH37</f>
        <v>5980</v>
      </c>
      <c r="BZ45">
        <v>100</v>
      </c>
      <c r="CA45">
        <v>121</v>
      </c>
      <c r="CB45">
        <v>133</v>
      </c>
      <c r="CC45">
        <v>172</v>
      </c>
      <c r="CD45">
        <v>229</v>
      </c>
      <c r="CF45">
        <f>CH75</f>
        <v>350</v>
      </c>
      <c r="CG45">
        <v>500</v>
      </c>
      <c r="CH45">
        <v>1.465</v>
      </c>
      <c r="CP45">
        <f>IF($CK$40=CK49,CL49,IF($CK$40=CK50,CL50,IF($CK$40=CK51,CL51,IF($CK$40=CK52,CL52,IF($CK$40=CK53,CL53,0)))))</f>
        <v>0</v>
      </c>
      <c r="CQ45">
        <f>IF($CK$40=CK49,CM49,IF($CK$40=CK50,CM50,IF($CK$40=CK51,CM51,IF($CK$40=CK52,CM52,IF($CK$40=CK53,CM53,0)))))</f>
        <v>0</v>
      </c>
      <c r="DG45">
        <v>11</v>
      </c>
      <c r="DH45">
        <v>0.82</v>
      </c>
      <c r="DS45">
        <f>+DS44-0.01</f>
        <v>0.76</v>
      </c>
      <c r="DT45">
        <f>+DT44-0.01</f>
        <v>0.82</v>
      </c>
      <c r="DU45">
        <f>+DU44-0.01</f>
        <v>0.76</v>
      </c>
      <c r="DV45">
        <f>+DS45*DT45*DU45</f>
        <v>0.473632</v>
      </c>
      <c r="FN45">
        <v>10</v>
      </c>
      <c r="FO45" t="str">
        <v>30QX2,2</v>
      </c>
      <c r="FP45">
        <v>120</v>
      </c>
      <c r="FQ45">
        <v>9.875</v>
      </c>
      <c r="FR45">
        <v>11</v>
      </c>
      <c r="FS45">
        <v>60000</v>
      </c>
      <c r="FT45">
        <v>16000</v>
      </c>
      <c r="FU45">
        <f>FT45</f>
        <v>16000</v>
      </c>
      <c r="FV45">
        <v>25000</v>
      </c>
      <c r="FW45">
        <v>33000</v>
      </c>
      <c r="FX45">
        <v>28500</v>
      </c>
      <c r="FY45">
        <f>FX45</f>
        <v>28500</v>
      </c>
      <c r="FZ45">
        <v>43000</v>
      </c>
      <c r="GA45">
        <v>57000</v>
      </c>
      <c r="GE45">
        <f>IF($FW$23&lt;=FR45,1,0)</f>
        <v>0</v>
      </c>
      <c r="GF45">
        <f>GD45+GE45</f>
        <v>0</v>
      </c>
      <c r="GG45">
        <f>IF($FW$29=$FX$34,FX45,IF($FW$29=$FY$34,FY45,IF($FW$29=$FZ$34,FZ45,IF($FW$29=$GA$34,GA45,""))))</f>
        <v>43000</v>
      </c>
      <c r="GH45">
        <f>IF(GF45=1,1,0)</f>
        <v>0</v>
      </c>
      <c r="GI45">
        <f>IF($FW$21&lt;FS45,1,0)</f>
        <v>0</v>
      </c>
      <c r="GJ45">
        <f>GH45+GI45</f>
        <v>0</v>
      </c>
      <c r="GK45" t="str">
        <f>IF(GJ45=2,FP45,"")</f>
        <v/>
      </c>
    </row>
    <row r="46">
      <c r="AE46">
        <v>11</v>
      </c>
      <c r="AF46" t="str">
        <f>IF($AB$6="Rotary","D90KS 46","")</f>
        <v>D90KS 46</v>
      </c>
      <c r="AG46">
        <v>11</v>
      </c>
      <c r="AH46">
        <v>3580</v>
      </c>
      <c r="AR46">
        <f>AS38+AU38+AW38+AY38</f>
        <v>7120</v>
      </c>
      <c r="AU46">
        <f>BB38+BD38+BF38+BH38</f>
        <v>5980</v>
      </c>
      <c r="BZ46">
        <v>105</v>
      </c>
      <c r="CA46">
        <v>127</v>
      </c>
      <c r="CC46">
        <v>190</v>
      </c>
      <c r="CD46">
        <v>254</v>
      </c>
      <c r="CG46">
        <v>475</v>
      </c>
      <c r="CH46">
        <v>1.388</v>
      </c>
      <c r="CP46" t="str">
        <v>Adjusted Hammer ROP</v>
      </c>
      <c r="DG46">
        <v>12</v>
      </c>
      <c r="DH46">
        <v>0.81</v>
      </c>
      <c r="DS46">
        <f>+DS45-0.01</f>
        <v>0.75</v>
      </c>
      <c r="DT46">
        <f>+DT45-0.01</f>
        <v>0.8099999999999999</v>
      </c>
      <c r="DU46">
        <f>+DU45-0.01</f>
        <v>0.75</v>
      </c>
      <c r="DV46">
        <f>+DS46*DT46*DU46</f>
        <v>0.45562499999999995</v>
      </c>
      <c r="FN46">
        <v>11</v>
      </c>
      <c r="FO46" t="str">
        <v>30QX2,3</v>
      </c>
      <c r="FP46">
        <v>125</v>
      </c>
      <c r="FQ46">
        <v>12.25</v>
      </c>
      <c r="FR46">
        <v>13.75</v>
      </c>
      <c r="FS46">
        <v>80000</v>
      </c>
      <c r="FT46">
        <v>16000</v>
      </c>
      <c r="FU46">
        <f>FT46</f>
        <v>16000</v>
      </c>
      <c r="FV46">
        <v>25000</v>
      </c>
      <c r="FW46">
        <v>33000</v>
      </c>
      <c r="FX46">
        <v>28500</v>
      </c>
      <c r="FY46">
        <f>FX46</f>
        <v>28500</v>
      </c>
      <c r="FZ46">
        <v>43000</v>
      </c>
      <c r="GA46">
        <v>57000</v>
      </c>
      <c r="GE46">
        <f>IF($FW$23&lt;=FR46,1,0)</f>
        <v>1</v>
      </c>
      <c r="GF46">
        <f>GD46+GE46</f>
        <v>1</v>
      </c>
      <c r="GG46">
        <f>IF($FW$29=$FX$34,FX46,IF($FW$29=$FY$34,FY46,IF($FW$29=$FZ$34,FZ46,IF($FW$29=$GA$34,GA46,""))))</f>
        <v>43000</v>
      </c>
      <c r="GH46">
        <f>IF(GF46=1,1,0)</f>
        <v>1</v>
      </c>
      <c r="GI46">
        <f>IF($FW$21&lt;FS46,1,0)</f>
        <v>0</v>
      </c>
      <c r="GJ46">
        <f>GH46+GI46</f>
        <v>1</v>
      </c>
      <c r="GK46" t="str">
        <f>IF(GJ46=2,FP46,"")</f>
        <v/>
      </c>
    </row>
    <row r="47">
      <c r="AE47">
        <v>12</v>
      </c>
      <c r="AF47" t="str">
        <f>IF($AB$6="Rotary","D90KS 72","")</f>
        <v>D90KS 72</v>
      </c>
      <c r="AG47">
        <v>12</v>
      </c>
      <c r="AH47">
        <v>3580</v>
      </c>
      <c r="AR47">
        <f>AS39+AU39+AW39+AY39</f>
        <v>8669</v>
      </c>
      <c r="AU47">
        <f>BB39+BD39+BF39+BH39</f>
        <v>7504</v>
      </c>
      <c r="CC47">
        <v>203</v>
      </c>
      <c r="CF47">
        <f>VLOOKUP(CF45,CG45:CH57,2,FALSE)</f>
        <v>1</v>
      </c>
      <c r="CG47">
        <v>450</v>
      </c>
      <c r="CH47">
        <v>1.311</v>
      </c>
      <c r="CP47">
        <f>CP45*CN42</f>
        <v>0</v>
      </c>
      <c r="CQ47">
        <f>CQ45*CN42</f>
        <v>0</v>
      </c>
      <c r="DG47">
        <v>13</v>
      </c>
      <c r="DH47">
        <v>0.8</v>
      </c>
      <c r="FN47">
        <v>12</v>
      </c>
      <c r="FO47" t="str">
        <v>35QX2,1</v>
      </c>
      <c r="FP47">
        <v>120</v>
      </c>
      <c r="FQ47">
        <v>9.875</v>
      </c>
      <c r="FR47">
        <v>11</v>
      </c>
      <c r="FS47">
        <v>70000</v>
      </c>
      <c r="FT47">
        <v>20000</v>
      </c>
      <c r="FU47">
        <f>FT47</f>
        <v>20000</v>
      </c>
      <c r="FV47">
        <v>30000</v>
      </c>
      <c r="FW47">
        <v>40000</v>
      </c>
      <c r="FX47">
        <v>35000</v>
      </c>
      <c r="FY47">
        <f>FX47</f>
        <v>35000</v>
      </c>
      <c r="FZ47">
        <v>55000</v>
      </c>
      <c r="GA47">
        <v>70000</v>
      </c>
      <c r="GE47">
        <f>IF($FW$23&lt;=FR47,1,0)</f>
        <v>0</v>
      </c>
      <c r="GF47">
        <f>GD47+GE47</f>
        <v>0</v>
      </c>
      <c r="GG47">
        <f>IF($FW$29=$FX$34,FX47,IF($FW$29=$FY$34,FY47,IF($FW$29=$FZ$34,FZ47,IF($FW$29=$GA$34,GA47,""))))</f>
        <v>55000</v>
      </c>
      <c r="GH47">
        <f>IF(GF47=1,1,0)</f>
        <v>0</v>
      </c>
      <c r="GI47">
        <f>IF($FW$21&lt;FS47,1,0)</f>
        <v>0</v>
      </c>
      <c r="GJ47">
        <f>GH47+GI47</f>
        <v>0</v>
      </c>
      <c r="GK47" t="str">
        <f>IF(GJ47=2,FP47,"")</f>
        <v/>
      </c>
    </row>
    <row r="48">
      <c r="AE48">
        <v>13</v>
      </c>
      <c r="AF48" t="str">
        <f>IF($AB$6="Rotary","1190E 46","")</f>
        <v>1190E 46</v>
      </c>
      <c r="AG48">
        <v>13</v>
      </c>
      <c r="AH48">
        <v>3580</v>
      </c>
      <c r="CG48">
        <v>425</v>
      </c>
      <c r="CH48">
        <v>1.234</v>
      </c>
      <c r="CL48" t="str">
        <v>Spherical</v>
      </c>
      <c r="CM48" t="str">
        <v>Ballistic</v>
      </c>
      <c r="CP48" t="str">
        <v>ROP in DRI rock at Given Pressure</v>
      </c>
      <c r="DG48">
        <v>14</v>
      </c>
      <c r="DH48">
        <v>0.79</v>
      </c>
      <c r="FN48">
        <v>13</v>
      </c>
      <c r="FO48" t="str">
        <v>35QX2,2</v>
      </c>
      <c r="FP48">
        <v>120</v>
      </c>
      <c r="FQ48">
        <v>12.25</v>
      </c>
      <c r="FR48">
        <v>13.75</v>
      </c>
      <c r="FS48">
        <v>85000</v>
      </c>
      <c r="FT48">
        <v>20000</v>
      </c>
      <c r="FU48">
        <f>FT48</f>
        <v>20000</v>
      </c>
      <c r="FV48">
        <v>30000</v>
      </c>
      <c r="FW48">
        <v>40000</v>
      </c>
      <c r="FX48">
        <v>35000</v>
      </c>
      <c r="FY48">
        <f>FX48</f>
        <v>35000</v>
      </c>
      <c r="FZ48">
        <v>55000</v>
      </c>
      <c r="GA48">
        <v>70000</v>
      </c>
      <c r="GE48">
        <f>IF($FW$23&lt;=FR48,1,0)</f>
        <v>1</v>
      </c>
      <c r="GF48">
        <f>GD48+GE48</f>
        <v>1</v>
      </c>
      <c r="GG48">
        <f>IF($FW$29=$FX$34,FX48,IF($FW$29=$FY$34,FY48,IF($FW$29=$FZ$34,FZ48,IF($FW$29=$GA$34,GA48,""))))</f>
        <v>55000</v>
      </c>
      <c r="GH48">
        <f>IF(GF48=1,1,0)</f>
        <v>1</v>
      </c>
      <c r="GI48">
        <f>IF($FW$21&lt;FS48,1,0)</f>
        <v>1</v>
      </c>
      <c r="GJ48">
        <f>GH48+GI48</f>
        <v>2</v>
      </c>
      <c r="GK48">
        <f>IF(GJ48=2,FP48,"")</f>
        <v>120</v>
      </c>
    </row>
    <row r="49">
      <c r="AE49">
        <v>14</v>
      </c>
      <c r="AF49" t="str">
        <f>IF($AB$6="Rotary","1190E 72","")</f>
        <v>1190E 72</v>
      </c>
      <c r="AG49">
        <v>14</v>
      </c>
      <c r="AH49">
        <v>3580</v>
      </c>
      <c r="AR49">
        <v>48</v>
      </c>
      <c r="AU49">
        <v>63</v>
      </c>
      <c r="CG49">
        <v>400</v>
      </c>
      <c r="CH49">
        <v>1.158</v>
      </c>
      <c r="CK49" t="str">
        <v>M30</v>
      </c>
      <c r="CL49">
        <v>52</v>
      </c>
      <c r="CM49">
        <f>CL49*1.15</f>
        <v>59.8</v>
      </c>
      <c r="CN49">
        <v>90</v>
      </c>
      <c r="CP49">
        <f>CP47*CF47</f>
        <v>0</v>
      </c>
      <c r="CQ49">
        <f>CQ47*CF47</f>
        <v>0</v>
      </c>
      <c r="DG49">
        <v>15</v>
      </c>
      <c r="DH49">
        <v>0.78</v>
      </c>
      <c r="FN49">
        <v>14</v>
      </c>
      <c r="FO49" t="str">
        <v>37QX2,1</v>
      </c>
      <c r="FP49">
        <v>120</v>
      </c>
      <c r="FQ49">
        <v>12.25</v>
      </c>
      <c r="FR49">
        <v>13.75</v>
      </c>
      <c r="FS49">
        <v>85000</v>
      </c>
      <c r="FT49">
        <v>20000</v>
      </c>
      <c r="FU49">
        <f>FT49</f>
        <v>20000</v>
      </c>
      <c r="FV49">
        <v>34000</v>
      </c>
      <c r="FW49">
        <v>44000</v>
      </c>
      <c r="FX49">
        <v>39000</v>
      </c>
      <c r="FY49">
        <f>FX49</f>
        <v>39000</v>
      </c>
      <c r="FZ49">
        <v>57000</v>
      </c>
      <c r="GA49">
        <v>70000</v>
      </c>
      <c r="GE49">
        <f>IF($FW$23&lt;=FR49,1,0)</f>
        <v>1</v>
      </c>
      <c r="GF49">
        <f>GD49+GE49</f>
        <v>1</v>
      </c>
      <c r="GG49">
        <f>IF($FW$29=$FX$34,FX49,IF($FW$29=$FY$34,FY49,IF($FW$29=$FZ$34,FZ49,IF($FW$29=$GA$34,GA49,""))))</f>
        <v>57000</v>
      </c>
      <c r="GH49">
        <f>IF(GF49=1,1,0)</f>
        <v>1</v>
      </c>
      <c r="GI49">
        <f>IF($FW$21&lt;FS49,1,0)</f>
        <v>1</v>
      </c>
      <c r="GJ49">
        <f>GH49+GI49</f>
        <v>2</v>
      </c>
      <c r="GK49">
        <f>IF(GJ49=2,FP49,"")</f>
        <v>120</v>
      </c>
    </row>
    <row r="50">
      <c r="AE50">
        <v>15</v>
      </c>
      <c r="AF50" t="str">
        <f>IF($AB$6="Rotary","DR412i MP",IF($AB$6="DTH","DR412i MP",""))</f>
        <v>DR412i MP</v>
      </c>
      <c r="AG50">
        <v>15</v>
      </c>
      <c r="AH50">
        <v>2050</v>
      </c>
      <c r="AI50">
        <f>AR51</f>
        <v>8669</v>
      </c>
      <c r="AJ50">
        <f>FD17</f>
        <v>80000</v>
      </c>
      <c r="AR50" t="str">
        <v>Weight</v>
      </c>
      <c r="AS50" t="str">
        <v>Length</v>
      </c>
      <c r="AU50" t="str">
        <v>Weight</v>
      </c>
      <c r="AV50" t="str">
        <v>Length</v>
      </c>
      <c r="BX50" t="str">
        <v>M30</v>
      </c>
      <c r="BY50" t="str">
        <v>M40</v>
      </c>
      <c r="BZ50" t="str">
        <v>M50</v>
      </c>
      <c r="CA50" t="str">
        <v>M55</v>
      </c>
      <c r="CB50" t="str">
        <v>M60</v>
      </c>
      <c r="CC50" t="str">
        <v>M65</v>
      </c>
      <c r="CD50" t="str">
        <v>M80</v>
      </c>
      <c r="CG50">
        <v>375</v>
      </c>
      <c r="CH50">
        <v>1.081</v>
      </c>
      <c r="CK50" t="str">
        <v>M40</v>
      </c>
      <c r="CL50">
        <v>56</v>
      </c>
      <c r="CM50">
        <f>CL50*1.15</f>
        <v>64.39999999999999</v>
      </c>
      <c r="CN50">
        <v>115</v>
      </c>
      <c r="CP50" t="str">
        <v>INSTANTANEOUS ROP</v>
      </c>
      <c r="DG50">
        <v>16</v>
      </c>
      <c r="DH50">
        <v>0.77</v>
      </c>
      <c r="FN50">
        <v>15</v>
      </c>
      <c r="FO50" t="str">
        <v>37QX2,2</v>
      </c>
      <c r="FP50">
        <v>120</v>
      </c>
      <c r="FQ50">
        <v>15</v>
      </c>
      <c r="FR50">
        <v>16</v>
      </c>
      <c r="FS50">
        <v>120000</v>
      </c>
      <c r="FT50">
        <v>20000</v>
      </c>
      <c r="FU50">
        <f>FT50</f>
        <v>20000</v>
      </c>
      <c r="FV50">
        <v>34000</v>
      </c>
      <c r="FW50">
        <v>44000</v>
      </c>
      <c r="FX50">
        <v>39000</v>
      </c>
      <c r="FY50">
        <f>FX50</f>
        <v>39000</v>
      </c>
      <c r="FZ50">
        <v>57000</v>
      </c>
      <c r="GA50">
        <v>70000</v>
      </c>
      <c r="GE50">
        <f>IF($FW$23&lt;=FR50,1,0)</f>
        <v>1</v>
      </c>
      <c r="GF50">
        <f>GD50+GE50</f>
        <v>1</v>
      </c>
      <c r="GG50">
        <f>IF($FW$29=$FX$34,FX50,IF($FW$29=$FY$34,FY50,IF($FW$29=$FZ$34,FZ50,IF($FW$29=$GA$34,GA50,""))))</f>
        <v>57000</v>
      </c>
      <c r="GH50">
        <f>IF(GF50=1,1,0)</f>
        <v>1</v>
      </c>
      <c r="GI50">
        <f>IF($FW$21&lt;FS50,1,0)</f>
        <v>1</v>
      </c>
      <c r="GJ50">
        <f>GH50+GI50</f>
        <v>2</v>
      </c>
      <c r="GK50">
        <f>IF(GJ50=2,FP50,"")</f>
        <v>120</v>
      </c>
    </row>
    <row r="51">
      <c r="AE51">
        <v>16</v>
      </c>
      <c r="AF51" t="str">
        <f>IF($AB$6="Rotary","DR412i SP",IF($AB$6="DTH","DR412i SP",""))</f>
        <v>DR412i SP</v>
      </c>
      <c r="AG51">
        <v>16</v>
      </c>
      <c r="AH51">
        <v>2050</v>
      </c>
      <c r="AI51">
        <f>AU51</f>
        <v>7504</v>
      </c>
      <c r="AJ51">
        <f>FD18</f>
        <v>80000</v>
      </c>
      <c r="AN51">
        <f>BB2</f>
        <v>245</v>
      </c>
      <c r="AR51">
        <f>LOOKUP($AN$51,AQ53:AR56)</f>
        <v>8669</v>
      </c>
      <c r="AS51">
        <f>LOOKUP(AN51,AQ53:AQ56,AS53:AS56)</f>
        <v>47.5</v>
      </c>
      <c r="AU51">
        <f>LOOKUP(AN51,AQ53:AQ56,AU53:AU56)</f>
        <v>7504</v>
      </c>
      <c r="AV51">
        <f>LOOKUP(AQ53,AQ53:AQ56,AV53:AV56)</f>
        <v>62</v>
      </c>
      <c r="BW51" t="str">
        <v>INCH</v>
      </c>
      <c r="BX51">
        <v>3.5</v>
      </c>
      <c r="BY51">
        <v>4</v>
      </c>
      <c r="BZ51">
        <v>5.125</v>
      </c>
      <c r="CA51">
        <v>5.5</v>
      </c>
      <c r="CB51">
        <v>6</v>
      </c>
      <c r="CC51">
        <v>6.5</v>
      </c>
      <c r="CD51">
        <v>8</v>
      </c>
      <c r="CG51">
        <v>350</v>
      </c>
      <c r="CH51">
        <v>1</v>
      </c>
      <c r="CK51" t="str">
        <v>M50</v>
      </c>
      <c r="CL51">
        <v>53</v>
      </c>
      <c r="CM51">
        <f>CL51*1.15</f>
        <v>60.949999999999996</v>
      </c>
      <c r="CN51">
        <v>140</v>
      </c>
      <c r="CP51" t="str">
        <v>Spherical</v>
      </c>
      <c r="CQ51" t="str">
        <v>Ballistic</v>
      </c>
      <c r="DG51">
        <v>17</v>
      </c>
      <c r="DH51">
        <v>0.76</v>
      </c>
      <c r="FN51">
        <v>16</v>
      </c>
      <c r="FO51" t="str">
        <v>39QX2,1</v>
      </c>
      <c r="FP51">
        <v>110</v>
      </c>
      <c r="FQ51">
        <v>9.875</v>
      </c>
      <c r="FR51">
        <v>11</v>
      </c>
      <c r="FS51">
        <v>75000</v>
      </c>
      <c r="GE51">
        <f>IF($FW$23&lt;=FR51,1,0)</f>
        <v>0</v>
      </c>
      <c r="GF51">
        <f>GD51+GE51</f>
        <v>0</v>
      </c>
      <c r="GG51">
        <f>IF($FW$29=$FX$34,FX51,IF($FW$29=$FY$34,FY51,IF($FW$29=$FZ$34,FZ51,IF($FW$29=$GA$34,GA51,""))))</f>
        <v>0</v>
      </c>
      <c r="GH51">
        <f>IF(GF51=1,1,0)</f>
        <v>0</v>
      </c>
      <c r="GI51">
        <f>IF($FW$21&lt;FS51,1,0)</f>
        <v>0</v>
      </c>
      <c r="GJ51">
        <f>GH51+GI51</f>
        <v>0</v>
      </c>
      <c r="GK51" t="str">
        <f>IF(GJ51=2,FP51,"")</f>
        <v/>
      </c>
    </row>
    <row r="52">
      <c r="AE52">
        <v>17</v>
      </c>
      <c r="AF52" t="str">
        <v>DR540</v>
      </c>
      <c r="AG52">
        <v>17</v>
      </c>
      <c r="BX52">
        <v>3.75</v>
      </c>
      <c r="BY52">
        <v>4.5</v>
      </c>
      <c r="BZ52">
        <v>5.25</v>
      </c>
      <c r="CA52">
        <v>5.625</v>
      </c>
      <c r="CB52">
        <v>6.125</v>
      </c>
      <c r="CC52">
        <v>6.75</v>
      </c>
      <c r="CD52">
        <v>8.625</v>
      </c>
      <c r="CG52">
        <v>325</v>
      </c>
      <c r="CH52">
        <v>0.925</v>
      </c>
      <c r="CK52" t="str">
        <v>M60</v>
      </c>
      <c r="CL52">
        <v>59</v>
      </c>
      <c r="CM52">
        <f>CL52*1.15</f>
        <v>67.85</v>
      </c>
      <c r="CN52">
        <v>165</v>
      </c>
      <c r="CP52">
        <f>VLOOKUP(CM44,CJ58:CM83,3)</f>
        <v>0</v>
      </c>
      <c r="CQ52">
        <f>VLOOKUP(CM44,CJ58:CM83,4)</f>
        <v>0</v>
      </c>
      <c r="DG52">
        <v>18</v>
      </c>
      <c r="DH52">
        <v>0.75</v>
      </c>
      <c r="FN52">
        <v>17</v>
      </c>
      <c r="FO52" t="str">
        <v>39QX2,2</v>
      </c>
      <c r="FP52">
        <v>110</v>
      </c>
      <c r="FQ52">
        <v>12.25</v>
      </c>
      <c r="FR52">
        <v>13.75</v>
      </c>
      <c r="FS52">
        <v>100000</v>
      </c>
      <c r="GE52">
        <f>IF($FW$23&lt;=FR52,1,0)</f>
        <v>1</v>
      </c>
      <c r="GF52">
        <f>GD52+GE52</f>
        <v>1</v>
      </c>
      <c r="GG52">
        <f>IF($FW$29=$FX$34,FX52,IF($FW$29=$FY$34,FY52,IF($FW$29=$FZ$34,FZ52,IF($FW$29=$GA$34,GA52,""))))</f>
        <v>0</v>
      </c>
      <c r="GH52">
        <f>IF(GF52=1,1,0)</f>
        <v>1</v>
      </c>
      <c r="GI52">
        <f>IF($FW$21&lt;FS52,1,0)</f>
        <v>1</v>
      </c>
      <c r="GJ52">
        <f>GH52+GI52</f>
        <v>2</v>
      </c>
      <c r="GK52">
        <f>IF(GJ52=2,FP52,"")</f>
        <v>110</v>
      </c>
    </row>
    <row r="53">
      <c r="AE53">
        <v>18</v>
      </c>
      <c r="AF53" t="str">
        <f>IF($AB$6="DTH","DR560","")</f>
        <v/>
      </c>
      <c r="AG53">
        <v>18</v>
      </c>
      <c r="AQ53">
        <v>7</v>
      </c>
      <c r="AR53">
        <f>IF($AR$29=1,AR44,(AR44-AY36))</f>
        <v>6357</v>
      </c>
      <c r="AS53">
        <f>AR36+((AT36+AV36+AX36)/12)</f>
        <v>47</v>
      </c>
      <c r="AU53">
        <f>IF($AR$29=1,AU44,(AU44-BB36))</f>
        <v>5157</v>
      </c>
      <c r="AV53">
        <f>BA36+((BC36+BE36+BG36)/12)</f>
        <v>62</v>
      </c>
      <c r="BX53">
        <v>3.875</v>
      </c>
      <c r="BY53">
        <v>4.75</v>
      </c>
      <c r="BZ53">
        <v>5.5</v>
      </c>
      <c r="CA53">
        <v>5.75</v>
      </c>
      <c r="CB53">
        <v>6.25</v>
      </c>
      <c r="CC53">
        <v>7</v>
      </c>
      <c r="CD53">
        <v>8.75</v>
      </c>
      <c r="CG53">
        <v>300</v>
      </c>
      <c r="CH53">
        <v>0.85</v>
      </c>
      <c r="CK53" t="str">
        <v>M80</v>
      </c>
      <c r="CL53">
        <v>38</v>
      </c>
      <c r="CM53">
        <f>CL53*1.15</f>
        <v>43.699999999999996</v>
      </c>
      <c r="CN53">
        <v>203</v>
      </c>
      <c r="DG53" t="str">
        <v>Fleet utilization</v>
      </c>
      <c r="DW53">
        <f>+$DS$34*DS36*DT36*DU36</f>
        <v>1022610.6109270373</v>
      </c>
      <c r="FN53">
        <v>18</v>
      </c>
      <c r="FO53" t="str">
        <v>40QX2,1</v>
      </c>
      <c r="FP53">
        <v>120</v>
      </c>
      <c r="FQ53">
        <v>7.875</v>
      </c>
      <c r="FR53">
        <v>9</v>
      </c>
      <c r="FS53">
        <v>50000</v>
      </c>
      <c r="FT53">
        <v>25500</v>
      </c>
      <c r="FU53">
        <f>FT53</f>
        <v>25500</v>
      </c>
      <c r="FV53">
        <v>37000</v>
      </c>
      <c r="FW53">
        <v>49000</v>
      </c>
      <c r="FX53">
        <v>47000</v>
      </c>
      <c r="FY53">
        <f>FX53</f>
        <v>47000</v>
      </c>
      <c r="FZ53">
        <v>70000</v>
      </c>
      <c r="GA53">
        <v>70000</v>
      </c>
      <c r="GE53">
        <f>IF($FW$23&lt;=FR53,1,0)</f>
        <v>0</v>
      </c>
      <c r="GF53">
        <f>GD53+GE53</f>
        <v>0</v>
      </c>
      <c r="GG53">
        <f>IF($FW$29=$FX$34,FX53,IF($FW$29=$FY$34,FY53,IF($FW$29=$FZ$34,FZ53,IF($FW$29=$GA$34,GA53,""))))</f>
        <v>70000</v>
      </c>
      <c r="GH53">
        <f>IF(GF53=1,1,0)</f>
        <v>0</v>
      </c>
      <c r="GI53">
        <f>IF($FW$21&lt;FS53,1,0)</f>
        <v>0</v>
      </c>
      <c r="GJ53">
        <f>GH53+GI53</f>
        <v>0</v>
      </c>
      <c r="GK53" t="str">
        <f>IF(GJ53=2,FP53,"")</f>
        <v/>
      </c>
    </row>
    <row r="54">
      <c r="AE54">
        <v>19</v>
      </c>
      <c r="AF54" t="str">
        <f>IF($AB$6="DTH","DR580","")</f>
        <v/>
      </c>
      <c r="AG54">
        <v>19</v>
      </c>
      <c r="AQ54">
        <v>7.625</v>
      </c>
      <c r="AR54">
        <f>IF($AR$29=1,AR45,(AR45-AY37))</f>
        <v>7120</v>
      </c>
      <c r="AS54">
        <f>AR37+((AT37+AV37+AX37)/12)</f>
        <v>47</v>
      </c>
      <c r="AU54">
        <f>IF($AR$29=1,AU45,(AU45-BB37))</f>
        <v>5980</v>
      </c>
      <c r="AV54">
        <f>BA37+((BC37+BE37+BG37)/12)</f>
        <v>62</v>
      </c>
      <c r="BX54">
        <v>4.125</v>
      </c>
      <c r="BY54">
        <v>5</v>
      </c>
      <c r="BZ54">
        <v>5.625</v>
      </c>
      <c r="CA54">
        <v>6</v>
      </c>
      <c r="CB54">
        <v>6.5</v>
      </c>
      <c r="CC54">
        <v>7.5</v>
      </c>
      <c r="CD54">
        <v>9.5</v>
      </c>
      <c r="CG54">
        <v>275</v>
      </c>
      <c r="CH54">
        <v>0.775</v>
      </c>
      <c r="CO54">
        <v>2</v>
      </c>
      <c r="CP54" t="str">
        <f>LOOKUP(CO54,CO55:CP56)</f>
        <v>Ballistic</v>
      </c>
      <c r="CQ54">
        <f>IF(CP54=CP55,CP52,CQ52)</f>
        <v>0</v>
      </c>
      <c r="DG54">
        <v>1</v>
      </c>
      <c r="DH54">
        <v>0.8</v>
      </c>
      <c r="DS54">
        <f>+$DS$34*DS37</f>
        <v>858992.9131787114</v>
      </c>
      <c r="DT54">
        <f>+$DS$34*DT37</f>
        <v>920349.5498343336</v>
      </c>
      <c r="DU54">
        <f>+$DS$34*DU37</f>
        <v>858992.9131787114</v>
      </c>
      <c r="DV54">
        <f>+$DS$34*DS37*DT37*DU37</f>
        <v>649398.642363106</v>
      </c>
      <c r="DW54">
        <f>+DW53</f>
        <v>1022610.6109270373</v>
      </c>
      <c r="FN54">
        <v>19</v>
      </c>
      <c r="FO54" t="str">
        <v>40QX2,2</v>
      </c>
      <c r="FP54">
        <v>110</v>
      </c>
      <c r="FQ54">
        <v>9.875</v>
      </c>
      <c r="FR54">
        <v>11</v>
      </c>
      <c r="FS54">
        <v>85000</v>
      </c>
      <c r="FT54">
        <v>25500</v>
      </c>
      <c r="FU54">
        <f>FT54</f>
        <v>25500</v>
      </c>
      <c r="FV54">
        <v>37000</v>
      </c>
      <c r="FW54">
        <v>49000</v>
      </c>
      <c r="FX54">
        <v>47000</v>
      </c>
      <c r="FY54">
        <f>FX54</f>
        <v>47000</v>
      </c>
      <c r="FZ54">
        <v>70000</v>
      </c>
      <c r="GA54">
        <v>70000</v>
      </c>
      <c r="GE54">
        <f>IF($FW$23&lt;=FR54,1,0)</f>
        <v>0</v>
      </c>
      <c r="GF54">
        <f>GD54+GE54</f>
        <v>0</v>
      </c>
      <c r="GG54">
        <f>IF($FW$29=$FX$34,FX54,IF($FW$29=$FY$34,FY54,IF($FW$29=$FZ$34,FZ54,IF($FW$29=$GA$34,GA54,""))))</f>
        <v>70000</v>
      </c>
      <c r="GH54">
        <f>IF(GF54=1,1,0)</f>
        <v>0</v>
      </c>
      <c r="GI54">
        <f>IF($FW$21&lt;FS54,1,0)</f>
        <v>1</v>
      </c>
      <c r="GJ54">
        <f>GH54+GI54</f>
        <v>1</v>
      </c>
      <c r="GK54" t="str">
        <f>IF(GJ54=2,FP54,"")</f>
        <v/>
      </c>
    </row>
    <row r="55">
      <c r="AE55">
        <v>20</v>
      </c>
      <c r="AF55" t="str">
        <f>IF($AB$6="Rotary","160D",IF($AB$6="DTH","160D",""))</f>
        <v>160D</v>
      </c>
      <c r="AG55">
        <v>20</v>
      </c>
      <c r="AQ55">
        <v>8</v>
      </c>
      <c r="AR55">
        <f>IF($AR$29=1,AR46,(AR46-AY38))</f>
        <v>7120</v>
      </c>
      <c r="AS55">
        <f>AR38+((AT38+AV38+AX38)/12)</f>
        <v>47</v>
      </c>
      <c r="AU55">
        <f>IF($AR$29=1,AU46,(AU46-BB38))</f>
        <v>5980</v>
      </c>
      <c r="AV55">
        <f>BA38+((BC38+BE38+BG38)/12)</f>
        <v>62</v>
      </c>
      <c r="BK55" t="str">
        <v>Rock Drill</v>
      </c>
      <c r="BY55">
        <v>5.125</v>
      </c>
      <c r="BZ55">
        <v>5.75</v>
      </c>
      <c r="CB55">
        <v>6.75</v>
      </c>
      <c r="CC55">
        <v>8</v>
      </c>
      <c r="CD55">
        <v>10</v>
      </c>
      <c r="CG55">
        <v>250</v>
      </c>
      <c r="CH55">
        <v>0.7</v>
      </c>
      <c r="CO55">
        <v>1</v>
      </c>
      <c r="CP55" t="str">
        <v>Spherical</v>
      </c>
      <c r="DG55">
        <v>2</v>
      </c>
      <c r="DH55">
        <v>0.79</v>
      </c>
      <c r="DS55">
        <f>+$DS$34*DS38</f>
        <v>848766.8070694411</v>
      </c>
      <c r="DT55">
        <f>+$DS$34*DT38</f>
        <v>910123.4437250632</v>
      </c>
      <c r="DU55">
        <f>+$DS$34*DU38</f>
        <v>848766.8070694411</v>
      </c>
      <c r="DV55">
        <f>+$DS$34*DS38*DT38*DU38</f>
        <v>626984.0403821962</v>
      </c>
      <c r="DW55">
        <f>+DW54</f>
        <v>1022610.6109270373</v>
      </c>
      <c r="FN55">
        <v>20</v>
      </c>
      <c r="FO55" t="str">
        <v>40QX2,3</v>
      </c>
      <c r="FP55">
        <v>100</v>
      </c>
      <c r="FQ55">
        <v>12.25</v>
      </c>
      <c r="FR55">
        <v>13.75</v>
      </c>
      <c r="FS55">
        <v>100000</v>
      </c>
      <c r="FT55">
        <v>25500</v>
      </c>
      <c r="FU55">
        <f>FT55</f>
        <v>25500</v>
      </c>
      <c r="FV55">
        <v>37000</v>
      </c>
      <c r="FW55">
        <v>49000</v>
      </c>
      <c r="FX55">
        <v>47000</v>
      </c>
      <c r="FY55">
        <f>FX55</f>
        <v>47000</v>
      </c>
      <c r="FZ55">
        <v>70000</v>
      </c>
      <c r="GA55">
        <v>70000</v>
      </c>
      <c r="GE55">
        <f>IF($FW$23&lt;=FR55,1,0)</f>
        <v>1</v>
      </c>
      <c r="GF55">
        <f>GD55+GE55</f>
        <v>1</v>
      </c>
      <c r="GG55">
        <f>IF($FW$29=$FX$34,FX55,IF($FW$29=$FY$34,FY55,IF($FW$29=$FZ$34,FZ55,IF($FW$29=$GA$34,GA55,""))))</f>
        <v>70000</v>
      </c>
      <c r="GH55">
        <f>IF(GF55=1,1,0)</f>
        <v>1</v>
      </c>
      <c r="GI55">
        <f>IF($FW$21&lt;FS55,1,0)</f>
        <v>1</v>
      </c>
      <c r="GJ55">
        <f>GH55+GI55</f>
        <v>2</v>
      </c>
      <c r="GK55">
        <f>IF(GJ55=2,FP55,"")</f>
        <v>100</v>
      </c>
    </row>
    <row r="56">
      <c r="AE56">
        <v>21</v>
      </c>
      <c r="AF56" t="str">
        <f>IF($AB$6="Rotary","DR416i","")</f>
        <v>DR416i</v>
      </c>
      <c r="AG56">
        <v>21</v>
      </c>
      <c r="AQ56">
        <v>8.625</v>
      </c>
      <c r="AR56">
        <f>IF($AR$29=1,AR47,(AR47-AY39))</f>
        <v>8669</v>
      </c>
      <c r="AS56">
        <f>AR39+((AT39+AV39+AX39)/12)</f>
        <v>47.5</v>
      </c>
      <c r="AU56">
        <f>IF($AR$29=1,AU47,(AU47-BB39))</f>
        <v>7504</v>
      </c>
      <c r="AV56">
        <f>BA39+((BC39+BE39+BG39)/12)</f>
        <v>62.5</v>
      </c>
      <c r="BY56">
        <v>5.25</v>
      </c>
      <c r="BZ56">
        <v>6</v>
      </c>
      <c r="CB56">
        <v>7</v>
      </c>
      <c r="CD56">
        <v>10.625</v>
      </c>
      <c r="CG56">
        <v>225</v>
      </c>
      <c r="CH56">
        <v>0.62</v>
      </c>
      <c r="CO56">
        <v>2</v>
      </c>
      <c r="CP56" t="str">
        <v>Ballistic</v>
      </c>
      <c r="DG56">
        <v>4</v>
      </c>
      <c r="DH56">
        <v>0.77</v>
      </c>
      <c r="DS56">
        <f>+$DS$34*DS39</f>
        <v>838540.7009601707</v>
      </c>
      <c r="DT56">
        <f>+$DS$34*DT39</f>
        <v>899897.3376157929</v>
      </c>
      <c r="DU56">
        <f>+$DS$34*DU39</f>
        <v>838540.7009601707</v>
      </c>
      <c r="DV56">
        <f>+$DS$34*DS39*DT39*DU39</f>
        <v>605090.9698128592</v>
      </c>
      <c r="DW56">
        <f>+DW55</f>
        <v>1022610.6109270373</v>
      </c>
      <c r="FN56">
        <v>21</v>
      </c>
      <c r="FO56" t="str">
        <v>40QX2,4</v>
      </c>
      <c r="FP56">
        <v>100</v>
      </c>
      <c r="FQ56">
        <v>15</v>
      </c>
      <c r="FR56">
        <v>16</v>
      </c>
      <c r="FS56">
        <v>130000</v>
      </c>
      <c r="FT56">
        <v>25500</v>
      </c>
      <c r="FU56">
        <f>FT56</f>
        <v>25500</v>
      </c>
      <c r="FV56">
        <v>37000</v>
      </c>
      <c r="FW56">
        <v>49000</v>
      </c>
      <c r="FX56">
        <v>47000</v>
      </c>
      <c r="FY56">
        <f>FX56</f>
        <v>47000</v>
      </c>
      <c r="FZ56">
        <v>70000</v>
      </c>
      <c r="GA56">
        <v>70000</v>
      </c>
      <c r="GE56">
        <f>IF($FW$23&lt;=FR56,1,0)</f>
        <v>1</v>
      </c>
      <c r="GF56">
        <f>GD56+GE56</f>
        <v>1</v>
      </c>
      <c r="GG56">
        <f>IF($FW$29=$FX$34,FX56,IF($FW$29=$FY$34,FY56,IF($FW$29=$FZ$34,FZ56,IF($FW$29=$GA$34,GA56,""))))</f>
        <v>70000</v>
      </c>
      <c r="GH56">
        <f>IF(GF56=1,1,0)</f>
        <v>1</v>
      </c>
      <c r="GI56">
        <f>IF($FW$21&lt;FS56,1,0)</f>
        <v>1</v>
      </c>
      <c r="GJ56">
        <f>GH56+GI56</f>
        <v>2</v>
      </c>
      <c r="GK56">
        <f>IF(GJ56=2,FP56,"")</f>
        <v>100</v>
      </c>
    </row>
    <row r="57">
      <c r="BY57">
        <v>5.5</v>
      </c>
      <c r="CB57">
        <v>7.5</v>
      </c>
      <c r="CG57">
        <v>200</v>
      </c>
      <c r="CH57">
        <v>0.54</v>
      </c>
      <c r="CJ57" t="str">
        <v>Drillability Index</v>
      </c>
      <c r="CK57" t="str">
        <v>Factor</v>
      </c>
      <c r="CL57" t="str">
        <v>ROP Spherical</v>
      </c>
      <c r="CM57" t="str">
        <v>ROP Ballistic</v>
      </c>
      <c r="DG57">
        <v>5</v>
      </c>
      <c r="DH57">
        <v>0.76</v>
      </c>
      <c r="DS57">
        <f>+$DS$34*DS40</f>
        <v>828314.5948509002</v>
      </c>
      <c r="DT57">
        <f>+$DS$34*DT40</f>
        <v>889671.2315065225</v>
      </c>
      <c r="DU57">
        <f>+$DS$34*DU40</f>
        <v>828314.5948509002</v>
      </c>
      <c r="DV57">
        <f>+$DS$34*DS40*DT40*DU40</f>
        <v>583713.2949914294</v>
      </c>
      <c r="DW57">
        <f>+DW56</f>
        <v>1022610.6109270373</v>
      </c>
      <c r="FN57">
        <v>22</v>
      </c>
      <c r="FO57" t="str">
        <v>45QX2</v>
      </c>
      <c r="FP57">
        <v>110</v>
      </c>
      <c r="FQ57">
        <v>12.25</v>
      </c>
      <c r="FR57">
        <v>13.75</v>
      </c>
      <c r="FS57">
        <v>100000</v>
      </c>
      <c r="GE57">
        <f>IF($FW$23&lt;=FR57,1,0)</f>
        <v>1</v>
      </c>
      <c r="GF57">
        <f>GD57+GE57</f>
        <v>1</v>
      </c>
      <c r="GG57">
        <f>IF($FW$29=$FX$34,FX57,IF($FW$29=$FY$34,FY57,IF($FW$29=$FZ$34,FZ57,IF($FW$29=$GA$34,GA57,""))))</f>
        <v>0</v>
      </c>
      <c r="GH57">
        <f>IF(GF57=1,1,0)</f>
        <v>1</v>
      </c>
      <c r="GI57">
        <f>IF($FW$21&lt;FS57,1,0)</f>
        <v>1</v>
      </c>
      <c r="GJ57">
        <f>GH57+GI57</f>
        <v>2</v>
      </c>
      <c r="GK57">
        <f>IF(GJ57=2,FP57,"")</f>
        <v>110</v>
      </c>
    </row>
    <row r="58">
      <c r="CB58">
        <v>8</v>
      </c>
      <c r="CI58">
        <v>1</v>
      </c>
      <c r="CJ58">
        <v>30</v>
      </c>
      <c r="CK58">
        <f>POWER(CJ58/$CK$44,0.8)</f>
        <v>0.6866003395663236</v>
      </c>
      <c r="CL58">
        <f>($CP$49*(CJ58/$CK$44)*CK58)</f>
        <v>0</v>
      </c>
      <c r="CM58">
        <f>($CP$49*(CJ58/$CK$44)*CK58)*1.15</f>
        <v>0</v>
      </c>
      <c r="DG58">
        <v>6</v>
      </c>
      <c r="DH58">
        <v>0.75</v>
      </c>
      <c r="DS58">
        <f>+$DS$34*DS41</f>
        <v>818088.4887416299</v>
      </c>
      <c r="DT58">
        <f>+$DS$34*DT41</f>
        <v>879445.125397252</v>
      </c>
      <c r="DU58">
        <f>+$DS$34*DU41</f>
        <v>818088.4887416299</v>
      </c>
      <c r="DV58">
        <f>+$DS$34*DS41*DT41*DU41</f>
        <v>562844.8802542414</v>
      </c>
      <c r="DW58">
        <f>+DW57</f>
        <v>1022610.6109270373</v>
      </c>
      <c r="FN58">
        <v>23</v>
      </c>
      <c r="FO58" t="str">
        <v>50QX2,1</v>
      </c>
      <c r="FP58">
        <v>110</v>
      </c>
      <c r="FQ58">
        <v>6.75</v>
      </c>
      <c r="FR58">
        <v>7.375</v>
      </c>
      <c r="FS58">
        <v>47000</v>
      </c>
      <c r="FT58">
        <v>26000</v>
      </c>
      <c r="FU58">
        <f>FT58</f>
        <v>26000</v>
      </c>
      <c r="FV58">
        <v>39000</v>
      </c>
      <c r="FW58">
        <v>50000</v>
      </c>
      <c r="FX58">
        <v>54000</v>
      </c>
      <c r="FY58">
        <f>FX58</f>
        <v>54000</v>
      </c>
      <c r="FZ58">
        <v>70000</v>
      </c>
      <c r="GA58">
        <v>70000</v>
      </c>
      <c r="GE58">
        <f>IF($FW$23&lt;=FR58,1,0)</f>
        <v>0</v>
      </c>
      <c r="GF58">
        <f>GD58+GE58</f>
        <v>0</v>
      </c>
      <c r="GG58">
        <f>IF($FW$29=$FX$34,FX58,IF($FW$29=$FY$34,FY58,IF($FW$29=$FZ$34,FZ58,IF($FW$29=$GA$34,GA58,""))))</f>
        <v>70000</v>
      </c>
      <c r="GH58">
        <f>IF(GF58=1,1,0)</f>
        <v>0</v>
      </c>
      <c r="GI58">
        <f>IF($FW$21&lt;FS58,1,0)</f>
        <v>0</v>
      </c>
      <c r="GJ58">
        <f>GH58+GI58</f>
        <v>0</v>
      </c>
      <c r="GK58" t="str">
        <f>IF(GJ58=2,FP58,"")</f>
        <v/>
      </c>
    </row>
    <row r="59">
      <c r="BU59">
        <f>DC2</f>
        <v>5</v>
      </c>
      <c r="BV59">
        <f>LOOKUP(BU59,BU60:BV67)</f>
        <v>0</v>
      </c>
      <c r="CI59">
        <v>2</v>
      </c>
      <c r="CJ59">
        <v>32</v>
      </c>
      <c r="CK59">
        <f>POWER(CJ59/$CK$44,0.8)</f>
        <v>0.7229811807984656</v>
      </c>
      <c r="CL59">
        <f>($CP$49*(CJ59/$CK$44)*CK59)</f>
        <v>0</v>
      </c>
      <c r="CM59">
        <f>($CP$49*(CJ59/$CK$44)*CK59)*1.15</f>
        <v>0</v>
      </c>
      <c r="DG59">
        <v>7</v>
      </c>
      <c r="DH59">
        <v>0.74</v>
      </c>
      <c r="DS59">
        <f>+$DS$34*DS42</f>
        <v>807862.3826323595</v>
      </c>
      <c r="DT59">
        <f>+$DS$34*DT42</f>
        <v>869219.0192879817</v>
      </c>
      <c r="DU59">
        <f>+$DS$34*DU42</f>
        <v>807862.3826323595</v>
      </c>
      <c r="DV59">
        <f>+$DS$34*DS42*DT42*DU42</f>
        <v>542479.5899376294</v>
      </c>
      <c r="DW59">
        <f>+DW58</f>
        <v>1022610.6109270373</v>
      </c>
      <c r="FN59">
        <v>24</v>
      </c>
      <c r="FO59" t="str">
        <v>50QX2,2</v>
      </c>
      <c r="FP59">
        <v>100</v>
      </c>
      <c r="FQ59">
        <v>7.875</v>
      </c>
      <c r="FR59">
        <v>9</v>
      </c>
      <c r="FS59">
        <v>65000</v>
      </c>
      <c r="FT59">
        <v>26000</v>
      </c>
      <c r="FU59">
        <f>FT59</f>
        <v>26000</v>
      </c>
      <c r="FV59">
        <v>39000</v>
      </c>
      <c r="FW59">
        <v>50000</v>
      </c>
      <c r="FX59">
        <v>54000</v>
      </c>
      <c r="FY59">
        <f>FX59</f>
        <v>54000</v>
      </c>
      <c r="FZ59">
        <v>70000</v>
      </c>
      <c r="GA59">
        <v>70000</v>
      </c>
      <c r="GE59">
        <f>IF($FW$23&lt;=FR59,1,0)</f>
        <v>0</v>
      </c>
      <c r="GF59">
        <f>GD59+GE59</f>
        <v>0</v>
      </c>
      <c r="GG59">
        <f>IF($FW$29=$FX$34,FX59,IF($FW$29=$FY$34,FY59,IF($FW$29=$FZ$34,FZ59,IF($FW$29=$GA$34,GA59,""))))</f>
        <v>70000</v>
      </c>
      <c r="GH59">
        <f>IF(GF59=1,1,0)</f>
        <v>0</v>
      </c>
      <c r="GI59">
        <f>IF($FW$21&lt;FS59,1,0)</f>
        <v>0</v>
      </c>
      <c r="GJ59">
        <f>GH59+GI59</f>
        <v>0</v>
      </c>
      <c r="GK59" t="str">
        <f>IF(GJ59=2,FP59,"")</f>
        <v/>
      </c>
    </row>
    <row r="60">
      <c r="BU60">
        <v>1</v>
      </c>
      <c r="BV60">
        <f>IF($CK$40=BX50,BX60,IF($CK$40=$BY$50,BY60,IF($CK$40=$BZ$50,BZ60,IF($CK$40=$CA$50,CA60,IF($CK$40=$CB$50,CB60,IF($CK$40=$CC$50,CC60,IF($CK$40=$CD$50,CD60,0)))))))</f>
        <v>0</v>
      </c>
      <c r="BW60" t="str">
        <v>MM</v>
      </c>
      <c r="BX60">
        <f>BX51*25.4</f>
        <v>88.89999999999999</v>
      </c>
      <c r="BY60">
        <f>BY51*25.4</f>
        <v>101.6</v>
      </c>
      <c r="BZ60">
        <f>BZ51*25.4</f>
        <v>130.17499999999998</v>
      </c>
      <c r="CA60">
        <f>CA51*25.4</f>
        <v>139.7</v>
      </c>
      <c r="CB60">
        <f>CB51*25.4</f>
        <v>152.39999999999998</v>
      </c>
      <c r="CC60">
        <f>CC51*25.4</f>
        <v>165.1</v>
      </c>
      <c r="CD60">
        <f>CD51*25.4</f>
        <v>203.2</v>
      </c>
      <c r="CI60">
        <v>3</v>
      </c>
      <c r="CJ60">
        <v>34</v>
      </c>
      <c r="CK60">
        <f>POWER(CJ60/$CK$44,0.8)</f>
        <v>0.7589097697915466</v>
      </c>
      <c r="CL60">
        <f>($CP$49*(CJ60/$CK$44)*CK60)</f>
        <v>0</v>
      </c>
      <c r="CM60">
        <f>($CP$49*(CJ60/$CK$44)*CK60)*1.15</f>
        <v>0</v>
      </c>
      <c r="DG60">
        <v>8</v>
      </c>
      <c r="DH60">
        <v>0.73</v>
      </c>
      <c r="DS60">
        <f>+$DS$34*DS43</f>
        <v>797636.2765230892</v>
      </c>
      <c r="DT60">
        <f>+$DS$34*DT43</f>
        <v>858992.9131787113</v>
      </c>
      <c r="DU60">
        <f>+$DS$34*DU43</f>
        <v>797636.2765230892</v>
      </c>
      <c r="DV60">
        <f>+$DS$34*DS43*DT43*DU43</f>
        <v>522611.288377928</v>
      </c>
      <c r="DW60">
        <f>+DW59</f>
        <v>1022610.6109270373</v>
      </c>
      <c r="FN60">
        <v>25</v>
      </c>
      <c r="FO60" t="str">
        <v>50QX2,3</v>
      </c>
      <c r="FP60">
        <v>100</v>
      </c>
      <c r="FQ60">
        <v>9.875</v>
      </c>
      <c r="FR60">
        <v>11</v>
      </c>
      <c r="FS60">
        <v>85000</v>
      </c>
      <c r="GE60">
        <f>IF($FW$23&lt;=FR60,1,0)</f>
        <v>0</v>
      </c>
      <c r="GF60">
        <f>GD60+GE60</f>
        <v>0</v>
      </c>
      <c r="GG60">
        <f>IF($FW$29=$FX$34,FX60,IF($FW$29=$FY$34,FY60,IF($FW$29=$FZ$34,FZ60,IF($FW$29=$GA$34,GA60,""))))</f>
        <v>0</v>
      </c>
      <c r="GH60">
        <f>IF(GF60=1,1,0)</f>
        <v>0</v>
      </c>
      <c r="GI60">
        <f>IF($FW$21&lt;FS60,1,0)</f>
        <v>1</v>
      </c>
      <c r="GJ60">
        <f>GH60+GI60</f>
        <v>1</v>
      </c>
      <c r="GK60" t="str">
        <f>IF(GJ60=2,FP60,"")</f>
        <v/>
      </c>
    </row>
    <row r="61">
      <c r="BU61">
        <v>2</v>
      </c>
      <c r="BV61">
        <f>IF($CK$40=BX50,BX61,IF($CK$40=$BY$50,BY61,IF($CK$40=$BZ$50,BZ61,IF($CK$40=$CA$50,CA61,IF($CK$40=$CB$50,CB61,IF($CK$40=$CC$50,CC61,IF($CK$40=$CD$50,CD61,0)))))))</f>
        <v>0</v>
      </c>
      <c r="BX61">
        <f>BX52*25.4</f>
        <v>95.25</v>
      </c>
      <c r="BY61">
        <f>BY52*25.4</f>
        <v>114.3</v>
      </c>
      <c r="BZ61">
        <f>BZ52*25.4</f>
        <v>133.35</v>
      </c>
      <c r="CA61">
        <f>CA52*25.4</f>
        <v>142.875</v>
      </c>
      <c r="CB61">
        <f>CB52*25.4</f>
        <v>155.575</v>
      </c>
      <c r="CC61">
        <f>CC52*25.4</f>
        <v>171.45</v>
      </c>
      <c r="CD61">
        <f>CD52*25.4</f>
        <v>219.075</v>
      </c>
      <c r="CG61">
        <f>CG51</f>
        <v>350</v>
      </c>
      <c r="CH61">
        <f>CG45</f>
        <v>500</v>
      </c>
      <c r="CI61">
        <v>4</v>
      </c>
      <c r="CJ61">
        <v>36</v>
      </c>
      <c r="CK61">
        <f>POWER(CJ61/$CK$44,0.8)</f>
        <v>0.7944178807866092</v>
      </c>
      <c r="CL61">
        <f>($CP$49*(CJ61/$CK$44)*CK61)</f>
        <v>0</v>
      </c>
      <c r="CM61">
        <f>($CP$49*(CJ61/$CK$44)*CK61)*1.15</f>
        <v>0</v>
      </c>
      <c r="DG61">
        <v>9</v>
      </c>
      <c r="DH61">
        <v>0.72</v>
      </c>
      <c r="DS61">
        <f>+$DS$34*DS44</f>
        <v>787410.1704138188</v>
      </c>
      <c r="DT61">
        <f>+$DS$34*DT44</f>
        <v>848766.807069441</v>
      </c>
      <c r="DU61">
        <f>+$DS$34*DU44</f>
        <v>787410.1704138188</v>
      </c>
      <c r="DV61">
        <f>+$DS$34*DS44*DT44*DU44</f>
        <v>503233.8399114716</v>
      </c>
      <c r="DW61">
        <f>+DW60</f>
        <v>1022610.6109270373</v>
      </c>
      <c r="FN61">
        <v>26</v>
      </c>
      <c r="FO61" t="str">
        <v>50QX2,4</v>
      </c>
      <c r="FP61">
        <v>90</v>
      </c>
      <c r="FQ61">
        <v>12.25</v>
      </c>
      <c r="FR61">
        <v>13.75</v>
      </c>
      <c r="FS61">
        <v>110000</v>
      </c>
      <c r="GE61">
        <f>IF($FW$23&lt;=FR61,1,0)</f>
        <v>1</v>
      </c>
      <c r="GF61">
        <f>GD61+GE61</f>
        <v>1</v>
      </c>
      <c r="GG61">
        <f>IF($FW$29=$FX$34,FX61,IF($FW$29=$FY$34,FY61,IF($FW$29=$FZ$34,FZ61,IF($FW$29=$GA$34,GA61,""))))</f>
        <v>0</v>
      </c>
      <c r="GH61">
        <f>IF(GF61=1,1,0)</f>
        <v>1</v>
      </c>
      <c r="GI61">
        <f>IF($FW$21&lt;FS61,1,0)</f>
        <v>1</v>
      </c>
      <c r="GJ61">
        <f>GH61+GI61</f>
        <v>2</v>
      </c>
      <c r="GK61">
        <f>IF(GJ61=2,FP61,"")</f>
        <v>90</v>
      </c>
    </row>
    <row r="62">
      <c r="AL62" t="str">
        <v>P/N</v>
      </c>
      <c r="AM62" t="str">
        <v>Description</v>
      </c>
      <c r="AN62" t="str">
        <v>TOP OD</v>
      </c>
      <c r="AO62" t="str">
        <v>BOT OD</v>
      </c>
      <c r="AP62" t="str">
        <v>PIN THD</v>
      </c>
      <c r="AQ62" t="str">
        <v>BOX THD</v>
      </c>
      <c r="AR62" t="str">
        <v>WALL</v>
      </c>
      <c r="AS62" t="str">
        <v>LGTH</v>
      </c>
      <c r="AT62" t="str">
        <v>WGT</v>
      </c>
      <c r="AU62" t="str">
        <v>ID</v>
      </c>
      <c r="AV62" t="str">
        <v>FLAT</v>
      </c>
      <c r="AW62" t="str">
        <v>FLAT</v>
      </c>
      <c r="AX62" t="str">
        <v>REMARKS</v>
      </c>
      <c r="AY62" t="str">
        <v>TYPE</v>
      </c>
      <c r="AZ62" t="str">
        <v>COM</v>
      </c>
      <c r="BU62">
        <v>3</v>
      </c>
      <c r="BV62">
        <f>IF($CK$40=BX50,BX62,IF($CK$40=$BY$50,BY62,IF($CK$40=$BZ$50,BZ62,IF($CK$40=$CA$50,CA62,IF($CK$40=$CB$50,CB62,IF($CK$40=$CC$50,CC62,IF($CK$40=$CD$50,CD62,0)))))))</f>
        <v>0</v>
      </c>
      <c r="BX62">
        <f>BX53*25.4</f>
        <v>98.425</v>
      </c>
      <c r="BY62">
        <f>BY53*25.4</f>
        <v>120.64999999999999</v>
      </c>
      <c r="BZ62">
        <f>BZ53*25.4</f>
        <v>139.7</v>
      </c>
      <c r="CA62">
        <f>CA53*25.4</f>
        <v>146.04999999999998</v>
      </c>
      <c r="CB62">
        <f>CB53*25.4</f>
        <v>158.75</v>
      </c>
      <c r="CC62">
        <f>CC53*25.4</f>
        <v>177.79999999999998</v>
      </c>
      <c r="CD62">
        <f>CD53*25.4</f>
        <v>222.25</v>
      </c>
      <c r="CG62">
        <f>CG52</f>
        <v>325</v>
      </c>
      <c r="CH62">
        <f>CG46</f>
        <v>475</v>
      </c>
      <c r="CI62">
        <v>5</v>
      </c>
      <c r="CJ62">
        <v>38</v>
      </c>
      <c r="CK62">
        <f>POWER(CJ62/$CK$44,0.8)</f>
        <v>0.8295334199063497</v>
      </c>
      <c r="CL62">
        <f>($CP$49*(CJ62/$CK$44)*CK62)</f>
        <v>0</v>
      </c>
      <c r="CM62">
        <f>($CP$49*(CJ62/$CK$44)*CK62)*1.15</f>
        <v>0</v>
      </c>
      <c r="DG62">
        <v>10</v>
      </c>
      <c r="DH62">
        <v>0.71</v>
      </c>
      <c r="DS62">
        <f>+$DS$34*DS45</f>
        <v>777184.0643045483</v>
      </c>
      <c r="DT62">
        <f>+$DS$34*DT45</f>
        <v>838540.7009601706</v>
      </c>
      <c r="DU62">
        <f>+$DS$34*DU45</f>
        <v>777184.0643045483</v>
      </c>
      <c r="DV62">
        <f>+$DS$34*DS45*DT45*DU45</f>
        <v>484341.1088745945</v>
      </c>
      <c r="DW62">
        <f>+DW61</f>
        <v>1022610.6109270373</v>
      </c>
      <c r="FN62">
        <v>27</v>
      </c>
      <c r="FO62" t="str">
        <v>60QX2,1</v>
      </c>
      <c r="FP62">
        <v>100</v>
      </c>
      <c r="FQ62">
        <v>7.875</v>
      </c>
      <c r="FR62">
        <v>9</v>
      </c>
      <c r="FS62">
        <v>65000</v>
      </c>
      <c r="FT62">
        <v>36000</v>
      </c>
      <c r="FU62">
        <f>FT62</f>
        <v>36000</v>
      </c>
      <c r="FV62">
        <v>55000</v>
      </c>
      <c r="FW62">
        <v>70000</v>
      </c>
      <c r="FX62">
        <v>70000</v>
      </c>
      <c r="FY62">
        <f>FX62</f>
        <v>70000</v>
      </c>
      <c r="FZ62">
        <v>70000</v>
      </c>
      <c r="GA62">
        <v>70000</v>
      </c>
      <c r="GE62">
        <f>IF($FW$23&lt;=FR62,1,0)</f>
        <v>0</v>
      </c>
      <c r="GF62">
        <f>GD62+GE62</f>
        <v>0</v>
      </c>
      <c r="GG62">
        <f>IF($FW$29=$FX$34,FX62,IF($FW$29=$FY$34,FY62,IF($FW$29=$FZ$34,FZ62,IF($FW$29=$GA$34,GA62,""))))</f>
        <v>70000</v>
      </c>
      <c r="GH62">
        <f>IF(GF62=1,1,0)</f>
        <v>0</v>
      </c>
      <c r="GI62">
        <f>IF($FW$21&lt;FS62,1,0)</f>
        <v>0</v>
      </c>
      <c r="GJ62">
        <f>GH62+GI62</f>
        <v>0</v>
      </c>
      <c r="GK62" t="str">
        <f>IF(GJ62=2,FP62,"")</f>
        <v/>
      </c>
    </row>
    <row r="63">
      <c r="AL63" t="str">
        <v>022063-001</v>
      </c>
      <c r="AM63" t="str">
        <v>Drill Pipe</v>
      </c>
      <c r="AN63">
        <v>3</v>
      </c>
      <c r="AP63" t="str">
        <v>2 3/8 MJR</v>
      </c>
      <c r="AR63" t="str">
        <v>.28"</v>
      </c>
      <c r="AS63" t="str">
        <v>25'</v>
      </c>
      <c r="AT63">
        <v>285</v>
      </c>
      <c r="AU63" t="str">
        <v>1½"</v>
      </c>
      <c r="AV63" t="str">
        <v>2¼</v>
      </c>
      <c r="AW63">
        <v>2.82</v>
      </c>
      <c r="AY63">
        <v>1</v>
      </c>
      <c r="AZ63" t="str">
        <v>PRT</v>
      </c>
      <c r="BU63">
        <v>4</v>
      </c>
      <c r="BV63">
        <f>IF($CK$40=BX50,BX63,IF($CK$40=$BY$50,BY63,IF($CK$40=$BZ$50,BZ63,IF($CK$40=$CA$50,CA63,IF($CK$40=$CB$50,CB63,IF($CK$40=$CC$50,CC63,IF($CK$40=$CD$50,CD63,0)))))))</f>
        <v>0</v>
      </c>
      <c r="BX63">
        <f>BX54*25.4</f>
        <v>104.77499999999999</v>
      </c>
      <c r="BY63">
        <f>BY54*25.4</f>
        <v>127</v>
      </c>
      <c r="BZ63">
        <f>BZ54*25.4</f>
        <v>142.875</v>
      </c>
      <c r="CA63">
        <f>CA54*25.4</f>
        <v>152.39999999999998</v>
      </c>
      <c r="CB63">
        <f>CB54*25.4</f>
        <v>165.1</v>
      </c>
      <c r="CC63">
        <f>CC54*25.4</f>
        <v>190.5</v>
      </c>
      <c r="CD63">
        <f>CD54*25.4</f>
        <v>241.29999999999998</v>
      </c>
      <c r="CG63">
        <f>CG53</f>
        <v>300</v>
      </c>
      <c r="CH63">
        <f>CG47</f>
        <v>450</v>
      </c>
      <c r="CI63">
        <v>6</v>
      </c>
      <c r="CJ63">
        <v>40</v>
      </c>
      <c r="CK63">
        <f>POWER(CJ63/$CK$44,0.8)</f>
        <v>0.8642810744472068</v>
      </c>
      <c r="CL63">
        <f>($CP$49*(CJ63/$CK$44)*CK63)</f>
        <v>0</v>
      </c>
      <c r="CM63">
        <f>($CP$49*(CJ63/$CK$44)*CK63)*1.15</f>
        <v>0</v>
      </c>
      <c r="DG63">
        <v>11</v>
      </c>
      <c r="DH63">
        <v>0.7</v>
      </c>
      <c r="FN63">
        <v>28</v>
      </c>
      <c r="FO63" t="str">
        <v>60QX2,2</v>
      </c>
      <c r="FP63">
        <v>90</v>
      </c>
      <c r="FQ63">
        <v>9.875</v>
      </c>
      <c r="FR63">
        <v>11</v>
      </c>
      <c r="FS63">
        <v>95000</v>
      </c>
      <c r="GE63">
        <f>IF($FW$23&lt;=FR63,1,0)</f>
        <v>0</v>
      </c>
      <c r="GF63">
        <f>GD63+GE63</f>
        <v>0</v>
      </c>
      <c r="GG63">
        <f>IF($FW$29=$FX$34,FX63,IF($FW$29=$FY$34,FY63,IF($FW$29=$FZ$34,FZ63,IF($FW$29=$GA$34,GA63,""))))</f>
        <v>0</v>
      </c>
      <c r="GH63">
        <f>IF(GF63=1,1,0)</f>
        <v>0</v>
      </c>
      <c r="GI63">
        <f>IF($FW$21&lt;FS63,1,0)</f>
        <v>1</v>
      </c>
      <c r="GJ63">
        <f>GH63+GI63</f>
        <v>1</v>
      </c>
      <c r="GK63" t="str">
        <f>IF(GJ63=2,FP63,"")</f>
        <v/>
      </c>
    </row>
    <row r="64">
      <c r="AL64" t="str">
        <v>022166-002</v>
      </c>
      <c r="AM64" t="str">
        <v>Drill Pipe</v>
      </c>
      <c r="AN64">
        <v>3</v>
      </c>
      <c r="AP64" t="str">
        <v>2 3/8 MJR</v>
      </c>
      <c r="AR64" t="str">
        <v>.38"</v>
      </c>
      <c r="AS64" t="str">
        <v>9'6"</v>
      </c>
      <c r="AT64">
        <v>128</v>
      </c>
      <c r="AU64" t="str">
        <v>1"</v>
      </c>
      <c r="AV64" t="str">
        <v>2¼</v>
      </c>
      <c r="AX64" t="str">
        <v>Gator</v>
      </c>
      <c r="AY64">
        <v>1</v>
      </c>
      <c r="AZ64" t="str">
        <v>PRT</v>
      </c>
      <c r="BU64">
        <v>5</v>
      </c>
      <c r="BV64">
        <f>IF($CK$40=BX50,BX64,IF($CK$40=$BY$50,BY64,IF($CK$40=$BZ$50,BZ64,IF($CK$40=$CA$50,CA64,IF($CK$40=$CB$50,CB64,IF($CK$40=$CC$50,CC64,IF($CK$40=$CD$50,CD64,0)))))))</f>
        <v>0</v>
      </c>
      <c r="BX64">
        <f>BX55*25.4</f>
        <v>0</v>
      </c>
      <c r="BY64">
        <f>BY55*25.4</f>
        <v>130.17499999999998</v>
      </c>
      <c r="BZ64">
        <f>BZ55*25.4</f>
        <v>146.04999999999998</v>
      </c>
      <c r="CA64">
        <f>CA55*25.4</f>
        <v>0</v>
      </c>
      <c r="CB64">
        <f>CB55*25.4</f>
        <v>171.45</v>
      </c>
      <c r="CC64">
        <f>CC55*25.4</f>
        <v>203.2</v>
      </c>
      <c r="CD64">
        <f>CD55*25.4</f>
        <v>254</v>
      </c>
      <c r="CG64">
        <f>CG54</f>
        <v>275</v>
      </c>
      <c r="CH64">
        <f>CG48</f>
        <v>425</v>
      </c>
      <c r="CI64">
        <v>7</v>
      </c>
      <c r="CJ64">
        <v>42</v>
      </c>
      <c r="CK64">
        <f>POWER(CJ64/$CK$44,0.8)</f>
        <v>0.8986828262031827</v>
      </c>
      <c r="CL64">
        <f>($CP$49*(CJ64/$CK$44)*CK64)</f>
        <v>0</v>
      </c>
      <c r="CM64">
        <f>($CP$49*(CJ64/$CK$44)*CK64)*1.15</f>
        <v>0</v>
      </c>
      <c r="DG64">
        <v>12</v>
      </c>
      <c r="DH64">
        <v>0.69</v>
      </c>
      <c r="FN64">
        <v>29</v>
      </c>
      <c r="FO64" t="str">
        <v>60QX2,3</v>
      </c>
      <c r="FP64">
        <v>90</v>
      </c>
      <c r="FQ64">
        <v>12.25</v>
      </c>
      <c r="FR64">
        <v>13.75</v>
      </c>
      <c r="FS64">
        <v>120000</v>
      </c>
      <c r="GE64">
        <f>IF($FW$23&lt;=FR64,1,0)</f>
        <v>1</v>
      </c>
      <c r="GF64">
        <f>GD64+GE64</f>
        <v>1</v>
      </c>
      <c r="GG64">
        <f>IF($FW$29=$FX$34,FX64,IF($FW$29=$FY$34,FY64,IF($FW$29=$FZ$34,FZ64,IF($FW$29=$GA$34,GA64,""))))</f>
        <v>0</v>
      </c>
      <c r="GH64">
        <f>IF(GF64=1,1,0)</f>
        <v>1</v>
      </c>
      <c r="GI64">
        <f>IF($FW$21&lt;FS64,1,0)</f>
        <v>1</v>
      </c>
      <c r="GJ64">
        <f>GH64+GI64</f>
        <v>2</v>
      </c>
      <c r="GK64">
        <f>IF(GJ64=2,FP64,"")</f>
        <v>90</v>
      </c>
    </row>
    <row r="65">
      <c r="AL65" t="str">
        <v>022166-001</v>
      </c>
      <c r="AM65" t="str">
        <v>Drill Pipe</v>
      </c>
      <c r="AN65">
        <v>3</v>
      </c>
      <c r="AP65" t="str">
        <v>2 3/8 MJR</v>
      </c>
      <c r="AR65" t="str">
        <v>.38"</v>
      </c>
      <c r="AS65" t="str">
        <v>13'</v>
      </c>
      <c r="AT65">
        <v>165</v>
      </c>
      <c r="AU65" t="str">
        <v>1"</v>
      </c>
      <c r="AV65" t="str">
        <v>2¼</v>
      </c>
      <c r="AX65" t="str">
        <v>Gator</v>
      </c>
      <c r="AY65">
        <v>1</v>
      </c>
      <c r="AZ65" t="str">
        <v>PRT</v>
      </c>
      <c r="BU65">
        <v>6</v>
      </c>
      <c r="BV65">
        <f>IF($CK$40=BX50,BX65,IF($CK$40=$BY$50,BY65,IF($CK$40=$BZ$50,BZ65,IF($CK$40=$CA$50,CA65,IF($CK$40=$CB$50,CB65,IF($CK$40=$CC$50,CC65,IF($CK$40=$CD$50,CD65,0)))))))</f>
        <v>0</v>
      </c>
      <c r="BX65">
        <f>BX56*25.4</f>
        <v>0</v>
      </c>
      <c r="BY65">
        <f>BY56*25.4</f>
        <v>133.35</v>
      </c>
      <c r="BZ65">
        <f>BZ56*25.4</f>
        <v>152.39999999999998</v>
      </c>
      <c r="CA65">
        <f>CA56*25.4</f>
        <v>0</v>
      </c>
      <c r="CB65">
        <f>CB56*25.4</f>
        <v>177.79999999999998</v>
      </c>
      <c r="CC65">
        <f>CC56*25.4</f>
        <v>0</v>
      </c>
      <c r="CD65">
        <f>CD56*25.4</f>
        <v>269.875</v>
      </c>
      <c r="CG65">
        <f>CG55</f>
        <v>250</v>
      </c>
      <c r="CH65">
        <f>CG49</f>
        <v>400</v>
      </c>
      <c r="CI65">
        <v>8</v>
      </c>
      <c r="CJ65">
        <v>44</v>
      </c>
      <c r="CK65">
        <f>POWER(CJ65/$CK$44,0.8)</f>
        <v>0.9327583624109552</v>
      </c>
      <c r="CL65">
        <f>($CP$49*(CJ65/$CK$44)*CK65)</f>
        <v>0</v>
      </c>
      <c r="CM65">
        <f>($CP$49*(CJ65/$CK$44)*CK65)*1.15</f>
        <v>0</v>
      </c>
      <c r="DG65">
        <v>13</v>
      </c>
      <c r="DH65">
        <v>0.68</v>
      </c>
      <c r="FN65">
        <v>30</v>
      </c>
      <c r="FO65" t="str">
        <v>70QX2,1</v>
      </c>
      <c r="FP65">
        <v>90</v>
      </c>
      <c r="FQ65">
        <v>9.875</v>
      </c>
      <c r="FR65">
        <v>11</v>
      </c>
      <c r="FS65">
        <v>100000</v>
      </c>
      <c r="FT65">
        <v>44000</v>
      </c>
      <c r="FU65">
        <f>FT65</f>
        <v>44000</v>
      </c>
      <c r="FV65">
        <v>64000</v>
      </c>
      <c r="FW65">
        <v>70000</v>
      </c>
      <c r="FX65">
        <v>70000</v>
      </c>
      <c r="FY65">
        <f>FX65</f>
        <v>70000</v>
      </c>
      <c r="FZ65">
        <v>70000</v>
      </c>
      <c r="GA65">
        <v>70000</v>
      </c>
      <c r="GE65">
        <f>IF($FW$23&lt;=FR65,1,0)</f>
        <v>0</v>
      </c>
      <c r="GF65">
        <f>GD65+GE65</f>
        <v>0</v>
      </c>
      <c r="GG65">
        <f>IF($FW$29=$FX$34,FX65,IF($FW$29=$FY$34,FY65,IF($FW$29=$FZ$34,FZ65,IF($FW$29=$GA$34,GA65,""))))</f>
        <v>70000</v>
      </c>
      <c r="GH65">
        <f>IF(GF65=1,1,0)</f>
        <v>0</v>
      </c>
      <c r="GI65">
        <f>IF($FW$21&lt;FS65,1,0)</f>
        <v>1</v>
      </c>
      <c r="GJ65">
        <f>GH65+GI65</f>
        <v>1</v>
      </c>
      <c r="GK65" t="str">
        <f>IF(GJ65=2,FP65,"")</f>
        <v/>
      </c>
    </row>
    <row r="66">
      <c r="AL66" t="str">
        <v>001890-003</v>
      </c>
      <c r="AM66" t="str">
        <v>Drill Pipe</v>
      </c>
      <c r="AN66">
        <v>3</v>
      </c>
      <c r="AP66" t="str">
        <v>2 3/8 API</v>
      </c>
      <c r="AR66" t="str">
        <v>3/8"</v>
      </c>
      <c r="AS66" t="str">
        <v>30'</v>
      </c>
      <c r="AT66">
        <v>335</v>
      </c>
      <c r="AV66" t="str">
        <v>2¼</v>
      </c>
      <c r="AW66">
        <v>2.8125</v>
      </c>
      <c r="AY66">
        <v>1</v>
      </c>
      <c r="AZ66" t="str">
        <v>DRL</v>
      </c>
      <c r="BU66">
        <v>7</v>
      </c>
      <c r="BV66">
        <f>IF($CK$40=BX50,BX66,IF($CK$40=$BY$50,BY66,IF($CK$40=$BZ$50,BZ66,IF($CK$40=$CA$50,CA66,IF($CK$40=$CB$50,CB66,IF($CK$40=$CC$50,CC66,IF($CK$40=$CD$50,CD66,0)))))))</f>
        <v>0</v>
      </c>
      <c r="BX66">
        <f>BX57*25.4</f>
        <v>0</v>
      </c>
      <c r="BY66">
        <f>BY57*25.4</f>
        <v>139.7</v>
      </c>
      <c r="BZ66">
        <f>BZ57*25.4</f>
        <v>0</v>
      </c>
      <c r="CA66">
        <f>CA57*25.4</f>
        <v>0</v>
      </c>
      <c r="CB66">
        <f>CB57*25.4</f>
        <v>190.5</v>
      </c>
      <c r="CC66">
        <f>CC57*25.4</f>
        <v>0</v>
      </c>
      <c r="CD66">
        <f>CD57*25.4</f>
        <v>0</v>
      </c>
      <c r="CG66">
        <f>CG56</f>
        <v>225</v>
      </c>
      <c r="CH66">
        <f>CG50</f>
        <v>375</v>
      </c>
      <c r="CI66">
        <v>9</v>
      </c>
      <c r="CJ66">
        <v>46</v>
      </c>
      <c r="CK66">
        <f>POWER(CJ66/$CK$44,0.8)</f>
        <v>0.9665254084579352</v>
      </c>
      <c r="CL66">
        <f>($CP$49*(CJ66/$CK$44)*CK66)</f>
        <v>0</v>
      </c>
      <c r="CM66">
        <f>($CP$49*(CJ66/$CK$44)*CK66)*1.15</f>
        <v>0</v>
      </c>
      <c r="DG66">
        <v>14</v>
      </c>
      <c r="DH66">
        <v>0.67</v>
      </c>
    </row>
    <row r="67">
      <c r="AL67" t="str">
        <v>001890-002</v>
      </c>
      <c r="AM67" t="str">
        <v>Drill Pipe</v>
      </c>
      <c r="AN67">
        <v>3</v>
      </c>
      <c r="AP67" t="str">
        <v>2 3/8 API</v>
      </c>
      <c r="AR67" t="str">
        <v>3/8"</v>
      </c>
      <c r="AS67" t="str">
        <v>20'</v>
      </c>
      <c r="AT67">
        <v>235</v>
      </c>
      <c r="AU67" t="str">
        <v>1"</v>
      </c>
      <c r="AV67" t="str">
        <v>2¼</v>
      </c>
      <c r="AW67">
        <v>2.8125</v>
      </c>
      <c r="AY67">
        <v>1</v>
      </c>
      <c r="AZ67" t="str">
        <v>DRL</v>
      </c>
      <c r="BU67">
        <v>8</v>
      </c>
      <c r="BV67">
        <f>IF($CK$40=BX50,BX67,IF($CK$40=$BY$50,BY67,IF($CK$40=$BZ$50,BZ67,IF($CK$40=$CA$50,CA67,IF($CK$40=$CB$50,CB67,IF($CK$40=$CC$50,CC67,IF($CK$40=$CD$50,CD67,0)))))))</f>
        <v>0</v>
      </c>
      <c r="BX67">
        <f>BX58*25.4</f>
        <v>0</v>
      </c>
      <c r="BY67">
        <f>BY58*25.4</f>
        <v>0</v>
      </c>
      <c r="BZ67">
        <f>BZ58*25.4</f>
        <v>0</v>
      </c>
      <c r="CA67">
        <f>CA58*25.4</f>
        <v>0</v>
      </c>
      <c r="CB67">
        <f>CB58*25.4</f>
        <v>203.2</v>
      </c>
      <c r="CC67">
        <f>CC58*25.4</f>
        <v>0</v>
      </c>
      <c r="CD67">
        <f>CD58*25.4</f>
        <v>0</v>
      </c>
      <c r="CG67">
        <f>CG57</f>
        <v>200</v>
      </c>
      <c r="CH67">
        <f>CG51</f>
        <v>350</v>
      </c>
      <c r="CI67">
        <v>10</v>
      </c>
      <c r="CJ67">
        <v>48</v>
      </c>
      <c r="CK67">
        <f>POWER(CJ67/$CK$44,0.8)</f>
        <v>1</v>
      </c>
      <c r="CL67">
        <f>($CP$49*(CJ67/$CK$44)*CK67)</f>
        <v>0</v>
      </c>
      <c r="CM67">
        <f>($CP$49*(CJ67/$CK$44)*CK67)*1.15</f>
        <v>0</v>
      </c>
      <c r="DG67">
        <v>15</v>
      </c>
      <c r="DH67">
        <v>0.66</v>
      </c>
      <c r="FT67" t="str">
        <v>None</v>
      </c>
      <c r="FU67" t="str">
        <v>Light</v>
      </c>
      <c r="FV67" t="str">
        <v>Moderate</v>
      </c>
      <c r="FW67" t="str">
        <v>Heavy</v>
      </c>
      <c r="FX67" t="str">
        <v>None</v>
      </c>
      <c r="FY67" t="str">
        <v>Light</v>
      </c>
      <c r="FZ67" t="str">
        <v>Moderate</v>
      </c>
      <c r="GA67" t="str">
        <v>Heavy</v>
      </c>
    </row>
    <row r="68">
      <c r="AL68" t="str">
        <v>001890-001</v>
      </c>
      <c r="AM68" t="str">
        <v>Drill Pipe</v>
      </c>
      <c r="AN68">
        <v>3</v>
      </c>
      <c r="AP68" t="str">
        <v>2 3/8 API</v>
      </c>
      <c r="AR68" t="str">
        <v>3/8"</v>
      </c>
      <c r="AS68" t="str">
        <v>25'</v>
      </c>
      <c r="AT68">
        <v>285</v>
      </c>
      <c r="AU68" t="str">
        <v>1"</v>
      </c>
      <c r="AV68" t="str">
        <v>2¼</v>
      </c>
      <c r="AW68">
        <v>2.8125</v>
      </c>
      <c r="AY68">
        <v>1</v>
      </c>
      <c r="AZ68" t="str">
        <v>DRL</v>
      </c>
      <c r="CH68">
        <f>CG52</f>
        <v>325</v>
      </c>
      <c r="CI68">
        <v>11</v>
      </c>
      <c r="CJ68">
        <v>50</v>
      </c>
      <c r="CK68">
        <f>POWER(CJ68/$CK$44,0.8)</f>
        <v>1.0331967075860067</v>
      </c>
      <c r="CL68">
        <f>($CP$49*(CJ68/$CK$44)*CK68)</f>
        <v>0</v>
      </c>
      <c r="CM68">
        <f>($CP$49*(CJ68/$CK$44)*CK68)*1.15</f>
        <v>0</v>
      </c>
      <c r="DG68">
        <v>16</v>
      </c>
      <c r="DH68">
        <v>0.65</v>
      </c>
      <c r="FO68" t="str">
        <v>STANDARD  BITS</v>
      </c>
      <c r="FP68" t="str">
        <v>MAX RPM</v>
      </c>
      <c r="FQ68" t="str">
        <v>MIN Hole</v>
      </c>
      <c r="FR68" t="str">
        <v>MAX Hole</v>
      </c>
      <c r="FS68" t="str">
        <v>Max Pulldown</v>
      </c>
      <c r="FT68" t="str">
        <v>Min. UCS Capability</v>
      </c>
      <c r="FX68" t="str">
        <v>Max. UCS Capability</v>
      </c>
      <c r="GK68">
        <f>MAX(GK70:GK103)</f>
        <v>110</v>
      </c>
    </row>
    <row r="69">
      <c r="AL69" t="str">
        <v>021515-002</v>
      </c>
      <c r="AM69" t="str">
        <v>Drill Pipe</v>
      </c>
      <c r="AN69">
        <v>3</v>
      </c>
      <c r="AP69" t="str">
        <v>2 3/8 API</v>
      </c>
      <c r="AS69" t="str">
        <v>9'6"</v>
      </c>
      <c r="AT69">
        <v>128</v>
      </c>
      <c r="AU69" t="str">
        <v>1"</v>
      </c>
      <c r="AV69" t="str">
        <v>2¼</v>
      </c>
      <c r="AX69" t="str">
        <v>Gator</v>
      </c>
      <c r="AY69">
        <v>1</v>
      </c>
      <c r="AZ69" t="str">
        <v>PRT</v>
      </c>
      <c r="BY69">
        <f>DE2</f>
        <v>12.244094488188978</v>
      </c>
      <c r="BZ69">
        <v>140</v>
      </c>
      <c r="CA69">
        <v>140</v>
      </c>
      <c r="CB69">
        <v>165</v>
      </c>
      <c r="CC69">
        <v>165</v>
      </c>
      <c r="CD69">
        <v>203</v>
      </c>
      <c r="CH69">
        <f>CG53</f>
        <v>300</v>
      </c>
      <c r="CI69">
        <v>12</v>
      </c>
      <c r="CJ69">
        <v>52</v>
      </c>
      <c r="CK69">
        <f>POWER(CJ69/$CK$44,0.8)</f>
        <v>1.0661288236446513</v>
      </c>
      <c r="CL69">
        <f>($CP$49*(CJ69/$CK$44)*CK69)</f>
        <v>0</v>
      </c>
      <c r="CM69">
        <f>($CP$49*(CJ69/$CK$44)*CK69)*1.15</f>
        <v>0</v>
      </c>
      <c r="DG69">
        <v>17</v>
      </c>
      <c r="DH69">
        <v>0.6</v>
      </c>
      <c r="FM69">
        <f>3/8</f>
        <v>0.375</v>
      </c>
      <c r="FO69" t="str">
        <v>X05</v>
      </c>
      <c r="FP69">
        <v>160</v>
      </c>
      <c r="FQ69">
        <v>7.875</v>
      </c>
      <c r="FR69">
        <v>9</v>
      </c>
      <c r="FS69">
        <v>16000</v>
      </c>
    </row>
    <row r="70">
      <c r="AL70" t="str">
        <v>021515-001</v>
      </c>
      <c r="AM70" t="str">
        <v>Drill Pipe</v>
      </c>
      <c r="AN70">
        <v>3</v>
      </c>
      <c r="AP70" t="str">
        <v>2 3/8 IF</v>
      </c>
      <c r="AS70" t="str">
        <v>13'</v>
      </c>
      <c r="AT70">
        <v>165</v>
      </c>
      <c r="AU70" t="str">
        <v>1"</v>
      </c>
      <c r="AV70" t="str">
        <v>2¼</v>
      </c>
      <c r="AX70" t="str">
        <v>Gator</v>
      </c>
      <c r="AY70">
        <v>1</v>
      </c>
      <c r="AZ70" t="str">
        <v>PRT</v>
      </c>
      <c r="CH70">
        <f>CG54</f>
        <v>275</v>
      </c>
      <c r="CI70">
        <v>13</v>
      </c>
      <c r="CJ70">
        <v>54</v>
      </c>
      <c r="CK70">
        <f>POWER(CJ70/$CK$44,0.8)</f>
        <v>1.0988085193438206</v>
      </c>
      <c r="CL70">
        <f>($CP$49*(CJ70/$CK$44)*CK70)</f>
        <v>0</v>
      </c>
      <c r="CM70">
        <f>($CP$49*(CJ70/$CK$44)*CK70)*1.15</f>
        <v>0</v>
      </c>
      <c r="FO70" t="str">
        <v>X07/S07,1</v>
      </c>
      <c r="FP70">
        <v>160</v>
      </c>
      <c r="FQ70">
        <v>7.875</v>
      </c>
      <c r="FR70">
        <v>9</v>
      </c>
      <c r="FS70">
        <v>16000</v>
      </c>
      <c r="FT70">
        <v>4000</v>
      </c>
      <c r="FU70">
        <f>FT70</f>
        <v>4000</v>
      </c>
      <c r="FV70">
        <v>5000</v>
      </c>
      <c r="FW70">
        <v>8000</v>
      </c>
      <c r="FX70">
        <v>9500</v>
      </c>
      <c r="FY70">
        <f>FX70</f>
        <v>9500</v>
      </c>
      <c r="FZ70">
        <v>13000</v>
      </c>
      <c r="GA70">
        <v>18500</v>
      </c>
      <c r="GE70">
        <f>IF($FW$23&lt;=FR70,1,0)</f>
        <v>0</v>
      </c>
      <c r="GF70">
        <f>GD70+GE70</f>
        <v>0</v>
      </c>
      <c r="GG70">
        <f>IF($FW$29=$FX$34,FX70,IF($FW$29=$FY$34,FY70,IF($FW$29=$FZ$34,FZ70,IF($FW$29=$GA$34,GA70,""))))</f>
        <v>13000</v>
      </c>
      <c r="GH70">
        <f>IF(GF70=1,1,0)</f>
        <v>0</v>
      </c>
      <c r="GI70">
        <f>IF($FW$21&lt;FS70,1,0)</f>
        <v>0</v>
      </c>
      <c r="GJ70">
        <f>GH70+GI70</f>
        <v>0</v>
      </c>
      <c r="GK70" t="str">
        <f>IF(GJ70=2,FP70,"")</f>
        <v/>
      </c>
    </row>
    <row r="71">
      <c r="AL71" t="str">
        <v>016691-001</v>
      </c>
      <c r="AM71" t="str">
        <v>Drill Pipe CSR</v>
      </c>
      <c r="AN71">
        <v>3.75</v>
      </c>
      <c r="AP71" t="str">
        <v>3 3/4 MPD</v>
      </c>
      <c r="AS71" t="str">
        <v>20'</v>
      </c>
      <c r="AV71">
        <v>3.125</v>
      </c>
      <c r="AW71" t="str">
        <v>2 lg</v>
      </c>
      <c r="AX71" t="str">
        <v>Dual Tube, CSR</v>
      </c>
      <c r="CH71">
        <f>CG55</f>
        <v>250</v>
      </c>
      <c r="CI71">
        <v>14</v>
      </c>
      <c r="CJ71">
        <v>56</v>
      </c>
      <c r="CK71">
        <f>POWER(CJ71/$CK$44,0.8)</f>
        <v>1.131246977111509</v>
      </c>
      <c r="CL71">
        <f>($CP$49*(CJ71/$CK$44)*CK71)</f>
        <v>0</v>
      </c>
      <c r="CM71">
        <f>($CP$49*(CJ71/$CK$44)*CK71)*1.15</f>
        <v>0</v>
      </c>
      <c r="FO71" t="str">
        <v>X07/S07,2</v>
      </c>
      <c r="FP71">
        <v>150</v>
      </c>
      <c r="FQ71">
        <v>9.875</v>
      </c>
      <c r="FR71">
        <v>11</v>
      </c>
      <c r="FS71">
        <v>24000</v>
      </c>
      <c r="FT71">
        <v>4000</v>
      </c>
      <c r="FU71">
        <f>FT71</f>
        <v>4000</v>
      </c>
      <c r="FV71">
        <v>5000</v>
      </c>
      <c r="FW71">
        <v>8000</v>
      </c>
      <c r="FX71">
        <v>9500</v>
      </c>
      <c r="FY71">
        <f>FX71</f>
        <v>9500</v>
      </c>
      <c r="FZ71">
        <v>13000</v>
      </c>
      <c r="GA71">
        <v>18500</v>
      </c>
      <c r="GE71">
        <f>IF($FW$23&lt;=FR71,1,0)</f>
        <v>0</v>
      </c>
      <c r="GF71">
        <f>GD71+GE71</f>
        <v>0</v>
      </c>
      <c r="GG71">
        <f>IF($FW$29=$FX$34,FX71,IF($FW$29=$FY$34,FY71,IF($FW$29=$FZ$34,FZ71,IF($FW$29=$GA$34,GA71,""))))</f>
        <v>13000</v>
      </c>
      <c r="GH71">
        <f>IF(GF71=1,1,0)</f>
        <v>0</v>
      </c>
      <c r="GI71">
        <f>IF($FW$21&lt;FS71,1,0)</f>
        <v>0</v>
      </c>
      <c r="GJ71">
        <f>GH71+GI71</f>
        <v>0</v>
      </c>
      <c r="GK71" t="str">
        <f>IF(GJ71=2,FP71,"")</f>
        <v/>
      </c>
    </row>
    <row r="72">
      <c r="AL72" t="str">
        <v>002724-006</v>
      </c>
      <c r="AM72" t="str">
        <v>Drill Pipe</v>
      </c>
      <c r="AN72">
        <v>4</v>
      </c>
      <c r="AO72" t="str">
        <v xml:space="preserve"> </v>
      </c>
      <c r="AP72" t="str">
        <v>2 3/8 IF</v>
      </c>
      <c r="AR72" t="str">
        <v>.330</v>
      </c>
      <c r="AS72" t="str">
        <v>30'</v>
      </c>
      <c r="AT72">
        <v>466</v>
      </c>
      <c r="AU72" t="str">
        <v>1 3/4"</v>
      </c>
      <c r="AV72">
        <v>2.75</v>
      </c>
      <c r="AW72" t="str">
        <v>3½</v>
      </c>
      <c r="AY72">
        <v>1</v>
      </c>
      <c r="AZ72" t="str">
        <v>DRL</v>
      </c>
      <c r="CH72">
        <f>CG56</f>
        <v>225</v>
      </c>
      <c r="CI72">
        <v>15</v>
      </c>
      <c r="CJ72">
        <v>58</v>
      </c>
      <c r="CK72">
        <f>POWER(CJ72/$CK$44,0.8)</f>
        <v>1.1634545033280965</v>
      </c>
      <c r="CL72">
        <f>($CP$49*(CJ72/$CK$44)*CK72)</f>
        <v>0</v>
      </c>
      <c r="CM72">
        <f>($CP$49*(CJ72/$CK$44)*CK72)*1.15</f>
        <v>0</v>
      </c>
      <c r="FM72">
        <f>7/8</f>
        <v>0.875</v>
      </c>
      <c r="FO72" t="str">
        <v>X10/S10,1</v>
      </c>
      <c r="FP72">
        <v>150</v>
      </c>
      <c r="FQ72">
        <v>6.75</v>
      </c>
      <c r="FR72">
        <v>7.375</v>
      </c>
      <c r="FS72">
        <v>16000</v>
      </c>
      <c r="FT72">
        <v>4000</v>
      </c>
      <c r="FU72">
        <f>FT72</f>
        <v>4000</v>
      </c>
      <c r="FV72">
        <v>5000</v>
      </c>
      <c r="FW72">
        <v>8000</v>
      </c>
      <c r="FX72">
        <v>11000</v>
      </c>
      <c r="FY72">
        <f>FX72</f>
        <v>11000</v>
      </c>
      <c r="FZ72">
        <v>17000</v>
      </c>
      <c r="GA72">
        <v>23000</v>
      </c>
      <c r="GE72">
        <f>IF($FW$23&lt;=FR72,1,0)</f>
        <v>0</v>
      </c>
      <c r="GF72">
        <f>GD72+GE72</f>
        <v>0</v>
      </c>
      <c r="GG72">
        <f>IF($FW$29=$FX$34,FX72,IF($FW$29=$FY$34,FY72,IF($FW$29=$FZ$34,FZ72,IF($FW$29=$GA$34,GA72,""))))</f>
        <v>17000</v>
      </c>
      <c r="GH72">
        <f>IF(GF72=1,1,0)</f>
        <v>0</v>
      </c>
      <c r="GI72">
        <f>IF($FW$21&lt;FS72,1,0)</f>
        <v>0</v>
      </c>
      <c r="GJ72">
        <f>GH72+GI72</f>
        <v>0</v>
      </c>
      <c r="GK72" t="str">
        <f>IF(GJ72=2,FP72,"")</f>
        <v/>
      </c>
    </row>
    <row r="73">
      <c r="AL73" t="str">
        <v>002724-003</v>
      </c>
      <c r="AM73" t="str">
        <v>Drill Pipe</v>
      </c>
      <c r="AN73">
        <v>4</v>
      </c>
      <c r="AP73" t="str">
        <v>2 3/8 IF</v>
      </c>
      <c r="AR73" t="str">
        <v>.330</v>
      </c>
      <c r="AS73" t="str">
        <v>10'</v>
      </c>
      <c r="AT73">
        <v>190</v>
      </c>
      <c r="AU73" t="str">
        <v>1 3/4"</v>
      </c>
      <c r="AV73">
        <v>2.75</v>
      </c>
      <c r="AW73" t="str">
        <v>3½</v>
      </c>
      <c r="AY73">
        <v>1</v>
      </c>
      <c r="AZ73" t="str">
        <v>NCR</v>
      </c>
      <c r="BZ73">
        <f>BZ42/25.4</f>
        <v>3.5433070866141736</v>
      </c>
      <c r="CH73">
        <f>CG57</f>
        <v>200</v>
      </c>
      <c r="CI73">
        <v>16</v>
      </c>
      <c r="CJ73">
        <v>60</v>
      </c>
      <c r="CK73">
        <f>POWER(CJ73/$CK$44,0.8)</f>
        <v>1.1954406247375462</v>
      </c>
      <c r="CL73">
        <f>($CP$49*(CJ73/$CK$44)*CK73)</f>
        <v>0</v>
      </c>
      <c r="CM73">
        <f>($CP$49*(CJ73/$CK$44)*CK73)*1.15</f>
        <v>0</v>
      </c>
      <c r="FO73" t="str">
        <v>X10/S10,2</v>
      </c>
      <c r="FP73">
        <v>150</v>
      </c>
      <c r="FQ73">
        <v>7.875</v>
      </c>
      <c r="FR73">
        <v>9</v>
      </c>
      <c r="FS73">
        <v>24000</v>
      </c>
      <c r="FT73">
        <v>4000</v>
      </c>
      <c r="FU73">
        <f>FT73</f>
        <v>4000</v>
      </c>
      <c r="FV73">
        <v>5000</v>
      </c>
      <c r="FW73">
        <v>8000</v>
      </c>
      <c r="FX73">
        <v>11000</v>
      </c>
      <c r="FY73">
        <f>FX73</f>
        <v>11000</v>
      </c>
      <c r="FZ73">
        <v>17000</v>
      </c>
      <c r="GA73">
        <v>23000</v>
      </c>
      <c r="GE73">
        <f>IF($FW$23&lt;=FR73,1,0)</f>
        <v>0</v>
      </c>
      <c r="GF73">
        <f>GD73+GE73</f>
        <v>0</v>
      </c>
      <c r="GG73">
        <f>IF($FW$29=$FX$34,FX73,IF($FW$29=$FY$34,FY73,IF($FW$29=$FZ$34,FZ73,IF($FW$29=$GA$34,GA73,""))))</f>
        <v>17000</v>
      </c>
      <c r="GH73">
        <f>IF(GF73=1,1,0)</f>
        <v>0</v>
      </c>
      <c r="GI73">
        <f>IF($FW$21&lt;FS73,1,0)</f>
        <v>0</v>
      </c>
      <c r="GJ73">
        <f>GH73+GI73</f>
        <v>0</v>
      </c>
      <c r="GK73" t="str">
        <f>IF(GJ73=2,FP73,"")</f>
        <v/>
      </c>
    </row>
    <row r="74">
      <c r="AL74" t="str">
        <v>002724-002</v>
      </c>
      <c r="AM74" t="str">
        <v>Drill Pipe</v>
      </c>
      <c r="AN74">
        <v>4</v>
      </c>
      <c r="AP74" t="str">
        <v>2 3/8 IF</v>
      </c>
      <c r="AR74" t="str">
        <v>.330</v>
      </c>
      <c r="AS74" t="str">
        <v>20'</v>
      </c>
      <c r="AT74">
        <v>328</v>
      </c>
      <c r="AU74" t="str">
        <v>1 3/4"</v>
      </c>
      <c r="AV74">
        <v>2.75</v>
      </c>
      <c r="AW74" t="str">
        <v>3½</v>
      </c>
      <c r="AY74">
        <v>1</v>
      </c>
      <c r="AZ74" t="str">
        <v>DRL</v>
      </c>
      <c r="BZ74">
        <f>BZ43/25.4</f>
        <v>3.6220472440944884</v>
      </c>
      <c r="CI74">
        <v>17</v>
      </c>
      <c r="CJ74">
        <v>62</v>
      </c>
      <c r="CK74">
        <f>POWER(CJ74/$CK$44,0.8)</f>
        <v>1.2272141713933764</v>
      </c>
      <c r="CL74">
        <f>($CP$49*(CJ74/$CK$44)*CK74)</f>
        <v>0</v>
      </c>
      <c r="CM74">
        <f>($CP$49*(CJ74/$CK$44)*CK74)*1.15</f>
        <v>0</v>
      </c>
      <c r="FO74" t="str">
        <v>X10/S10,3</v>
      </c>
      <c r="FP74">
        <v>150</v>
      </c>
      <c r="FQ74">
        <v>9.875</v>
      </c>
      <c r="FR74">
        <v>11</v>
      </c>
      <c r="FS74">
        <v>27000</v>
      </c>
      <c r="FT74">
        <v>4000</v>
      </c>
      <c r="FU74">
        <f>FT74</f>
        <v>4000</v>
      </c>
      <c r="FV74">
        <v>5000</v>
      </c>
      <c r="FW74">
        <v>8000</v>
      </c>
      <c r="FX74">
        <v>11000</v>
      </c>
      <c r="FY74">
        <f>FX74</f>
        <v>11000</v>
      </c>
      <c r="FZ74">
        <v>17000</v>
      </c>
      <c r="GA74">
        <v>23000</v>
      </c>
      <c r="GE74">
        <f>IF($FW$23&lt;=FR74,1,0)</f>
        <v>0</v>
      </c>
      <c r="GF74">
        <f>GD74+GE74</f>
        <v>0</v>
      </c>
      <c r="GG74">
        <f>IF($FW$29=$FX$34,FX74,IF($FW$29=$FY$34,FY74,IF($FW$29=$FZ$34,FZ74,IF($FW$29=$GA$34,GA74,""))))</f>
        <v>17000</v>
      </c>
      <c r="GH74">
        <f>IF(GF74=1,1,0)</f>
        <v>0</v>
      </c>
      <c r="GI74">
        <f>IF($FW$21&lt;FS74,1,0)</f>
        <v>0</v>
      </c>
      <c r="GJ74">
        <f>GH74+GI74</f>
        <v>0</v>
      </c>
      <c r="GK74" t="str">
        <f>IF(GJ74=2,FP74,"")</f>
        <v/>
      </c>
    </row>
    <row r="75">
      <c r="AL75" t="str">
        <v>002724-001</v>
      </c>
      <c r="AM75" t="str">
        <v>Drill Pipe</v>
      </c>
      <c r="AN75">
        <v>4</v>
      </c>
      <c r="AP75" t="str">
        <v>2 3/8 IF</v>
      </c>
      <c r="AR75" t="str">
        <v>.330</v>
      </c>
      <c r="AS75" t="str">
        <v>25'</v>
      </c>
      <c r="AT75">
        <v>397</v>
      </c>
      <c r="AU75" t="str">
        <v>1 3/4"</v>
      </c>
      <c r="AV75">
        <v>2.75</v>
      </c>
      <c r="AW75" t="str">
        <v>3½</v>
      </c>
      <c r="AY75">
        <v>1</v>
      </c>
      <c r="AZ75" t="str">
        <v>NCR</v>
      </c>
      <c r="BZ75">
        <f>BZ44/25.4</f>
        <v>3.7401574803149606</v>
      </c>
      <c r="CG75">
        <v>1</v>
      </c>
      <c r="CH75">
        <f>LOOKUP(CG75,CG76:CH88)</f>
        <v>350</v>
      </c>
      <c r="CI75">
        <v>18</v>
      </c>
      <c r="CJ75">
        <v>64</v>
      </c>
      <c r="CK75">
        <f>POWER(CJ75/$CK$44,0.8)</f>
        <v>1.2587833483932025</v>
      </c>
      <c r="CL75">
        <f>($CP$49*(CJ75/$CK$44)*CK75)</f>
        <v>0</v>
      </c>
      <c r="CM75">
        <f>($CP$49*(CJ75/$CK$44)*CK75)*1.15</f>
        <v>0</v>
      </c>
      <c r="FO75" t="str">
        <v>X10/S10,4</v>
      </c>
      <c r="FP75">
        <v>150</v>
      </c>
      <c r="FQ75">
        <v>12.25</v>
      </c>
      <c r="FR75">
        <v>13.75</v>
      </c>
      <c r="FS75">
        <v>38000</v>
      </c>
      <c r="FT75">
        <v>4000</v>
      </c>
      <c r="FU75">
        <f>FT75</f>
        <v>4000</v>
      </c>
      <c r="FV75">
        <v>5000</v>
      </c>
      <c r="FW75">
        <v>8000</v>
      </c>
      <c r="FX75">
        <v>11000</v>
      </c>
      <c r="FY75">
        <f>FX75</f>
        <v>11000</v>
      </c>
      <c r="FZ75">
        <v>17000</v>
      </c>
      <c r="GA75">
        <v>23000</v>
      </c>
      <c r="GE75">
        <f>IF($FW$23&lt;=FR75,1,0)</f>
        <v>1</v>
      </c>
      <c r="GF75">
        <f>GD75+GE75</f>
        <v>1</v>
      </c>
      <c r="GG75">
        <f>IF($FW$29=$FX$34,FX75,IF($FW$29=$FY$34,FY75,IF($FW$29=$FZ$34,FZ75,IF($FW$29=$GA$34,GA75,""))))</f>
        <v>17000</v>
      </c>
      <c r="GH75">
        <f>IF(GF75=1,1,0)</f>
        <v>1</v>
      </c>
      <c r="GI75">
        <f>IF($FW$21&lt;FS75,1,0)</f>
        <v>0</v>
      </c>
      <c r="GJ75">
        <f>GH75+GI75</f>
        <v>1</v>
      </c>
      <c r="GK75" t="str">
        <f>IF(GJ75=2,FP75,"")</f>
        <v/>
      </c>
    </row>
    <row r="76">
      <c r="AL76" t="str">
        <v>012155-004</v>
      </c>
      <c r="AM76" t="str">
        <v>Drill Pipe</v>
      </c>
      <c r="AN76">
        <v>4</v>
      </c>
      <c r="AP76" t="str">
        <v>2 7/8 API</v>
      </c>
      <c r="AR76" t="str">
        <v>.500</v>
      </c>
      <c r="AS76" t="str">
        <v>30'</v>
      </c>
      <c r="AT76">
        <v>512</v>
      </c>
      <c r="AU76" t="str">
        <v>1¼"</v>
      </c>
      <c r="AV76">
        <v>2.75</v>
      </c>
      <c r="AY76">
        <v>1</v>
      </c>
      <c r="AZ76" t="str">
        <v>PRT</v>
      </c>
      <c r="BZ76">
        <f>BZ45/25.4</f>
        <v>3.937007874015748</v>
      </c>
      <c r="CG76">
        <v>1</v>
      </c>
      <c r="CH76">
        <f>IF($BS$40=500,CH61,CG61)</f>
        <v>350</v>
      </c>
      <c r="CI76">
        <v>19</v>
      </c>
      <c r="CJ76">
        <v>66</v>
      </c>
      <c r="CK76">
        <f>POWER(CJ76/$CK$44,0.8)</f>
        <v>1.2901557982198237</v>
      </c>
      <c r="CL76">
        <f>($CP$49*(CJ76/$CK$44)*CK76)</f>
        <v>0</v>
      </c>
      <c r="CM76">
        <f>($CP$49*(CJ76/$CK$44)*CK76)*1.15</f>
        <v>0</v>
      </c>
      <c r="FO76" t="str">
        <v>S15,1</v>
      </c>
      <c r="FP76">
        <v>150</v>
      </c>
      <c r="FQ76">
        <v>7.875</v>
      </c>
      <c r="FR76">
        <v>9</v>
      </c>
      <c r="FS76">
        <v>33000</v>
      </c>
      <c r="FT76">
        <v>5000</v>
      </c>
      <c r="FU76">
        <f>FT76</f>
        <v>5000</v>
      </c>
      <c r="FV76">
        <v>8000</v>
      </c>
      <c r="FW76">
        <v>13000</v>
      </c>
      <c r="FX76">
        <v>10500</v>
      </c>
      <c r="FY76">
        <f>FX76</f>
        <v>10500</v>
      </c>
      <c r="FZ76">
        <v>18000</v>
      </c>
      <c r="GA76">
        <v>25000</v>
      </c>
      <c r="GE76">
        <f>IF($FW$23&lt;=FR76,1,0)</f>
        <v>0</v>
      </c>
      <c r="GF76">
        <f>GD76+GE76</f>
        <v>0</v>
      </c>
      <c r="GG76">
        <f>IF($FW$29=$FX$34,FX76,IF($FW$29=$FY$34,FY76,IF($FW$29=$FZ$34,FZ76,IF($FW$29=$GA$34,GA76,""))))</f>
        <v>18000</v>
      </c>
      <c r="GH76">
        <f>IF(GF76=1,1,0)</f>
        <v>0</v>
      </c>
      <c r="GI76">
        <f>IF($FW$21&lt;FS76,1,0)</f>
        <v>0</v>
      </c>
      <c r="GJ76">
        <f>GH76+GI76</f>
        <v>0</v>
      </c>
      <c r="GK76" t="str">
        <f>IF(GJ76=2,FP76,"")</f>
        <v/>
      </c>
    </row>
    <row r="77">
      <c r="AL77" t="str">
        <v>012155-003</v>
      </c>
      <c r="AM77" t="str">
        <v>Drill Pipe</v>
      </c>
      <c r="AN77">
        <v>4</v>
      </c>
      <c r="AP77" t="str">
        <v>2 7/8 API</v>
      </c>
      <c r="AR77" t="str">
        <v>.500</v>
      </c>
      <c r="AS77" t="str">
        <v>25'</v>
      </c>
      <c r="AT77">
        <v>419</v>
      </c>
      <c r="AU77" t="str">
        <v>1¼"</v>
      </c>
      <c r="AV77">
        <v>2.75</v>
      </c>
      <c r="AW77" t="str">
        <v>3 172</v>
      </c>
      <c r="AY77">
        <v>1</v>
      </c>
      <c r="AZ77" t="str">
        <v>PRT</v>
      </c>
      <c r="BZ77">
        <f>BZ46/25.4</f>
        <v>4.133858267716536</v>
      </c>
      <c r="CG77">
        <v>2</v>
      </c>
      <c r="CH77">
        <f>IF($BS$40=500,CH62,CG62)</f>
        <v>325</v>
      </c>
      <c r="CI77">
        <v>20</v>
      </c>
      <c r="CJ77">
        <v>68</v>
      </c>
      <c r="CK77">
        <f>POWER(CJ77/$CK$44,0.8)</f>
        <v>1.3213386551659256</v>
      </c>
      <c r="CL77">
        <f>($CP$49*(CJ77/$CK$44)*CK77)</f>
        <v>0</v>
      </c>
      <c r="CM77">
        <f>($CP$49*(CJ77/$CK$44)*CK77)*1.15</f>
        <v>0</v>
      </c>
      <c r="FO77" t="str">
        <v>S15,2</v>
      </c>
      <c r="FP77">
        <v>140</v>
      </c>
      <c r="FQ77">
        <v>9.875</v>
      </c>
      <c r="FR77">
        <v>11</v>
      </c>
      <c r="FS77">
        <v>33000</v>
      </c>
      <c r="FT77">
        <v>5000</v>
      </c>
      <c r="FU77">
        <f>FT77</f>
        <v>5000</v>
      </c>
      <c r="FV77">
        <v>8000</v>
      </c>
      <c r="FW77">
        <v>13000</v>
      </c>
      <c r="FX77">
        <v>10500</v>
      </c>
      <c r="FY77">
        <f>FX77</f>
        <v>10500</v>
      </c>
      <c r="FZ77">
        <v>18000</v>
      </c>
      <c r="GA77">
        <v>25000</v>
      </c>
      <c r="GE77">
        <f>IF($FW$23&lt;=FR77,1,0)</f>
        <v>0</v>
      </c>
      <c r="GF77">
        <f>GD77+GE77</f>
        <v>0</v>
      </c>
      <c r="GG77">
        <f>IF($FW$29=$FX$34,FX77,IF($FW$29=$FY$34,FY77,IF($FW$29=$FZ$34,FZ77,IF($FW$29=$GA$34,GA77,""))))</f>
        <v>18000</v>
      </c>
      <c r="GH77">
        <f>IF(GF77=1,1,0)</f>
        <v>0</v>
      </c>
      <c r="GI77">
        <f>IF($FW$21&lt;FS77,1,0)</f>
        <v>0</v>
      </c>
      <c r="GJ77">
        <f>GH77+GI77</f>
        <v>0</v>
      </c>
      <c r="GK77" t="str">
        <f>IF(GJ77=2,FP77,"")</f>
        <v/>
      </c>
    </row>
    <row r="78">
      <c r="AL78" t="str">
        <v>012155-002</v>
      </c>
      <c r="AM78" t="str">
        <v>Drill Pipe</v>
      </c>
      <c r="AN78">
        <v>4</v>
      </c>
      <c r="AP78" t="str">
        <v>2 7/8 API</v>
      </c>
      <c r="AR78" t="str">
        <v>.500</v>
      </c>
      <c r="AS78" t="str">
        <v>29'</v>
      </c>
      <c r="AT78">
        <v>494</v>
      </c>
      <c r="AU78" t="str">
        <v>1¼"</v>
      </c>
      <c r="AV78">
        <v>2.75</v>
      </c>
      <c r="AW78" t="str">
        <v>3¼</v>
      </c>
      <c r="AY78">
        <v>1</v>
      </c>
      <c r="AZ78" t="str">
        <v>DRL</v>
      </c>
      <c r="BZ78">
        <f>BZ47/25.4</f>
        <v>0</v>
      </c>
      <c r="CG78">
        <v>3</v>
      </c>
      <c r="CH78">
        <f>IF($BS$40=500,CH63,CG63)</f>
        <v>300</v>
      </c>
      <c r="CI78">
        <v>21</v>
      </c>
      <c r="CJ78">
        <v>70</v>
      </c>
      <c r="CK78">
        <f>POWER(CJ78/$CK$44,0.8)</f>
        <v>1.3523385930506429</v>
      </c>
      <c r="CL78">
        <f>($CP$49*(CJ78/$CK$44)*CK78)</f>
        <v>0</v>
      </c>
      <c r="CM78">
        <f>($CP$49*(CJ78/$CK$44)*CK78)*1.15</f>
        <v>0</v>
      </c>
      <c r="FO78" t="str">
        <v>S17</v>
      </c>
      <c r="FP78">
        <v>150</v>
      </c>
      <c r="FQ78">
        <v>7.875</v>
      </c>
      <c r="FR78">
        <v>9</v>
      </c>
      <c r="FS78">
        <v>33000</v>
      </c>
      <c r="FT78">
        <v>7000</v>
      </c>
      <c r="FU78">
        <f>FT78</f>
        <v>7000</v>
      </c>
      <c r="FV78">
        <v>13000</v>
      </c>
      <c r="FW78">
        <v>16500</v>
      </c>
      <c r="FX78">
        <v>14500</v>
      </c>
      <c r="FY78">
        <f>FX78</f>
        <v>14500</v>
      </c>
      <c r="FZ78">
        <v>20000</v>
      </c>
      <c r="GA78">
        <v>30000</v>
      </c>
      <c r="GE78">
        <f>IF($FW$23&lt;=FR78,1,0)</f>
        <v>0</v>
      </c>
      <c r="GF78">
        <f>GD78+GE78</f>
        <v>0</v>
      </c>
      <c r="GG78">
        <f>IF($FW$29=$FX$34,FX78,IF($FW$29=$FY$34,FY78,IF($FW$29=$FZ$34,FZ78,IF($FW$29=$GA$34,GA78,""))))</f>
        <v>20000</v>
      </c>
      <c r="GH78">
        <f>IF(GF78=1,1,0)</f>
        <v>0</v>
      </c>
      <c r="GI78">
        <f>IF($FW$21&lt;FS78,1,0)</f>
        <v>0</v>
      </c>
      <c r="GJ78">
        <f>GH78+GI78</f>
        <v>0</v>
      </c>
      <c r="GK78" t="str">
        <f>IF(GJ78=2,FP78,"")</f>
        <v/>
      </c>
    </row>
    <row r="79">
      <c r="AL79" t="str">
        <v>012155-001</v>
      </c>
      <c r="AM79" t="str">
        <v>Drill Pipe</v>
      </c>
      <c r="AN79">
        <v>4</v>
      </c>
      <c r="AP79" t="str">
        <v>2 7/8 API</v>
      </c>
      <c r="AR79" t="str">
        <v>.500</v>
      </c>
      <c r="AS79" t="str">
        <v>30'</v>
      </c>
      <c r="AT79">
        <v>512</v>
      </c>
      <c r="AU79" t="str">
        <v>1¼"</v>
      </c>
      <c r="AV79">
        <v>2.75</v>
      </c>
      <c r="AW79" t="str">
        <v>3¼</v>
      </c>
      <c r="AY79">
        <v>1</v>
      </c>
      <c r="AZ79" t="str">
        <v>DRL</v>
      </c>
      <c r="CG79">
        <v>4</v>
      </c>
      <c r="CH79">
        <f>IF($BS$40=500,CH64,CG64)</f>
        <v>275</v>
      </c>
      <c r="CI79">
        <v>22</v>
      </c>
      <c r="CJ79">
        <v>72</v>
      </c>
      <c r="CK79">
        <f>POWER(CJ79/$CK$44,0.8)</f>
        <v>1.3831618672225916</v>
      </c>
      <c r="CL79">
        <f>($CP$49*(CJ79/$CK$44)*CK79)</f>
        <v>0</v>
      </c>
      <c r="CM79">
        <f>($CP$49*(CJ79/$CK$44)*CK79)*1.15</f>
        <v>0</v>
      </c>
      <c r="FO79" t="str">
        <v>X20/S20,1</v>
      </c>
      <c r="FP79">
        <v>150</v>
      </c>
      <c r="FQ79">
        <v>7.875</v>
      </c>
      <c r="FR79">
        <v>9</v>
      </c>
      <c r="FS79">
        <v>33000</v>
      </c>
      <c r="FT79">
        <v>10000</v>
      </c>
      <c r="FU79">
        <f>FT79</f>
        <v>10000</v>
      </c>
      <c r="FV79">
        <v>15000</v>
      </c>
      <c r="FW79">
        <v>2000</v>
      </c>
      <c r="FX79">
        <v>15000</v>
      </c>
      <c r="FY79">
        <f>FX79</f>
        <v>15000</v>
      </c>
      <c r="FZ79">
        <v>22500</v>
      </c>
      <c r="GA79">
        <v>32000</v>
      </c>
      <c r="GE79">
        <f>IF($FW$23&lt;=FR79,1,0)</f>
        <v>0</v>
      </c>
      <c r="GF79">
        <f>GD79+GE79</f>
        <v>0</v>
      </c>
      <c r="GG79">
        <f>IF($FW$29=$FX$34,FX79,IF($FW$29=$FY$34,FY79,IF($FW$29=$FZ$34,FZ79,IF($FW$29=$GA$34,GA79,""))))</f>
        <v>22500</v>
      </c>
      <c r="GH79">
        <f>IF(GF79=1,1,0)</f>
        <v>0</v>
      </c>
      <c r="GI79">
        <f>IF($FW$21&lt;FS79,1,0)</f>
        <v>0</v>
      </c>
      <c r="GJ79">
        <f>GH79+GI79</f>
        <v>0</v>
      </c>
      <c r="GK79" t="str">
        <f>IF(GJ79=2,FP79,"")</f>
        <v/>
      </c>
    </row>
    <row r="80">
      <c r="AL80" t="str">
        <v>002724-008</v>
      </c>
      <c r="AM80" t="str">
        <v>Drill Pipe</v>
      </c>
      <c r="AN80">
        <v>4</v>
      </c>
      <c r="AP80" t="str">
        <v>2 3/8 IF</v>
      </c>
      <c r="AR80" t="str">
        <v>.500</v>
      </c>
      <c r="AS80" t="str">
        <v>25'</v>
      </c>
      <c r="AT80">
        <v>519</v>
      </c>
      <c r="AU80" t="str">
        <v>1 3/4"</v>
      </c>
      <c r="AV80">
        <v>2.75</v>
      </c>
      <c r="AW80" t="str">
        <v>3½</v>
      </c>
      <c r="AY80">
        <v>1</v>
      </c>
      <c r="AZ80" t="str">
        <v>DRL</v>
      </c>
      <c r="CG80">
        <v>5</v>
      </c>
      <c r="CH80">
        <f>IF($BS$40=500,CH65,CG65)</f>
        <v>250</v>
      </c>
      <c r="CI80">
        <v>23</v>
      </c>
      <c r="CJ80">
        <v>74</v>
      </c>
      <c r="CK80">
        <f>POWER(CJ80/$CK$44,0.8)</f>
        <v>1.4138143516730073</v>
      </c>
      <c r="CL80">
        <f>($CP$49*(CJ80/$CK$44)*CK80)</f>
        <v>0</v>
      </c>
      <c r="CM80">
        <f>($CP$49*(CJ80/$CK$44)*CK80)*1.15</f>
        <v>0</v>
      </c>
      <c r="FO80" t="str">
        <v>X20/S20,2</v>
      </c>
      <c r="FP80">
        <v>130</v>
      </c>
      <c r="FQ80">
        <v>9.785</v>
      </c>
      <c r="FR80">
        <v>11</v>
      </c>
      <c r="FS80">
        <v>45000</v>
      </c>
      <c r="FT80">
        <v>10000</v>
      </c>
      <c r="FU80">
        <f>FT80</f>
        <v>10000</v>
      </c>
      <c r="FV80">
        <v>15000</v>
      </c>
      <c r="FW80">
        <v>2000</v>
      </c>
      <c r="FX80">
        <v>15000</v>
      </c>
      <c r="FY80">
        <f>FX80</f>
        <v>15000</v>
      </c>
      <c r="FZ80">
        <v>22500</v>
      </c>
      <c r="GA80">
        <v>32000</v>
      </c>
      <c r="GE80">
        <f>IF($FW$23&lt;=FR80,1,0)</f>
        <v>0</v>
      </c>
      <c r="GF80">
        <f>GD80+GE80</f>
        <v>0</v>
      </c>
      <c r="GG80">
        <f>IF($FW$29=$FX$34,FX80,IF($FW$29=$FY$34,FY80,IF($FW$29=$FZ$34,FZ80,IF($FW$29=$GA$34,GA80,""))))</f>
        <v>22500</v>
      </c>
      <c r="GH80">
        <f>IF(GF80=1,1,0)</f>
        <v>0</v>
      </c>
      <c r="GI80">
        <f>IF($FW$21&lt;FS80,1,0)</f>
        <v>0</v>
      </c>
      <c r="GJ80">
        <f>GH80+GI80</f>
        <v>0</v>
      </c>
      <c r="GK80" t="str">
        <f>IF(GJ80=2,FP80,"")</f>
        <v/>
      </c>
    </row>
    <row r="81">
      <c r="AL81" t="str">
        <v>002724-007</v>
      </c>
      <c r="AM81" t="str">
        <v>Drill Pipe</v>
      </c>
      <c r="AN81">
        <v>4</v>
      </c>
      <c r="AP81" t="str">
        <v>2 3/8 IF</v>
      </c>
      <c r="AR81" t="str">
        <v>.500</v>
      </c>
      <c r="AS81" t="str">
        <v>30'</v>
      </c>
      <c r="AT81">
        <v>623</v>
      </c>
      <c r="AU81" t="str">
        <v>1 3/4"</v>
      </c>
      <c r="AV81">
        <v>2.75</v>
      </c>
      <c r="AW81" t="str">
        <v>3½</v>
      </c>
      <c r="AY81">
        <v>1</v>
      </c>
      <c r="AZ81" t="str">
        <v>DRL</v>
      </c>
      <c r="CG81">
        <v>6</v>
      </c>
      <c r="CH81">
        <f>IF($BS$40=500,CH66,CG66)</f>
        <v>225</v>
      </c>
      <c r="CI81">
        <v>24</v>
      </c>
      <c r="CJ81">
        <v>76</v>
      </c>
      <c r="CK81">
        <f>POWER(CJ81/$CK$44,0.8)</f>
        <v>1.444301571944866</v>
      </c>
      <c r="CL81">
        <f>($CP$49*(CJ81/$CK$44)*CK81)</f>
        <v>0</v>
      </c>
      <c r="CM81">
        <f>($CP$49*(CJ81/$CK$44)*CK81)*1.15</f>
        <v>0</v>
      </c>
      <c r="FO81" t="str">
        <v>X20/S20,3</v>
      </c>
      <c r="FP81">
        <v>120</v>
      </c>
      <c r="FQ81">
        <v>12.25</v>
      </c>
      <c r="FR81">
        <v>13.75</v>
      </c>
      <c r="FS81">
        <v>80000</v>
      </c>
      <c r="FT81">
        <v>10000</v>
      </c>
      <c r="FU81">
        <f>FT81</f>
        <v>10000</v>
      </c>
      <c r="FV81">
        <v>15000</v>
      </c>
      <c r="FW81">
        <v>2000</v>
      </c>
      <c r="FX81">
        <v>15000</v>
      </c>
      <c r="FY81">
        <f>FX81</f>
        <v>15000</v>
      </c>
      <c r="FZ81">
        <v>22500</v>
      </c>
      <c r="GA81">
        <v>32000</v>
      </c>
      <c r="GE81">
        <f>IF($FW$23&lt;=FR81,1,0)</f>
        <v>1</v>
      </c>
      <c r="GF81">
        <f>GD81+GE81</f>
        <v>1</v>
      </c>
      <c r="GG81">
        <f>IF($FW$29=$FX$34,FX81,IF($FW$29=$FY$34,FY81,IF($FW$29=$FZ$34,FZ81,IF($FW$29=$GA$34,GA81,""))))</f>
        <v>22500</v>
      </c>
      <c r="GH81">
        <f>IF(GF81=1,1,0)</f>
        <v>1</v>
      </c>
      <c r="GI81">
        <f>IF($FW$21&lt;FS81,1,0)</f>
        <v>0</v>
      </c>
      <c r="GJ81">
        <f>GH81+GI81</f>
        <v>1</v>
      </c>
      <c r="GK81" t="str">
        <f>IF(GJ81=2,FP81,"")</f>
        <v/>
      </c>
    </row>
    <row r="82">
      <c r="AL82" t="str">
        <v>002724-005</v>
      </c>
      <c r="AM82" t="str">
        <v>Drill Pipe</v>
      </c>
      <c r="AN82">
        <v>4</v>
      </c>
      <c r="AP82" t="str">
        <v>2 3/8 IF</v>
      </c>
      <c r="AR82" t="str">
        <v>.750</v>
      </c>
      <c r="AS82" t="str">
        <v>20'</v>
      </c>
      <c r="AT82">
        <v>553</v>
      </c>
      <c r="AU82" t="str">
        <v>1 3/4"</v>
      </c>
      <c r="AV82">
        <v>2.75</v>
      </c>
      <c r="AW82" t="str">
        <v>3½</v>
      </c>
      <c r="AY82">
        <v>1</v>
      </c>
      <c r="AZ82" t="str">
        <v>DRL</v>
      </c>
      <c r="CG82">
        <v>7</v>
      </c>
      <c r="CH82">
        <f>IF($BS$40=500,CH67,CG67)</f>
        <v>200</v>
      </c>
      <c r="CI82">
        <v>25</v>
      </c>
      <c r="CJ82">
        <v>78</v>
      </c>
      <c r="CK82">
        <f>POWER(CJ82/$CK$44,0.8)</f>
        <v>1.474628734412161</v>
      </c>
      <c r="CL82">
        <f>($CP$49*(CJ82/$CK$44)*CK82)</f>
        <v>0</v>
      </c>
      <c r="CM82">
        <f>($CP$49*(CJ82/$CK$44)*CK82)*1.15</f>
        <v>0</v>
      </c>
      <c r="FO82" t="str">
        <v>X30/S30,1</v>
      </c>
      <c r="FP82">
        <v>120</v>
      </c>
      <c r="FQ82">
        <v>6.75</v>
      </c>
      <c r="FR82">
        <v>7.375</v>
      </c>
      <c r="FS82">
        <v>33000</v>
      </c>
      <c r="FT82">
        <v>15000</v>
      </c>
      <c r="FU82">
        <f>FT82</f>
        <v>15000</v>
      </c>
      <c r="FV82">
        <v>22500</v>
      </c>
      <c r="FW82">
        <v>32000</v>
      </c>
      <c r="FX82">
        <v>22000</v>
      </c>
      <c r="FY82">
        <f>FX82</f>
        <v>22000</v>
      </c>
      <c r="FZ82">
        <v>33000</v>
      </c>
      <c r="GA82">
        <v>46000</v>
      </c>
      <c r="GE82">
        <f>IF($FW$23&lt;=FR82,1,0)</f>
        <v>0</v>
      </c>
      <c r="GF82">
        <f>GD82+GE82</f>
        <v>0</v>
      </c>
      <c r="GG82">
        <f>IF($FW$29=$FX$34,FX82,IF($FW$29=$FY$34,FY82,IF($FW$29=$FZ$34,FZ82,IF($FW$29=$GA$34,GA82,""))))</f>
        <v>33000</v>
      </c>
      <c r="GH82">
        <f>IF(GF82=1,1,0)</f>
        <v>0</v>
      </c>
      <c r="GI82">
        <f>IF($FW$21&lt;FS82,1,0)</f>
        <v>0</v>
      </c>
      <c r="GJ82">
        <f>GH82+GI82</f>
        <v>0</v>
      </c>
      <c r="GK82" t="str">
        <f>IF(GJ82=2,FP82,"")</f>
        <v/>
      </c>
    </row>
    <row r="83">
      <c r="AL83" t="str">
        <v>002724-004</v>
      </c>
      <c r="AM83" t="str">
        <v>Drill Pipe</v>
      </c>
      <c r="AN83">
        <v>4</v>
      </c>
      <c r="AP83" t="str">
        <v>2 3/8 IF</v>
      </c>
      <c r="AR83" t="str">
        <v>.750</v>
      </c>
      <c r="AS83" t="str">
        <v>25'</v>
      </c>
      <c r="AT83">
        <v>687</v>
      </c>
      <c r="AU83" t="str">
        <v>1 3/4"</v>
      </c>
      <c r="AV83">
        <v>2.75</v>
      </c>
      <c r="AW83" t="str">
        <v>3½</v>
      </c>
      <c r="AY83">
        <v>1</v>
      </c>
      <c r="AZ83" t="str">
        <v>DRL</v>
      </c>
      <c r="CG83">
        <v>8</v>
      </c>
      <c r="CH83">
        <f>IF($BS$40=500,CH68,CG68)</f>
        <v>0</v>
      </c>
      <c r="CI83">
        <v>26</v>
      </c>
      <c r="CJ83">
        <v>80</v>
      </c>
      <c r="CK83">
        <f>POWER(CJ83/$CK$44,0.8)</f>
        <v>1.5048007524123905</v>
      </c>
      <c r="CL83">
        <f>($CP$49*(CJ83/$CK$44)*CK83)</f>
        <v>0</v>
      </c>
      <c r="CM83">
        <f>($CP$49*(CJ83/$CK$44)*CK83)*1.15</f>
        <v>0</v>
      </c>
      <c r="FO83" t="str">
        <v>X30/S30,2</v>
      </c>
      <c r="FP83">
        <v>120</v>
      </c>
      <c r="FQ83">
        <v>7.875</v>
      </c>
      <c r="FR83">
        <v>9</v>
      </c>
      <c r="FS83">
        <v>35000</v>
      </c>
      <c r="FT83">
        <v>15000</v>
      </c>
      <c r="FU83">
        <f>FT83</f>
        <v>15000</v>
      </c>
      <c r="FV83">
        <v>22500</v>
      </c>
      <c r="FW83">
        <v>32000</v>
      </c>
      <c r="FX83">
        <v>22000</v>
      </c>
      <c r="FY83">
        <f>FX83</f>
        <v>22000</v>
      </c>
      <c r="FZ83">
        <v>33000</v>
      </c>
      <c r="GA83">
        <v>46000</v>
      </c>
      <c r="GE83">
        <f>IF($FW$23&lt;=FR83,1,0)</f>
        <v>0</v>
      </c>
      <c r="GF83">
        <f>GD83+GE83</f>
        <v>0</v>
      </c>
      <c r="GG83">
        <f>IF($FW$29=$FX$34,FX83,IF($FW$29=$FY$34,FY83,IF($FW$29=$FZ$34,FZ83,IF($FW$29=$GA$34,GA83,""))))</f>
        <v>33000</v>
      </c>
      <c r="GH83">
        <f>IF(GF83=1,1,0)</f>
        <v>0</v>
      </c>
      <c r="GI83">
        <f>IF($FW$21&lt;FS83,1,0)</f>
        <v>0</v>
      </c>
      <c r="GJ83">
        <f>GH83+GI83</f>
        <v>0</v>
      </c>
      <c r="GK83" t="str">
        <f>IF(GJ83=2,FP83,"")</f>
        <v/>
      </c>
    </row>
    <row r="84">
      <c r="AL84" t="str">
        <v>009211-001</v>
      </c>
      <c r="AM84" t="str">
        <v>Drill Pipe</v>
      </c>
      <c r="AN84">
        <v>4</v>
      </c>
      <c r="AP84" t="str">
        <v>3½ API</v>
      </c>
      <c r="AR84" t="str">
        <v>½"</v>
      </c>
      <c r="AS84" t="str">
        <v>30'</v>
      </c>
      <c r="AT84">
        <v>625</v>
      </c>
      <c r="AU84" t="str">
        <v>1 3/4"</v>
      </c>
      <c r="AV84">
        <v>2.75</v>
      </c>
      <c r="AW84" t="str">
        <v>3½</v>
      </c>
      <c r="AX84" t="str">
        <v>Special</v>
      </c>
      <c r="AY84">
        <v>1</v>
      </c>
      <c r="AZ84" t="str">
        <v>DRL</v>
      </c>
      <c r="CG84">
        <v>10</v>
      </c>
      <c r="CH84">
        <f>IF($BS$40=500,CH69,CG69)</f>
        <v>0</v>
      </c>
      <c r="FO84" t="str">
        <v>X30/S30,3</v>
      </c>
      <c r="FP84">
        <v>120</v>
      </c>
      <c r="FQ84">
        <v>9.875</v>
      </c>
      <c r="FR84">
        <v>11</v>
      </c>
      <c r="FS84">
        <v>50000</v>
      </c>
      <c r="FT84">
        <v>15000</v>
      </c>
      <c r="FU84">
        <f>FT84</f>
        <v>15000</v>
      </c>
      <c r="FV84">
        <v>22500</v>
      </c>
      <c r="FW84">
        <v>32000</v>
      </c>
      <c r="FX84">
        <v>22000</v>
      </c>
      <c r="FY84">
        <f>FX84</f>
        <v>22000</v>
      </c>
      <c r="FZ84">
        <v>33000</v>
      </c>
      <c r="GA84">
        <v>46000</v>
      </c>
      <c r="GE84">
        <f>IF($FW$23&lt;=FR84,1,0)</f>
        <v>0</v>
      </c>
      <c r="GF84">
        <f>GD84+GE84</f>
        <v>0</v>
      </c>
      <c r="GG84">
        <f>IF($FW$29=$FX$34,FX84,IF($FW$29=$FY$34,FY84,IF($FW$29=$FZ$34,FZ84,IF($FW$29=$GA$34,GA84,""))))</f>
        <v>33000</v>
      </c>
      <c r="GH84">
        <f>IF(GF84=1,1,0)</f>
        <v>0</v>
      </c>
      <c r="GI84">
        <f>IF($FW$21&lt;FS84,1,0)</f>
        <v>0</v>
      </c>
      <c r="GJ84">
        <f>GH84+GI84</f>
        <v>0</v>
      </c>
      <c r="GK84" t="str">
        <f>IF(GJ84=2,FP84,"")</f>
        <v/>
      </c>
    </row>
    <row r="85">
      <c r="AL85" t="str">
        <v>021516-002</v>
      </c>
      <c r="AM85" t="str">
        <v>Drill Pipe</v>
      </c>
      <c r="AN85">
        <v>4</v>
      </c>
      <c r="AP85" t="str">
        <v>2 7/8 API</v>
      </c>
      <c r="AS85" t="str">
        <v>9'6"</v>
      </c>
      <c r="AT85">
        <v>198</v>
      </c>
      <c r="AU85" t="str">
        <v>1¼"</v>
      </c>
      <c r="AV85">
        <v>2.75</v>
      </c>
      <c r="AX85" t="str">
        <v>Gator</v>
      </c>
      <c r="AY85">
        <v>1</v>
      </c>
      <c r="AZ85" t="str">
        <v>PRT</v>
      </c>
      <c r="CG85">
        <v>11</v>
      </c>
      <c r="CH85">
        <f>IF($BS$40=500,CH70,CG70)</f>
        <v>0</v>
      </c>
      <c r="FO85" t="str">
        <v>X30/S30,4</v>
      </c>
      <c r="FP85">
        <v>120</v>
      </c>
      <c r="FQ85">
        <v>12.25</v>
      </c>
      <c r="FR85">
        <v>13.75</v>
      </c>
      <c r="FS85">
        <v>80000</v>
      </c>
      <c r="FT85">
        <v>15000</v>
      </c>
      <c r="FU85">
        <f>FT85</f>
        <v>15000</v>
      </c>
      <c r="FV85">
        <v>22500</v>
      </c>
      <c r="FW85">
        <v>32000</v>
      </c>
      <c r="FX85">
        <v>22000</v>
      </c>
      <c r="FY85">
        <f>FX85</f>
        <v>22000</v>
      </c>
      <c r="FZ85">
        <v>33000</v>
      </c>
      <c r="GA85">
        <v>46000</v>
      </c>
      <c r="GE85">
        <f>IF($FW$23&lt;=FR85,1,0)</f>
        <v>1</v>
      </c>
      <c r="GF85">
        <f>GD85+GE85</f>
        <v>1</v>
      </c>
      <c r="GG85">
        <f>IF($FW$29=$FX$34,FX85,IF($FW$29=$FY$34,FY85,IF($FW$29=$FZ$34,FZ85,IF($FW$29=$GA$34,GA85,""))))</f>
        <v>33000</v>
      </c>
      <c r="GH85">
        <f>IF(GF85=1,1,0)</f>
        <v>1</v>
      </c>
      <c r="GI85">
        <f>IF($FW$21&lt;FS85,1,0)</f>
        <v>0</v>
      </c>
      <c r="GJ85">
        <f>GH85+GI85</f>
        <v>1</v>
      </c>
      <c r="GK85" t="str">
        <f>IF(GJ85=2,FP85,"")</f>
        <v/>
      </c>
    </row>
    <row r="86">
      <c r="AL86" t="str">
        <v>021516-001</v>
      </c>
      <c r="AM86" t="str">
        <v>Drill Pipe</v>
      </c>
      <c r="AN86">
        <v>4</v>
      </c>
      <c r="AP86" t="str">
        <v>2 7/8 API</v>
      </c>
      <c r="AS86" t="str">
        <v>13'</v>
      </c>
      <c r="AT86">
        <v>250</v>
      </c>
      <c r="AU86" t="str">
        <v>1¼"</v>
      </c>
      <c r="AV86">
        <v>2.75</v>
      </c>
      <c r="AX86" t="str">
        <v>Gator</v>
      </c>
      <c r="AY86">
        <v>1</v>
      </c>
      <c r="AZ86" t="str">
        <v>PRT</v>
      </c>
      <c r="CG86">
        <v>12</v>
      </c>
      <c r="CH86">
        <f>IF($BS$40=500,CH71,CG71)</f>
        <v>0</v>
      </c>
      <c r="FO86" t="str">
        <v>X40/S40,1</v>
      </c>
      <c r="FP86">
        <v>110</v>
      </c>
      <c r="FQ86">
        <v>7.875</v>
      </c>
      <c r="FR86">
        <v>9</v>
      </c>
      <c r="FS86">
        <v>40000</v>
      </c>
      <c r="FT86">
        <v>15000</v>
      </c>
      <c r="FU86">
        <f>FT86</f>
        <v>15000</v>
      </c>
      <c r="FV86">
        <v>22500</v>
      </c>
      <c r="FW86">
        <v>32000</v>
      </c>
      <c r="FX86">
        <v>25000</v>
      </c>
      <c r="FY86">
        <f>FX86</f>
        <v>25000</v>
      </c>
      <c r="FZ86">
        <v>36000</v>
      </c>
      <c r="GA86">
        <v>51500</v>
      </c>
      <c r="GE86">
        <f>IF($FW$23&lt;=FR86,1,0)</f>
        <v>0</v>
      </c>
      <c r="GF86">
        <f>GD86+GE86</f>
        <v>0</v>
      </c>
      <c r="GG86">
        <f>IF($FW$29=$FX$34,FX86,IF($FW$29=$FY$34,FY86,IF($FW$29=$FZ$34,FZ86,IF($FW$29=$GA$34,GA86,""))))</f>
        <v>36000</v>
      </c>
      <c r="GH86">
        <f>IF(GF86=1,1,0)</f>
        <v>0</v>
      </c>
      <c r="GI86">
        <f>IF($FW$21&lt;FS86,1,0)</f>
        <v>0</v>
      </c>
      <c r="GJ86">
        <f>GH86+GI86</f>
        <v>0</v>
      </c>
      <c r="GK86" t="str">
        <f>IF(GJ86=2,FP86,"")</f>
        <v/>
      </c>
    </row>
    <row r="87">
      <c r="AL87" t="str">
        <v>013892-002</v>
      </c>
      <c r="AM87" t="str">
        <v>Drill Pipe</v>
      </c>
      <c r="AN87">
        <v>4.5625</v>
      </c>
      <c r="AP87" t="str">
        <v>4½ DS</v>
      </c>
      <c r="AS87" t="str">
        <v>10'</v>
      </c>
      <c r="AT87">
        <v>228</v>
      </c>
      <c r="AV87">
        <v>3.875</v>
      </c>
      <c r="AW87" t="str">
        <v>3½ lg</v>
      </c>
      <c r="AX87" t="str">
        <v>Dual Tube</v>
      </c>
      <c r="AY87">
        <v>1</v>
      </c>
      <c r="AZ87" t="str">
        <v>PRT</v>
      </c>
      <c r="CG87">
        <v>13</v>
      </c>
      <c r="CH87">
        <f>IF($BS$40=500,CH72,CG72)</f>
        <v>0</v>
      </c>
      <c r="FO87" t="str">
        <v>X40/S40,2</v>
      </c>
      <c r="FP87">
        <v>110</v>
      </c>
      <c r="FQ87">
        <v>9.875</v>
      </c>
      <c r="FR87">
        <v>11</v>
      </c>
      <c r="FS87">
        <v>57000</v>
      </c>
      <c r="FT87">
        <v>15000</v>
      </c>
      <c r="FU87">
        <f>FT87</f>
        <v>15000</v>
      </c>
      <c r="FV87">
        <v>22500</v>
      </c>
      <c r="FW87">
        <v>32000</v>
      </c>
      <c r="FX87">
        <v>25000</v>
      </c>
      <c r="FY87">
        <f>FX87</f>
        <v>25000</v>
      </c>
      <c r="FZ87">
        <v>36000</v>
      </c>
      <c r="GA87">
        <v>51500</v>
      </c>
      <c r="GE87">
        <f>IF($FW$23&lt;=FR87,1,0)</f>
        <v>0</v>
      </c>
      <c r="GF87">
        <f>GD87+GE87</f>
        <v>0</v>
      </c>
      <c r="GG87">
        <f>IF($FW$29=$FX$34,FX87,IF($FW$29=$FY$34,FY87,IF($FW$29=$FZ$34,FZ87,IF($FW$29=$GA$34,GA87,""))))</f>
        <v>36000</v>
      </c>
      <c r="GH87">
        <f>IF(GF87=1,1,0)</f>
        <v>0</v>
      </c>
      <c r="GI87">
        <f>IF($FW$21&lt;FS87,1,0)</f>
        <v>0</v>
      </c>
      <c r="GJ87">
        <f>GH87+GI87</f>
        <v>0</v>
      </c>
      <c r="GK87" t="str">
        <f>IF(GJ87=2,FP87,"")</f>
        <v/>
      </c>
    </row>
    <row r="88">
      <c r="AL88" t="str">
        <v>013892-001</v>
      </c>
      <c r="AM88" t="str">
        <v>Drill Pipe</v>
      </c>
      <c r="AN88">
        <v>4.5625</v>
      </c>
      <c r="AP88" t="str">
        <v>4½ DS</v>
      </c>
      <c r="AS88" t="str">
        <v>20'</v>
      </c>
      <c r="AT88">
        <v>456</v>
      </c>
      <c r="AV88">
        <v>3.875</v>
      </c>
      <c r="AW88" t="str">
        <v>3½ lg</v>
      </c>
      <c r="AX88" t="str">
        <v>Dual Tube</v>
      </c>
      <c r="AY88">
        <v>1</v>
      </c>
      <c r="AZ88" t="str">
        <v>PRT</v>
      </c>
      <c r="CG88">
        <v>14</v>
      </c>
      <c r="CH88">
        <f>IF($BS$40=500,CH73,CG73)</f>
        <v>0</v>
      </c>
      <c r="FO88" t="str">
        <v>X40/S40,3</v>
      </c>
      <c r="FP88">
        <v>110</v>
      </c>
      <c r="FQ88">
        <v>12.25</v>
      </c>
      <c r="FR88">
        <v>13.75</v>
      </c>
      <c r="FS88">
        <v>85000</v>
      </c>
      <c r="FT88">
        <v>15000</v>
      </c>
      <c r="FU88">
        <f>FT88</f>
        <v>15000</v>
      </c>
      <c r="FV88">
        <v>22500</v>
      </c>
      <c r="FW88">
        <v>32000</v>
      </c>
      <c r="FX88">
        <v>25000</v>
      </c>
      <c r="FY88">
        <f>FX88</f>
        <v>25000</v>
      </c>
      <c r="FZ88">
        <v>36000</v>
      </c>
      <c r="GA88">
        <v>51500</v>
      </c>
      <c r="GE88">
        <f>IF($FW$23&lt;=FR88,1,0)</f>
        <v>1</v>
      </c>
      <c r="GF88">
        <f>GD88+GE88</f>
        <v>1</v>
      </c>
      <c r="GG88">
        <f>IF($FW$29=$FX$34,FX88,IF($FW$29=$FY$34,FY88,IF($FW$29=$FZ$34,FZ88,IF($FW$29=$GA$34,GA88,""))))</f>
        <v>36000</v>
      </c>
      <c r="GH88">
        <f>IF(GF88=1,1,0)</f>
        <v>1</v>
      </c>
      <c r="GI88">
        <f>IF($FW$21&lt;FS88,1,0)</f>
        <v>1</v>
      </c>
      <c r="GJ88">
        <f>GH88+GI88</f>
        <v>2</v>
      </c>
      <c r="GK88">
        <f>IF(GJ88=2,FP88,"")</f>
        <v>110</v>
      </c>
    </row>
    <row r="89">
      <c r="AL89" t="str">
        <v>001354-007</v>
      </c>
      <c r="AM89" t="str">
        <v>Drill Pipe</v>
      </c>
      <c r="AN89">
        <v>5</v>
      </c>
      <c r="AP89" t="str">
        <v>3RH</v>
      </c>
      <c r="AR89">
        <v>0.362</v>
      </c>
      <c r="AS89" t="str">
        <v>15'</v>
      </c>
      <c r="AT89">
        <v>339</v>
      </c>
      <c r="AU89" t="str">
        <v>1½"</v>
      </c>
      <c r="AV89">
        <v>3</v>
      </c>
      <c r="AW89">
        <v>4</v>
      </c>
      <c r="AX89" t="str">
        <v>Obsolete</v>
      </c>
      <c r="AY89">
        <v>1</v>
      </c>
      <c r="AZ89" t="str">
        <v>DRL</v>
      </c>
      <c r="FO89" t="str">
        <v>X40/S40,4</v>
      </c>
      <c r="FP89">
        <v>100</v>
      </c>
      <c r="FQ89">
        <v>15</v>
      </c>
      <c r="FR89">
        <v>16</v>
      </c>
      <c r="FS89">
        <v>100000</v>
      </c>
      <c r="FT89">
        <v>15000</v>
      </c>
      <c r="FU89">
        <f>FT89</f>
        <v>15000</v>
      </c>
      <c r="FV89">
        <v>22500</v>
      </c>
      <c r="FW89">
        <v>32000</v>
      </c>
      <c r="FX89">
        <v>25000</v>
      </c>
      <c r="FY89">
        <f>FX89</f>
        <v>25000</v>
      </c>
      <c r="FZ89">
        <v>36000</v>
      </c>
      <c r="GA89">
        <v>51500</v>
      </c>
      <c r="GE89">
        <f>IF($FW$23&lt;=FR89,1,0)</f>
        <v>1</v>
      </c>
      <c r="GF89">
        <f>GD89+GE89</f>
        <v>1</v>
      </c>
      <c r="GG89">
        <f>IF($FW$29=$FX$34,FX89,IF($FW$29=$FY$34,FY89,IF($FW$29=$FZ$34,FZ89,IF($FW$29=$GA$34,GA89,""))))</f>
        <v>36000</v>
      </c>
      <c r="GH89">
        <f>IF(GF89=1,1,0)</f>
        <v>1</v>
      </c>
      <c r="GI89">
        <f>IF($FW$21&lt;FS89,1,0)</f>
        <v>1</v>
      </c>
      <c r="GJ89">
        <f>GH89+GI89</f>
        <v>2</v>
      </c>
      <c r="GK89">
        <f>IF(GJ89=2,FP89,"")</f>
        <v>100</v>
      </c>
    </row>
    <row r="90">
      <c r="AL90" t="str">
        <v>001354-003</v>
      </c>
      <c r="AM90" t="str">
        <v>Drill Pipe</v>
      </c>
      <c r="AN90">
        <v>5</v>
      </c>
      <c r="AP90" t="str">
        <v>3 RH</v>
      </c>
      <c r="AR90">
        <v>0.362</v>
      </c>
      <c r="AS90" t="str">
        <v>20'</v>
      </c>
      <c r="AT90">
        <v>452</v>
      </c>
      <c r="AU90" t="str">
        <v>1½"</v>
      </c>
      <c r="AV90">
        <v>3</v>
      </c>
      <c r="AW90">
        <v>4</v>
      </c>
      <c r="AX90" t="str">
        <v>Obsolete</v>
      </c>
      <c r="AY90">
        <v>1</v>
      </c>
      <c r="AZ90" t="str">
        <v>DRL</v>
      </c>
      <c r="FO90" t="str">
        <v>X47/S47,1</v>
      </c>
      <c r="FP90">
        <v>110</v>
      </c>
      <c r="FQ90">
        <v>6.75</v>
      </c>
      <c r="FR90">
        <v>7.375</v>
      </c>
      <c r="FS90">
        <v>42000</v>
      </c>
      <c r="FT90">
        <v>15000</v>
      </c>
      <c r="FU90">
        <f>FT90</f>
        <v>15000</v>
      </c>
      <c r="FV90">
        <v>22500</v>
      </c>
      <c r="FW90">
        <v>32000</v>
      </c>
      <c r="FX90">
        <v>27000</v>
      </c>
      <c r="FY90">
        <f>FX90</f>
        <v>27000</v>
      </c>
      <c r="FZ90">
        <v>49500</v>
      </c>
      <c r="GA90">
        <v>55000</v>
      </c>
      <c r="GE90">
        <f>IF($FW$23&lt;=FR90,1,0)</f>
        <v>0</v>
      </c>
      <c r="GF90">
        <f>GD90+GE90</f>
        <v>0</v>
      </c>
      <c r="GG90">
        <f>IF($FW$29=$FX$34,FX90,IF($FW$29=$FY$34,FY90,IF($FW$29=$FZ$34,FZ90,IF($FW$29=$GA$34,GA90,""))))</f>
        <v>49500</v>
      </c>
      <c r="GH90">
        <f>IF(GF90=1,1,0)</f>
        <v>0</v>
      </c>
      <c r="GI90">
        <f>IF($FW$21&lt;FS90,1,0)</f>
        <v>0</v>
      </c>
      <c r="GJ90">
        <f>GH90+GI90</f>
        <v>0</v>
      </c>
      <c r="GK90" t="str">
        <f>IF(GJ90=2,FP90,"")</f>
        <v/>
      </c>
    </row>
    <row r="91">
      <c r="AL91" t="str">
        <v>001354-001</v>
      </c>
      <c r="AM91" t="str">
        <v>Drill Pipe</v>
      </c>
      <c r="AN91">
        <v>5</v>
      </c>
      <c r="AP91" t="str">
        <v>3 RH</v>
      </c>
      <c r="AR91">
        <v>0.362</v>
      </c>
      <c r="AS91" t="str">
        <v>25'</v>
      </c>
      <c r="AT91">
        <v>565</v>
      </c>
      <c r="AU91" t="str">
        <v>1½"</v>
      </c>
      <c r="AV91">
        <v>3</v>
      </c>
      <c r="AW91">
        <v>4</v>
      </c>
      <c r="AX91" t="str">
        <v>Obsolete</v>
      </c>
      <c r="AY91">
        <v>1</v>
      </c>
      <c r="AZ91" t="str">
        <v>DRL</v>
      </c>
      <c r="FO91" t="str">
        <v>X47/S47,2</v>
      </c>
      <c r="FP91">
        <v>110</v>
      </c>
      <c r="FQ91">
        <v>7.875</v>
      </c>
      <c r="FR91">
        <v>9</v>
      </c>
      <c r="FS91">
        <v>40000</v>
      </c>
      <c r="FT91">
        <v>15000</v>
      </c>
      <c r="FU91">
        <f>FT91</f>
        <v>15000</v>
      </c>
      <c r="FV91">
        <v>22500</v>
      </c>
      <c r="FW91">
        <v>32000</v>
      </c>
      <c r="FX91">
        <v>27000</v>
      </c>
      <c r="FY91">
        <f>FX91</f>
        <v>27000</v>
      </c>
      <c r="FZ91">
        <v>49500</v>
      </c>
      <c r="GA91">
        <v>55000</v>
      </c>
      <c r="GE91">
        <f>IF($FW$23&lt;=FR91,1,0)</f>
        <v>0</v>
      </c>
      <c r="GF91">
        <f>GD91+GE91</f>
        <v>0</v>
      </c>
      <c r="GG91">
        <f>IF($FW$29=$FX$34,FX91,IF($FW$29=$FY$34,FY91,IF($FW$29=$FZ$34,FZ91,IF($FW$29=$GA$34,GA91,""))))</f>
        <v>49500</v>
      </c>
      <c r="GH91">
        <f>IF(GF91=1,1,0)</f>
        <v>0</v>
      </c>
      <c r="GI91">
        <f>IF($FW$21&lt;FS91,1,0)</f>
        <v>0</v>
      </c>
      <c r="GJ91">
        <f>GH91+GI91</f>
        <v>0</v>
      </c>
      <c r="GK91" t="str">
        <f>IF(GJ91=2,FP91,"")</f>
        <v/>
      </c>
    </row>
    <row r="92">
      <c r="AL92" t="str">
        <v>023200-002</v>
      </c>
      <c r="AM92" t="str">
        <v>Drill Pipe</v>
      </c>
      <c r="AN92">
        <v>5</v>
      </c>
      <c r="AO92" t="str">
        <v>4½</v>
      </c>
      <c r="AP92" t="str">
        <v>3½ RH</v>
      </c>
      <c r="AQ92" t="str">
        <v>2 7/8 API</v>
      </c>
      <c r="AR92">
        <v>0.75</v>
      </c>
      <c r="AS92" t="str">
        <v>27'</v>
      </c>
      <c r="AT92">
        <v>631</v>
      </c>
      <c r="AU92" t="str">
        <v>1½"</v>
      </c>
      <c r="AV92">
        <v>3</v>
      </c>
      <c r="AX92" t="str">
        <v>C245</v>
      </c>
      <c r="FO92" t="str">
        <v>X47/S47,3</v>
      </c>
      <c r="FP92">
        <v>110</v>
      </c>
      <c r="FQ92">
        <v>12.25</v>
      </c>
      <c r="FR92">
        <v>13.75</v>
      </c>
      <c r="FS92">
        <v>85000</v>
      </c>
      <c r="FT92">
        <v>15000</v>
      </c>
      <c r="FU92">
        <f>FT92</f>
        <v>15000</v>
      </c>
      <c r="FV92">
        <v>22500</v>
      </c>
      <c r="FW92">
        <v>32000</v>
      </c>
      <c r="FX92">
        <v>27000</v>
      </c>
      <c r="FY92">
        <f>FX92</f>
        <v>27000</v>
      </c>
      <c r="FZ92">
        <v>49500</v>
      </c>
      <c r="GA92">
        <v>55000</v>
      </c>
      <c r="GE92">
        <f>IF($FW$23&lt;=FR92,1,0)</f>
        <v>1</v>
      </c>
      <c r="GF92">
        <f>GD92+GE92</f>
        <v>1</v>
      </c>
      <c r="GG92">
        <f>IF($FW$29=$FX$34,FX92,IF($FW$29=$FY$34,FY92,IF($FW$29=$FZ$34,FZ92,IF($FW$29=$GA$34,GA92,""))))</f>
        <v>49500</v>
      </c>
      <c r="GH92">
        <f>IF(GF92=1,1,0)</f>
        <v>1</v>
      </c>
      <c r="GI92">
        <f>IF($FW$21&lt;FS92,1,0)</f>
        <v>1</v>
      </c>
      <c r="GJ92">
        <f>GH92+GI92</f>
        <v>2</v>
      </c>
      <c r="GK92">
        <f>IF(GJ92=2,FP92,"")</f>
        <v>110</v>
      </c>
    </row>
    <row r="93">
      <c r="AL93" t="str">
        <v>017346-001</v>
      </c>
      <c r="AM93" t="str">
        <v>Drill Pipe</v>
      </c>
      <c r="AN93">
        <v>5</v>
      </c>
      <c r="AP93" t="str">
        <v>3½ API</v>
      </c>
      <c r="AR93" t="str">
        <v>.362</v>
      </c>
      <c r="AS93" t="str">
        <v>20'</v>
      </c>
      <c r="AT93">
        <v>452</v>
      </c>
      <c r="AU93" t="str">
        <v>1½"</v>
      </c>
      <c r="AV93">
        <v>3</v>
      </c>
      <c r="AW93" t="str">
        <v>4½</v>
      </c>
      <c r="AY93">
        <v>1</v>
      </c>
      <c r="AZ93" t="str">
        <v>PRT</v>
      </c>
      <c r="FO93" t="str">
        <v>X50/S50,1</v>
      </c>
      <c r="FP93">
        <v>100</v>
      </c>
      <c r="FQ93">
        <v>6.75</v>
      </c>
      <c r="FR93">
        <v>7.375</v>
      </c>
      <c r="FS93">
        <v>42000</v>
      </c>
      <c r="FT93">
        <v>17000</v>
      </c>
      <c r="FU93">
        <f>FT93</f>
        <v>17000</v>
      </c>
      <c r="FV93">
        <v>25000</v>
      </c>
      <c r="FW93">
        <v>35000</v>
      </c>
      <c r="FX93">
        <v>31000</v>
      </c>
      <c r="FY93">
        <f>FX93</f>
        <v>31000</v>
      </c>
      <c r="FZ93">
        <v>46000</v>
      </c>
      <c r="GA93">
        <v>65000</v>
      </c>
      <c r="GE93">
        <f>IF($FW$23&lt;=FR93,1,0)</f>
        <v>0</v>
      </c>
      <c r="GF93">
        <f>GD93+GE93</f>
        <v>0</v>
      </c>
      <c r="GG93">
        <f>IF($FW$29=$FX$34,FX93,IF($FW$29=$FY$34,FY93,IF($FW$29=$FZ$34,FZ93,IF($FW$29=$GA$34,GA93,""))))</f>
        <v>46000</v>
      </c>
      <c r="GH93">
        <f>IF(GF93=1,1,0)</f>
        <v>0</v>
      </c>
      <c r="GI93">
        <f>IF($FW$21&lt;FS93,1,0)</f>
        <v>0</v>
      </c>
      <c r="GJ93">
        <f>GH93+GI93</f>
        <v>0</v>
      </c>
      <c r="GK93" t="str">
        <f>IF(GJ93=2,FP93,"")</f>
        <v/>
      </c>
    </row>
    <row r="94">
      <c r="AL94" t="str">
        <v>009678-001</v>
      </c>
      <c r="AM94" t="str">
        <v>Drill Pipe</v>
      </c>
      <c r="AN94">
        <v>5</v>
      </c>
      <c r="AP94" t="str">
        <v>3½FH</v>
      </c>
      <c r="AR94" t="str">
        <v>.362</v>
      </c>
      <c r="AS94" t="str">
        <v>25'</v>
      </c>
      <c r="AT94">
        <v>565</v>
      </c>
      <c r="AU94" t="str">
        <v>2¼"</v>
      </c>
      <c r="AV94">
        <v>3</v>
      </c>
      <c r="AW94">
        <v>4.625</v>
      </c>
      <c r="AX94" t="str">
        <v>Korea/US Army</v>
      </c>
      <c r="AY94">
        <v>1</v>
      </c>
      <c r="AZ94" t="str">
        <v>PRT</v>
      </c>
      <c r="FO94" t="str">
        <v>X50/S50,2</v>
      </c>
      <c r="FP94">
        <v>90</v>
      </c>
      <c r="FQ94">
        <v>7.875</v>
      </c>
      <c r="FR94">
        <v>9</v>
      </c>
      <c r="FS94">
        <v>50000</v>
      </c>
      <c r="FT94">
        <v>17000</v>
      </c>
      <c r="FU94">
        <f>FT94</f>
        <v>17000</v>
      </c>
      <c r="FV94">
        <v>25000</v>
      </c>
      <c r="FW94">
        <v>35000</v>
      </c>
      <c r="FX94">
        <v>31000</v>
      </c>
      <c r="FY94">
        <f>FX94</f>
        <v>31000</v>
      </c>
      <c r="FZ94">
        <v>46000</v>
      </c>
      <c r="GA94">
        <v>65000</v>
      </c>
      <c r="GE94">
        <f>IF($FW$23&lt;=FR94,1,0)</f>
        <v>0</v>
      </c>
      <c r="GF94">
        <f>GD94+GE94</f>
        <v>0</v>
      </c>
      <c r="GG94">
        <f>IF($FW$29=$FX$34,FX94,IF($FW$29=$FY$34,FY94,IF($FW$29=$FZ$34,FZ94,IF($FW$29=$GA$34,GA94,""))))</f>
        <v>46000</v>
      </c>
      <c r="GH94">
        <f>IF(GF94=1,1,0)</f>
        <v>0</v>
      </c>
      <c r="GI94">
        <f>IF($FW$21&lt;FS94,1,0)</f>
        <v>0</v>
      </c>
      <c r="GJ94">
        <f>GH94+GI94</f>
        <v>0</v>
      </c>
      <c r="GK94" t="str">
        <f>IF(GJ94=2,FP94,"")</f>
        <v/>
      </c>
    </row>
    <row r="95">
      <c r="AL95" t="str">
        <v>003461-001</v>
      </c>
      <c r="AM95" t="str">
        <v>Drill Pipe</v>
      </c>
      <c r="AN95">
        <v>5</v>
      </c>
      <c r="AP95" t="str">
        <v>3½ RH</v>
      </c>
      <c r="AR95" t="str">
        <v>.362</v>
      </c>
      <c r="AS95" t="str">
        <v>25'</v>
      </c>
      <c r="AT95">
        <v>565</v>
      </c>
      <c r="AU95" t="str">
        <v>1½"</v>
      </c>
      <c r="AV95">
        <v>3</v>
      </c>
      <c r="AW95">
        <v>4.625</v>
      </c>
      <c r="AY95">
        <v>1</v>
      </c>
      <c r="AZ95" t="str">
        <v>END</v>
      </c>
      <c r="FO95" t="str">
        <v>X50/S50,3</v>
      </c>
      <c r="FP95">
        <v>90</v>
      </c>
      <c r="FQ95">
        <v>9.875</v>
      </c>
      <c r="FR95">
        <v>11</v>
      </c>
      <c r="FS95">
        <v>65000</v>
      </c>
      <c r="FT95">
        <v>17000</v>
      </c>
      <c r="FU95">
        <f>FT95</f>
        <v>17000</v>
      </c>
      <c r="FV95">
        <v>25000</v>
      </c>
      <c r="FW95">
        <v>35000</v>
      </c>
      <c r="FX95">
        <v>31000</v>
      </c>
      <c r="FY95">
        <f>FX95</f>
        <v>31000</v>
      </c>
      <c r="FZ95">
        <v>46000</v>
      </c>
      <c r="GA95">
        <v>65000</v>
      </c>
      <c r="GE95">
        <f>IF($FW$23&lt;=FR95,1,0)</f>
        <v>0</v>
      </c>
      <c r="GF95">
        <f>GD95+GE95</f>
        <v>0</v>
      </c>
      <c r="GG95">
        <f>IF($FW$29=$FX$34,FX95,IF($FW$29=$FY$34,FY95,IF($FW$29=$FZ$34,FZ95,IF($FW$29=$GA$34,GA95,""))))</f>
        <v>46000</v>
      </c>
      <c r="GH95">
        <f>IF(GF95=1,1,0)</f>
        <v>0</v>
      </c>
      <c r="GI95">
        <f>IF($FW$21&lt;FS95,1,0)</f>
        <v>0</v>
      </c>
      <c r="GJ95">
        <f>GH95+GI95</f>
        <v>0</v>
      </c>
      <c r="GK95" t="str">
        <f>IF(GJ95=2,FP95,"")</f>
        <v/>
      </c>
    </row>
    <row r="96">
      <c r="AL96" t="str">
        <v>009592-001</v>
      </c>
      <c r="AM96" t="str">
        <v>Drill Pipe</v>
      </c>
      <c r="AN96">
        <v>5</v>
      </c>
      <c r="AP96" t="str">
        <v>3½ RH</v>
      </c>
      <c r="AR96" t="str">
        <v>.50</v>
      </c>
      <c r="AS96" t="str">
        <v>30'</v>
      </c>
      <c r="AT96">
        <v>700</v>
      </c>
      <c r="AU96" t="str">
        <v>1½"</v>
      </c>
      <c r="AV96">
        <v>3</v>
      </c>
      <c r="AW96">
        <v>4.625</v>
      </c>
      <c r="AX96" t="str">
        <v>Spec/60 Loader</v>
      </c>
      <c r="AY96">
        <v>1</v>
      </c>
      <c r="AZ96" t="str">
        <v>DRL</v>
      </c>
      <c r="FO96" t="str">
        <v>X50/S50,4</v>
      </c>
      <c r="FP96">
        <v>80</v>
      </c>
      <c r="FQ96">
        <v>12.25</v>
      </c>
      <c r="FR96">
        <v>13.75</v>
      </c>
      <c r="FS96">
        <v>110000</v>
      </c>
      <c r="FT96">
        <v>17000</v>
      </c>
      <c r="FU96">
        <f>FT96</f>
        <v>17000</v>
      </c>
      <c r="FV96">
        <v>25000</v>
      </c>
      <c r="FW96">
        <v>35000</v>
      </c>
      <c r="FX96">
        <v>31000</v>
      </c>
      <c r="FY96">
        <f>FX96</f>
        <v>31000</v>
      </c>
      <c r="FZ96">
        <v>46000</v>
      </c>
      <c r="GA96">
        <v>65000</v>
      </c>
      <c r="GE96">
        <f>IF($FW$23&lt;=FR96,1,0)</f>
        <v>1</v>
      </c>
      <c r="GF96">
        <f>GD96+GE96</f>
        <v>1</v>
      </c>
      <c r="GG96">
        <f>IF($FW$29=$FX$34,FX96,IF($FW$29=$FY$34,FY96,IF($FW$29=$FZ$34,FZ96,IF($FW$29=$GA$34,GA96,""))))</f>
        <v>46000</v>
      </c>
      <c r="GH96">
        <f>IF(GF96=1,1,0)</f>
        <v>1</v>
      </c>
      <c r="GI96">
        <f>IF($FW$21&lt;FS96,1,0)</f>
        <v>1</v>
      </c>
      <c r="GJ96">
        <f>GH96+GI96</f>
        <v>2</v>
      </c>
      <c r="GK96">
        <f>IF(GJ96=2,FP96,"")</f>
        <v>80</v>
      </c>
    </row>
    <row r="97">
      <c r="AL97" t="str">
        <v>019127-001</v>
      </c>
      <c r="AM97" t="str">
        <v>Drill Pipe</v>
      </c>
      <c r="AN97">
        <v>5</v>
      </c>
      <c r="AP97" t="str">
        <v>3½ API</v>
      </c>
      <c r="AQ97" t="str">
        <v>3½ API</v>
      </c>
      <c r="AR97" t="str">
        <v>.75</v>
      </c>
      <c r="AS97" t="str">
        <v>35'</v>
      </c>
      <c r="AT97">
        <v>1180</v>
      </c>
      <c r="AU97" t="str">
        <v>1½"</v>
      </c>
      <c r="AV97">
        <v>3</v>
      </c>
      <c r="AW97" t="str">
        <v>4½</v>
      </c>
      <c r="AX97" t="str">
        <v xml:space="preserve">C75 Special  </v>
      </c>
      <c r="AY97">
        <v>1</v>
      </c>
      <c r="AZ97" t="str">
        <v>PRT</v>
      </c>
      <c r="FO97" t="str">
        <v>X60/S60,1</v>
      </c>
      <c r="FP97">
        <v>100</v>
      </c>
      <c r="FQ97">
        <v>7.875</v>
      </c>
      <c r="FR97">
        <v>9</v>
      </c>
      <c r="FS97">
        <v>57000</v>
      </c>
      <c r="FT97">
        <v>23000</v>
      </c>
      <c r="FU97">
        <f>FT97</f>
        <v>23000</v>
      </c>
      <c r="FV97">
        <v>35000</v>
      </c>
      <c r="FW97">
        <v>49000</v>
      </c>
      <c r="FX97">
        <v>44000</v>
      </c>
      <c r="FY97">
        <f>FX97</f>
        <v>44000</v>
      </c>
      <c r="FZ97">
        <v>65000</v>
      </c>
      <c r="GA97">
        <v>70000</v>
      </c>
      <c r="GE97">
        <f>IF($FW$23&lt;=FR97,1,0)</f>
        <v>0</v>
      </c>
      <c r="GF97">
        <f>GD97+GE97</f>
        <v>0</v>
      </c>
      <c r="GG97">
        <f>IF($FW$29=$FX$34,FX97,IF($FW$29=$FY$34,FY97,IF($FW$29=$FZ$34,FZ97,IF($FW$29=$GA$34,GA97,""))))</f>
        <v>65000</v>
      </c>
      <c r="GH97">
        <f>IF(GF97=1,1,0)</f>
        <v>0</v>
      </c>
      <c r="GI97">
        <f>IF($FW$21&lt;FS97,1,0)</f>
        <v>0</v>
      </c>
      <c r="GJ97">
        <f>GH97+GI97</f>
        <v>0</v>
      </c>
      <c r="GK97" t="str">
        <f>IF(GJ97=2,FP97,"")</f>
        <v/>
      </c>
    </row>
    <row r="98">
      <c r="AL98" t="str">
        <v>022926-002</v>
      </c>
      <c r="AM98" t="str">
        <v>Drill Pipe</v>
      </c>
      <c r="AN98">
        <v>5</v>
      </c>
      <c r="AP98" t="str">
        <v>3½ API</v>
      </c>
      <c r="AR98" t="str">
        <v>½"</v>
      </c>
      <c r="AS98" t="str">
        <v>25'</v>
      </c>
      <c r="AU98" t="str">
        <v>1½"</v>
      </c>
      <c r="AV98">
        <v>3</v>
      </c>
      <c r="AY98">
        <v>1</v>
      </c>
      <c r="FO98" t="str">
        <v>X60/S60,2</v>
      </c>
      <c r="FP98">
        <v>90</v>
      </c>
      <c r="FQ98">
        <v>9.875</v>
      </c>
      <c r="FR98">
        <v>11</v>
      </c>
      <c r="FS98">
        <v>80000</v>
      </c>
      <c r="FT98">
        <v>23000</v>
      </c>
      <c r="FU98">
        <f>FT98</f>
        <v>23000</v>
      </c>
      <c r="FV98">
        <v>35000</v>
      </c>
      <c r="FW98">
        <v>49000</v>
      </c>
      <c r="FX98">
        <v>44000</v>
      </c>
      <c r="FY98">
        <f>FX98</f>
        <v>44000</v>
      </c>
      <c r="FZ98">
        <v>65000</v>
      </c>
      <c r="GA98">
        <v>70000</v>
      </c>
      <c r="GE98">
        <f>IF($FW$23&lt;=FR98,1,0)</f>
        <v>0</v>
      </c>
      <c r="GF98">
        <f>GD98+GE98</f>
        <v>0</v>
      </c>
      <c r="GG98">
        <f>IF($FW$29=$FX$34,FX98,IF($FW$29=$FY$34,FY98,IF($FW$29=$FZ$34,FZ98,IF($FW$29=$GA$34,GA98,""))))</f>
        <v>65000</v>
      </c>
      <c r="GH98">
        <f>IF(GF98=1,1,0)</f>
        <v>0</v>
      </c>
      <c r="GI98">
        <f>IF($FW$21&lt;FS98,1,0)</f>
        <v>0</v>
      </c>
      <c r="GJ98">
        <f>GH98+GI98</f>
        <v>0</v>
      </c>
      <c r="GK98" t="str">
        <f>IF(GJ98=2,FP98,"")</f>
        <v/>
      </c>
    </row>
    <row r="99">
      <c r="AL99" t="str">
        <v>022926-001</v>
      </c>
      <c r="AM99" t="str">
        <v>Drill Pipe</v>
      </c>
      <c r="AN99">
        <v>5</v>
      </c>
      <c r="AP99" t="str">
        <v>3½ API</v>
      </c>
      <c r="AR99" t="str">
        <v>½"</v>
      </c>
      <c r="AS99" t="str">
        <v>30'</v>
      </c>
      <c r="AT99">
        <v>900</v>
      </c>
      <c r="AU99" t="str">
        <v>1½"</v>
      </c>
      <c r="AV99">
        <v>3</v>
      </c>
      <c r="AY99">
        <v>1</v>
      </c>
      <c r="AZ99" t="str">
        <v>DRL</v>
      </c>
      <c r="FO99" t="str">
        <v>X60/S60,3</v>
      </c>
      <c r="FP99">
        <v>90</v>
      </c>
      <c r="FQ99">
        <v>12.25</v>
      </c>
      <c r="FR99">
        <v>13.75</v>
      </c>
      <c r="FS99">
        <v>110000</v>
      </c>
      <c r="FT99">
        <v>23000</v>
      </c>
      <c r="FU99">
        <f>FT99</f>
        <v>23000</v>
      </c>
      <c r="FV99">
        <v>35000</v>
      </c>
      <c r="FW99">
        <v>49000</v>
      </c>
      <c r="FX99">
        <v>44000</v>
      </c>
      <c r="FY99">
        <f>FX99</f>
        <v>44000</v>
      </c>
      <c r="FZ99">
        <v>65000</v>
      </c>
      <c r="GA99">
        <v>70000</v>
      </c>
      <c r="GE99">
        <f>IF($FW$23&lt;=FR99,1,0)</f>
        <v>1</v>
      </c>
      <c r="GF99">
        <f>GD99+GE99</f>
        <v>1</v>
      </c>
      <c r="GG99">
        <f>IF($FW$29=$FX$34,FX99,IF($FW$29=$FY$34,FY99,IF($FW$29=$FZ$34,FZ99,IF($FW$29=$GA$34,GA99,""))))</f>
        <v>65000</v>
      </c>
      <c r="GH99">
        <f>IF(GF99=1,1,0)</f>
        <v>1</v>
      </c>
      <c r="GI99">
        <f>IF($FW$21&lt;FS99,1,0)</f>
        <v>1</v>
      </c>
      <c r="GJ99">
        <f>GH99+GI99</f>
        <v>2</v>
      </c>
      <c r="GK99">
        <f>IF(GJ99=2,FP99,"")</f>
        <v>90</v>
      </c>
    </row>
    <row r="100">
      <c r="AL100" t="str">
        <v>019802-002</v>
      </c>
      <c r="AM100" t="str">
        <v>Drill Pipe</v>
      </c>
      <c r="AN100">
        <v>5</v>
      </c>
      <c r="AP100" t="str">
        <v>3½ API BOX</v>
      </c>
      <c r="AQ100" t="str">
        <v>3½ API</v>
      </c>
      <c r="AR100" t="str">
        <v>½"</v>
      </c>
      <c r="AS100" t="str">
        <v>30'3.75"</v>
      </c>
      <c r="AT100">
        <v>1100</v>
      </c>
      <c r="AU100" t="str">
        <v>1½"</v>
      </c>
      <c r="AV100">
        <v>3</v>
      </c>
      <c r="AW100">
        <v>3</v>
      </c>
      <c r="AY100">
        <v>1</v>
      </c>
      <c r="AZ100" t="str">
        <v>PRT</v>
      </c>
      <c r="FO100" t="str">
        <v>X60/S60,4</v>
      </c>
      <c r="FP100">
        <v>80</v>
      </c>
      <c r="FQ100">
        <v>15</v>
      </c>
      <c r="FR100">
        <v>16</v>
      </c>
      <c r="FS100">
        <v>120000</v>
      </c>
      <c r="FT100">
        <v>23000</v>
      </c>
      <c r="FU100">
        <f>FT100</f>
        <v>23000</v>
      </c>
      <c r="FV100">
        <v>35000</v>
      </c>
      <c r="FW100">
        <v>49000</v>
      </c>
      <c r="FX100">
        <v>44000</v>
      </c>
      <c r="FY100">
        <f>FX100</f>
        <v>44000</v>
      </c>
      <c r="FZ100">
        <v>65000</v>
      </c>
      <c r="GA100">
        <v>70000</v>
      </c>
      <c r="GE100">
        <f>IF($FW$23&lt;=FR100,1,0)</f>
        <v>1</v>
      </c>
      <c r="GF100">
        <f>GD100+GE100</f>
        <v>1</v>
      </c>
      <c r="GG100">
        <f>IF($FW$29=$FX$34,FX100,IF($FW$29=$FY$34,FY100,IF($FW$29=$FZ$34,FZ100,IF($FW$29=$GA$34,GA100,""))))</f>
        <v>65000</v>
      </c>
      <c r="GH100">
        <f>IF(GF100=1,1,0)</f>
        <v>1</v>
      </c>
      <c r="GI100">
        <f>IF($FW$21&lt;FS100,1,0)</f>
        <v>1</v>
      </c>
      <c r="GJ100">
        <f>GH100+GI100</f>
        <v>2</v>
      </c>
      <c r="GK100">
        <f>IF(GJ100=2,FP100,"")</f>
        <v>80</v>
      </c>
    </row>
    <row r="101">
      <c r="AL101" t="str">
        <v>019802-001</v>
      </c>
      <c r="AM101" t="str">
        <v>Drill Pipe</v>
      </c>
      <c r="AN101">
        <v>5</v>
      </c>
      <c r="AP101" t="str">
        <v>3½ API BOX</v>
      </c>
      <c r="AQ101" t="str">
        <v>3½ API</v>
      </c>
      <c r="AR101" t="str">
        <v>½"</v>
      </c>
      <c r="AS101" t="str">
        <v>25'3.75"</v>
      </c>
      <c r="AT101">
        <v>918</v>
      </c>
      <c r="AU101" t="str">
        <v>1½"</v>
      </c>
      <c r="AV101">
        <v>3</v>
      </c>
      <c r="AW101">
        <v>3</v>
      </c>
      <c r="AY101">
        <v>1</v>
      </c>
      <c r="AZ101" t="str">
        <v>PRT</v>
      </c>
      <c r="FO101" t="str">
        <v>X70/70,1</v>
      </c>
      <c r="FP101">
        <v>100</v>
      </c>
      <c r="FQ101">
        <v>6.75</v>
      </c>
      <c r="FR101">
        <v>7.375</v>
      </c>
      <c r="FS101">
        <v>45000</v>
      </c>
      <c r="FT101">
        <v>27000</v>
      </c>
      <c r="FU101">
        <f>FT101</f>
        <v>27000</v>
      </c>
      <c r="FV101">
        <v>41000</v>
      </c>
      <c r="FW101">
        <v>57500</v>
      </c>
      <c r="FX101">
        <v>64500</v>
      </c>
      <c r="FY101">
        <f>FX101</f>
        <v>64500</v>
      </c>
      <c r="FZ101">
        <v>70000</v>
      </c>
      <c r="GA101">
        <v>70000</v>
      </c>
      <c r="GE101">
        <f>IF($FW$23&lt;=FR101,1,0)</f>
        <v>0</v>
      </c>
      <c r="GF101">
        <f>GD101+GE101</f>
        <v>0</v>
      </c>
      <c r="GG101">
        <f>IF($FW$29=$FX$34,FX101,IF($FW$29=$FY$34,FY101,IF($FW$29=$FZ$34,FZ101,IF($FW$29=$GA$34,GA101,""))))</f>
        <v>70000</v>
      </c>
      <c r="GH101">
        <f>IF(GF101=1,1,0)</f>
        <v>0</v>
      </c>
      <c r="GI101">
        <f>IF($FW$21&lt;FS101,1,0)</f>
        <v>0</v>
      </c>
      <c r="GJ101">
        <f>GH101+GI101</f>
        <v>0</v>
      </c>
      <c r="GK101" t="str">
        <f>IF(GJ101=2,FP101,"")</f>
        <v/>
      </c>
    </row>
    <row r="102">
      <c r="AL102" t="str">
        <v>003461-005</v>
      </c>
      <c r="AM102" t="str">
        <v>Drill Pipe</v>
      </c>
      <c r="AN102">
        <v>5</v>
      </c>
      <c r="AP102" t="str">
        <v>3½ RH</v>
      </c>
      <c r="AR102" t="str">
        <v>½"</v>
      </c>
      <c r="AS102" t="str">
        <v>20'</v>
      </c>
      <c r="AT102">
        <v>550</v>
      </c>
      <c r="AU102" t="str">
        <v>1½"</v>
      </c>
      <c r="AV102">
        <v>3</v>
      </c>
      <c r="AW102">
        <v>4.625</v>
      </c>
      <c r="AY102">
        <v>1</v>
      </c>
      <c r="AZ102" t="str">
        <v>DRL</v>
      </c>
      <c r="FO102" t="str">
        <v>X70/70,2</v>
      </c>
      <c r="FP102">
        <v>100</v>
      </c>
      <c r="FQ102">
        <v>7.875</v>
      </c>
      <c r="FR102">
        <v>9</v>
      </c>
      <c r="FS102">
        <v>57000</v>
      </c>
      <c r="FT102">
        <v>27000</v>
      </c>
      <c r="FU102">
        <f>FT102</f>
        <v>27000</v>
      </c>
      <c r="FV102">
        <v>41000</v>
      </c>
      <c r="FW102">
        <v>57500</v>
      </c>
      <c r="FX102">
        <v>64500</v>
      </c>
      <c r="FY102">
        <f>FX102</f>
        <v>64500</v>
      </c>
      <c r="FZ102">
        <v>70000</v>
      </c>
      <c r="GA102">
        <v>70000</v>
      </c>
      <c r="GE102">
        <f>IF($FW$23&lt;=FR102,1,0)</f>
        <v>0</v>
      </c>
      <c r="GF102">
        <f>GD102+GE102</f>
        <v>0</v>
      </c>
      <c r="GG102">
        <f>IF($FW$29=$FX$34,FX102,IF($FW$29=$FY$34,FY102,IF($FW$29=$FZ$34,FZ102,IF($FW$29=$GA$34,GA102,""))))</f>
        <v>70000</v>
      </c>
      <c r="GH102">
        <f>IF(GF102=1,1,0)</f>
        <v>0</v>
      </c>
      <c r="GI102">
        <f>IF($FW$21&lt;FS102,1,0)</f>
        <v>0</v>
      </c>
      <c r="GJ102">
        <f>GH102+GI102</f>
        <v>0</v>
      </c>
      <c r="GK102" t="str">
        <f>IF(GJ102=2,FP102,"")</f>
        <v/>
      </c>
    </row>
    <row r="103">
      <c r="AL103" t="str">
        <v>003461-004</v>
      </c>
      <c r="AM103" t="str">
        <v>Drill Pipe</v>
      </c>
      <c r="AN103">
        <v>5</v>
      </c>
      <c r="AP103" t="str">
        <v>3½ RH</v>
      </c>
      <c r="AR103" t="str">
        <v>½"</v>
      </c>
      <c r="AS103" t="str">
        <v>30'</v>
      </c>
      <c r="AT103">
        <v>825</v>
      </c>
      <c r="AU103" t="str">
        <v>1½"</v>
      </c>
      <c r="AV103">
        <v>3</v>
      </c>
      <c r="AW103">
        <v>4.625</v>
      </c>
      <c r="AY103">
        <v>1</v>
      </c>
      <c r="AZ103" t="str">
        <v>DRL</v>
      </c>
      <c r="FO103" t="str">
        <v>X70/70,3</v>
      </c>
      <c r="FP103">
        <v>90</v>
      </c>
      <c r="FQ103">
        <v>9.875</v>
      </c>
      <c r="FR103">
        <v>11</v>
      </c>
      <c r="FS103">
        <v>85000</v>
      </c>
      <c r="FT103">
        <v>27000</v>
      </c>
      <c r="FU103">
        <f>FT103</f>
        <v>27000</v>
      </c>
      <c r="FV103">
        <v>41000</v>
      </c>
      <c r="FW103">
        <v>57500</v>
      </c>
      <c r="FX103">
        <v>64500</v>
      </c>
      <c r="FY103">
        <f>FX103</f>
        <v>64500</v>
      </c>
      <c r="FZ103">
        <v>70000</v>
      </c>
      <c r="GA103">
        <v>70000</v>
      </c>
      <c r="GE103">
        <f>IF($FW$23&lt;=FR103,1,0)</f>
        <v>0</v>
      </c>
      <c r="GF103">
        <f>GD103+GE103</f>
        <v>0</v>
      </c>
      <c r="GG103">
        <f>IF($FW$29=$FX$34,FX103,IF($FW$29=$FY$34,FY103,IF($FW$29=$FZ$34,FZ103,IF($FW$29=$GA$34,GA103,""))))</f>
        <v>70000</v>
      </c>
      <c r="GH103">
        <f>IF(GF103=1,1,0)</f>
        <v>0</v>
      </c>
      <c r="GI103">
        <f>IF($FW$21&lt;FS103,1,0)</f>
        <v>1</v>
      </c>
      <c r="GJ103">
        <f>GH103+GI103</f>
        <v>1</v>
      </c>
      <c r="GK103" t="str">
        <f>IF(GJ103=2,FP103,"")</f>
        <v/>
      </c>
    </row>
    <row r="104">
      <c r="AL104" t="str">
        <v>003461-003</v>
      </c>
      <c r="AM104" t="str">
        <v>Drill Pipe</v>
      </c>
      <c r="AN104">
        <v>5</v>
      </c>
      <c r="AP104" t="str">
        <v>3½ RH</v>
      </c>
      <c r="AR104" t="str">
        <v>½"</v>
      </c>
      <c r="AS104" t="str">
        <v>25'</v>
      </c>
      <c r="AT104">
        <v>700</v>
      </c>
      <c r="AU104" t="str">
        <v>1½"</v>
      </c>
      <c r="AV104">
        <v>3</v>
      </c>
      <c r="AW104">
        <v>4.625</v>
      </c>
      <c r="AY104">
        <v>1</v>
      </c>
      <c r="AZ104" t="str">
        <v>DRL</v>
      </c>
    </row>
    <row r="105">
      <c r="AL105" t="str">
        <v>003225-002</v>
      </c>
      <c r="AM105" t="str">
        <v>Drill Pipe</v>
      </c>
      <c r="AN105">
        <v>5</v>
      </c>
      <c r="AP105" t="str">
        <v>3½ IF</v>
      </c>
      <c r="AR105" t="str">
        <v>½"</v>
      </c>
      <c r="AS105" t="str">
        <v>20'</v>
      </c>
      <c r="AT105">
        <v>450</v>
      </c>
      <c r="AU105" t="str">
        <v>2 11/16"</v>
      </c>
      <c r="AV105">
        <v>3.75</v>
      </c>
      <c r="AW105" t="str">
        <v>4½</v>
      </c>
      <c r="AY105">
        <v>1</v>
      </c>
      <c r="AZ105" t="str">
        <v>DRL</v>
      </c>
    </row>
    <row r="106">
      <c r="AL106" t="str">
        <v>003225-001</v>
      </c>
      <c r="AM106" t="str">
        <v>Drill Pipe</v>
      </c>
      <c r="AN106">
        <v>5</v>
      </c>
      <c r="AP106" t="str">
        <v>3½ IF</v>
      </c>
      <c r="AR106" t="str">
        <v>½"</v>
      </c>
      <c r="AS106" t="str">
        <v>25'</v>
      </c>
      <c r="AT106">
        <v>565</v>
      </c>
      <c r="AU106" t="str">
        <v>2 11/16"</v>
      </c>
      <c r="AV106">
        <v>3.75</v>
      </c>
      <c r="AW106" t="str">
        <v>4½</v>
      </c>
      <c r="AY106">
        <v>1</v>
      </c>
      <c r="AZ106" t="str">
        <v>DRL</v>
      </c>
    </row>
    <row r="107">
      <c r="AL107" t="str">
        <v>001429-003</v>
      </c>
      <c r="AM107" t="str">
        <v>Drill Pipe</v>
      </c>
      <c r="AN107">
        <v>5</v>
      </c>
      <c r="AP107" t="str">
        <v>3½ API</v>
      </c>
      <c r="AR107" t="str">
        <v>½"</v>
      </c>
      <c r="AS107" t="str">
        <v>30'</v>
      </c>
      <c r="AT107">
        <v>805</v>
      </c>
      <c r="AU107" t="str">
        <v>1½"</v>
      </c>
      <c r="AV107">
        <v>3</v>
      </c>
      <c r="AW107">
        <v>4</v>
      </c>
      <c r="AY107">
        <v>1</v>
      </c>
      <c r="AZ107" t="str">
        <v>DRL</v>
      </c>
    </row>
    <row r="108">
      <c r="AL108" t="str">
        <v>001429-002</v>
      </c>
      <c r="AM108" t="str">
        <v>Drill Pipe</v>
      </c>
      <c r="AN108">
        <v>5</v>
      </c>
      <c r="AP108" t="str">
        <v>3½ API</v>
      </c>
      <c r="AR108" t="str">
        <v>½"</v>
      </c>
      <c r="AS108" t="str">
        <v>20'</v>
      </c>
      <c r="AT108">
        <v>450</v>
      </c>
      <c r="AU108" t="str">
        <v>1½"</v>
      </c>
      <c r="AV108">
        <v>3</v>
      </c>
      <c r="AW108">
        <v>4</v>
      </c>
      <c r="AY108">
        <v>1</v>
      </c>
      <c r="AZ108" t="str">
        <v>DRL</v>
      </c>
    </row>
    <row r="109">
      <c r="AL109" t="str">
        <v>001429-001</v>
      </c>
      <c r="AM109" t="str">
        <v>Drill Pipe</v>
      </c>
      <c r="AN109">
        <v>5</v>
      </c>
      <c r="AP109" t="str">
        <v>3½ API</v>
      </c>
      <c r="AR109" t="str">
        <v>½"</v>
      </c>
      <c r="AS109" t="str">
        <v>25'</v>
      </c>
      <c r="AT109">
        <v>565</v>
      </c>
      <c r="AU109" t="str">
        <v>1½"</v>
      </c>
      <c r="AV109">
        <v>3</v>
      </c>
      <c r="AW109">
        <v>4</v>
      </c>
      <c r="AY109">
        <v>1</v>
      </c>
      <c r="AZ109" t="str">
        <v>DRL</v>
      </c>
    </row>
    <row r="110">
      <c r="AL110" t="str">
        <v>001354-006</v>
      </c>
      <c r="AM110" t="str">
        <v>Drill Pipe</v>
      </c>
      <c r="AN110">
        <v>5</v>
      </c>
      <c r="AP110" t="str">
        <v>3RH</v>
      </c>
      <c r="AR110" t="str">
        <v>½"</v>
      </c>
      <c r="AS110" t="str">
        <v>30'</v>
      </c>
      <c r="AT110">
        <v>845</v>
      </c>
      <c r="AU110" t="str">
        <v>1½"</v>
      </c>
      <c r="AV110">
        <v>3</v>
      </c>
      <c r="AW110">
        <v>4</v>
      </c>
      <c r="AX110" t="str">
        <v>Obsolete</v>
      </c>
      <c r="AY110">
        <v>1</v>
      </c>
      <c r="AZ110" t="str">
        <v>DRL</v>
      </c>
    </row>
    <row r="111">
      <c r="AL111" t="str">
        <v>001354-005</v>
      </c>
      <c r="AM111" t="str">
        <v>Drill Pipe</v>
      </c>
      <c r="AN111">
        <v>5</v>
      </c>
      <c r="AP111" t="str">
        <v>3RH</v>
      </c>
      <c r="AR111" t="str">
        <v>½"</v>
      </c>
      <c r="AS111" t="str">
        <v>20'</v>
      </c>
      <c r="AT111">
        <v>555</v>
      </c>
      <c r="AU111" t="str">
        <v>1½"</v>
      </c>
      <c r="AV111">
        <v>3</v>
      </c>
      <c r="AW111">
        <v>4</v>
      </c>
      <c r="AX111" t="str">
        <v>Obsolete</v>
      </c>
      <c r="AY111">
        <v>1</v>
      </c>
      <c r="AZ111" t="str">
        <v>DRL</v>
      </c>
    </row>
    <row r="112">
      <c r="AL112" t="str">
        <v>001354-004</v>
      </c>
      <c r="AM112" t="str">
        <v>Drill Pipe</v>
      </c>
      <c r="AN112">
        <v>5</v>
      </c>
      <c r="AP112" t="str">
        <v>3RH Pin</v>
      </c>
      <c r="AR112" t="str">
        <v>½"</v>
      </c>
      <c r="AS112" t="str">
        <v>25'</v>
      </c>
      <c r="AT112">
        <v>700</v>
      </c>
      <c r="AU112" t="str">
        <v>1½"</v>
      </c>
      <c r="AV112">
        <v>3</v>
      </c>
      <c r="AW112">
        <v>4</v>
      </c>
      <c r="AX112" t="str">
        <v>Osolete</v>
      </c>
      <c r="AY112">
        <v>1</v>
      </c>
      <c r="AZ112" t="str">
        <v>DRL</v>
      </c>
    </row>
    <row r="113">
      <c r="AL113" t="str">
        <v>023201-002</v>
      </c>
      <c r="AM113" t="str">
        <v>Drill Pipe</v>
      </c>
      <c r="AN113">
        <v>5</v>
      </c>
      <c r="AP113" t="str">
        <v>3½ RH</v>
      </c>
      <c r="AR113" t="str">
        <v>3/4"</v>
      </c>
      <c r="AS113" t="str">
        <v>324"</v>
      </c>
      <c r="AT113">
        <v>960</v>
      </c>
      <c r="AU113" t="str">
        <v>1½"</v>
      </c>
      <c r="AV113">
        <v>3</v>
      </c>
      <c r="AX113" t="str">
        <v>Special Peabody D245</v>
      </c>
      <c r="AY113">
        <v>1</v>
      </c>
    </row>
    <row r="114">
      <c r="AL114" t="str">
        <v>023201-001</v>
      </c>
      <c r="AM114" t="str">
        <v>Drill Pipe</v>
      </c>
      <c r="AN114">
        <v>5</v>
      </c>
      <c r="AP114" t="str">
        <v>3½ RH</v>
      </c>
      <c r="AR114" t="str">
        <v>3/4"</v>
      </c>
      <c r="AS114" t="str">
        <v>30'</v>
      </c>
      <c r="AT114">
        <v>1100</v>
      </c>
      <c r="AU114" t="str">
        <v>1½"</v>
      </c>
      <c r="AV114">
        <v>3</v>
      </c>
      <c r="AX114" t="str">
        <v>Special Peabody D245</v>
      </c>
      <c r="AY114">
        <v>1</v>
      </c>
      <c r="AZ114" t="str">
        <v>PRT</v>
      </c>
    </row>
    <row r="115">
      <c r="AL115" t="str">
        <v>023200-001</v>
      </c>
      <c r="AM115" t="str">
        <v>Drill Pipe</v>
      </c>
      <c r="AN115">
        <v>5</v>
      </c>
      <c r="AO115" t="str">
        <v>3½</v>
      </c>
      <c r="AP115" t="str">
        <v>3½ RH</v>
      </c>
      <c r="AQ115" t="str">
        <v>2 3/8 IF</v>
      </c>
      <c r="AR115" t="str">
        <v>3/4"</v>
      </c>
      <c r="AS115" t="str">
        <v>27'</v>
      </c>
      <c r="AT115">
        <v>630</v>
      </c>
      <c r="AU115" t="str">
        <v>1½"</v>
      </c>
      <c r="AV115">
        <v>3</v>
      </c>
      <c r="AX115" t="str">
        <v>Special Peabody D245</v>
      </c>
      <c r="AY115">
        <v>1</v>
      </c>
      <c r="AZ115" t="str">
        <v>PRT</v>
      </c>
    </row>
    <row r="116">
      <c r="AL116" t="str">
        <v>006406-001</v>
      </c>
      <c r="AM116" t="str">
        <v>Drill Pipe</v>
      </c>
      <c r="AN116">
        <v>5</v>
      </c>
      <c r="AP116" t="str">
        <v>3½ RH Box</v>
      </c>
      <c r="AR116" t="str">
        <v>3/4"</v>
      </c>
      <c r="AS116" t="str">
        <v>25'</v>
      </c>
      <c r="AT116">
        <v>897</v>
      </c>
      <c r="AU116" t="str">
        <v>1½"</v>
      </c>
      <c r="AV116" t="str">
        <v>3x4</v>
      </c>
      <c r="AW116" t="str">
        <v>3x4</v>
      </c>
      <c r="AX116" t="str">
        <v>Box/Box</v>
      </c>
      <c r="AY116">
        <v>1</v>
      </c>
      <c r="AZ116" t="str">
        <v>PRT</v>
      </c>
    </row>
    <row r="117">
      <c r="AL117" t="str">
        <v>003461-006</v>
      </c>
      <c r="AM117" t="str">
        <v>Drill Pipe</v>
      </c>
      <c r="AN117">
        <v>5</v>
      </c>
      <c r="AP117" t="str">
        <v>3½ RH</v>
      </c>
      <c r="AR117" t="str">
        <v>3/4"</v>
      </c>
      <c r="AS117">
        <v>30</v>
      </c>
      <c r="AT117">
        <v>1100</v>
      </c>
      <c r="AU117" t="str">
        <v>1½"</v>
      </c>
      <c r="AV117">
        <v>3</v>
      </c>
      <c r="AW117">
        <v>4.625</v>
      </c>
      <c r="AY117">
        <v>1</v>
      </c>
      <c r="AZ117" t="str">
        <v>DRL</v>
      </c>
    </row>
    <row r="118">
      <c r="AL118" t="str">
        <v>003461-002</v>
      </c>
      <c r="AM118" t="str">
        <v>Drill Pipe</v>
      </c>
      <c r="AN118">
        <v>5</v>
      </c>
      <c r="AP118" t="str">
        <v>3½ RH</v>
      </c>
      <c r="AR118" t="str">
        <v>3/4"</v>
      </c>
      <c r="AS118" t="str">
        <v>25'</v>
      </c>
      <c r="AT118">
        <v>920</v>
      </c>
      <c r="AU118" t="str">
        <v>1½"</v>
      </c>
      <c r="AV118">
        <v>3</v>
      </c>
      <c r="AW118">
        <v>4.625</v>
      </c>
      <c r="AY118">
        <v>1</v>
      </c>
      <c r="AZ118" t="str">
        <v>DRL</v>
      </c>
    </row>
    <row r="119">
      <c r="AL119" t="str">
        <v>001429-006</v>
      </c>
      <c r="AM119" t="str">
        <v>Drill Pipe</v>
      </c>
      <c r="AN119">
        <v>5</v>
      </c>
      <c r="AP119" t="str">
        <v>3½ API</v>
      </c>
      <c r="AR119" t="str">
        <v>3/4"</v>
      </c>
      <c r="AS119" t="str">
        <v>30'</v>
      </c>
      <c r="AT119">
        <v>835</v>
      </c>
      <c r="AU119" t="str">
        <v>1½"</v>
      </c>
      <c r="AV119">
        <v>3</v>
      </c>
      <c r="AW119">
        <v>4</v>
      </c>
      <c r="AY119">
        <v>1</v>
      </c>
      <c r="AZ119" t="str">
        <v>PRT</v>
      </c>
    </row>
    <row r="120">
      <c r="AL120" t="str">
        <v>001429-005</v>
      </c>
      <c r="AM120" t="str">
        <v>Drill Pipe</v>
      </c>
      <c r="AN120">
        <v>5</v>
      </c>
      <c r="AP120" t="str">
        <v>3½ API</v>
      </c>
      <c r="AR120" t="str">
        <v>3/4"</v>
      </c>
      <c r="AS120" t="str">
        <v>25'</v>
      </c>
      <c r="AT120">
        <v>785</v>
      </c>
      <c r="AU120" t="str">
        <v>1½"</v>
      </c>
      <c r="AV120">
        <v>3</v>
      </c>
      <c r="AW120">
        <v>4</v>
      </c>
      <c r="AY120">
        <v>1</v>
      </c>
      <c r="AZ120" t="str">
        <v>PRT</v>
      </c>
    </row>
    <row r="121">
      <c r="AL121" t="str">
        <v>001429-004</v>
      </c>
      <c r="AM121" t="str">
        <v>Drill Pipe</v>
      </c>
      <c r="AN121">
        <v>5</v>
      </c>
      <c r="AP121" t="str">
        <v>3½ API</v>
      </c>
      <c r="AR121" t="str">
        <v>3/4"</v>
      </c>
      <c r="AS121" t="str">
        <v>20'</v>
      </c>
      <c r="AT121">
        <v>623</v>
      </c>
      <c r="AU121" t="str">
        <v>1½"</v>
      </c>
      <c r="AV121">
        <v>3</v>
      </c>
      <c r="AW121">
        <v>4</v>
      </c>
      <c r="AY121">
        <v>1</v>
      </c>
      <c r="AZ121" t="str">
        <v>DRL</v>
      </c>
    </row>
    <row r="122">
      <c r="AL122" t="str">
        <v>001354-002</v>
      </c>
      <c r="AM122" t="str">
        <v>Drill Pipe</v>
      </c>
      <c r="AN122">
        <v>5</v>
      </c>
      <c r="AP122" t="str">
        <v>3 RH</v>
      </c>
      <c r="AR122" t="str">
        <v>3/4"</v>
      </c>
      <c r="AS122" t="str">
        <v>25'</v>
      </c>
      <c r="AT122">
        <v>920</v>
      </c>
      <c r="AU122" t="str">
        <v>1½"</v>
      </c>
      <c r="AV122">
        <v>3</v>
      </c>
      <c r="AW122">
        <v>4</v>
      </c>
      <c r="AX122" t="str">
        <v>Obsolete</v>
      </c>
      <c r="AY122">
        <v>1</v>
      </c>
      <c r="AZ122" t="str">
        <v>PRT</v>
      </c>
    </row>
    <row r="123">
      <c r="AL123" t="str">
        <v>011073-006</v>
      </c>
      <c r="AM123" t="str">
        <v>Drill Pipe</v>
      </c>
      <c r="AN123">
        <v>6</v>
      </c>
      <c r="AP123" t="str">
        <v>4½ RH</v>
      </c>
      <c r="AR123" t="str">
        <v>½"</v>
      </c>
      <c r="AS123" t="str">
        <v>20'</v>
      </c>
      <c r="AT123">
        <v>650</v>
      </c>
      <c r="AU123" t="str">
        <v>2½"</v>
      </c>
      <c r="AV123">
        <v>4</v>
      </c>
      <c r="AW123" t="str">
        <v>5½</v>
      </c>
      <c r="AY123">
        <v>1</v>
      </c>
      <c r="AZ123" t="str">
        <v>PRT</v>
      </c>
    </row>
    <row r="124">
      <c r="AL124" t="str">
        <v>011073-005</v>
      </c>
      <c r="AM124" t="str">
        <v>Drill Pipe</v>
      </c>
      <c r="AN124">
        <v>6</v>
      </c>
      <c r="AP124" t="str">
        <v>4½ REG</v>
      </c>
      <c r="AR124" t="str">
        <v>½"</v>
      </c>
      <c r="AS124" t="str">
        <v>25'</v>
      </c>
      <c r="AT124">
        <v>805</v>
      </c>
      <c r="AU124" t="str">
        <v>2½"</v>
      </c>
      <c r="AV124">
        <v>4</v>
      </c>
      <c r="AW124" t="str">
        <v>5½</v>
      </c>
      <c r="AY124">
        <v>1</v>
      </c>
      <c r="AZ124" t="str">
        <v>PRT</v>
      </c>
    </row>
    <row r="125">
      <c r="AL125" t="str">
        <v>011073-004</v>
      </c>
      <c r="AM125" t="str">
        <v>Drill Pipe</v>
      </c>
      <c r="AN125">
        <v>6</v>
      </c>
      <c r="AP125" t="str">
        <v>4½ REG</v>
      </c>
      <c r="AR125" t="str">
        <v>½"</v>
      </c>
      <c r="AS125" t="str">
        <v>20'</v>
      </c>
      <c r="AT125">
        <v>645</v>
      </c>
      <c r="AU125" t="str">
        <v>2½"</v>
      </c>
      <c r="AV125">
        <v>4</v>
      </c>
      <c r="AW125" t="str">
        <v>5½</v>
      </c>
      <c r="AY125">
        <v>1</v>
      </c>
      <c r="AZ125" t="str">
        <v>PRT</v>
      </c>
    </row>
    <row r="126">
      <c r="AL126" t="str">
        <v>011073-002</v>
      </c>
      <c r="AM126" t="str">
        <v>Drill Pipe</v>
      </c>
      <c r="AN126">
        <v>6</v>
      </c>
      <c r="AP126" t="str">
        <v>4½ RH</v>
      </c>
      <c r="AR126" t="str">
        <v>½"</v>
      </c>
      <c r="AS126" t="str">
        <v>30'</v>
      </c>
      <c r="AT126">
        <v>954</v>
      </c>
      <c r="AU126" t="str">
        <v>2½"</v>
      </c>
      <c r="AV126">
        <v>4</v>
      </c>
      <c r="AW126" t="str">
        <v>5½</v>
      </c>
      <c r="AY126">
        <v>1</v>
      </c>
      <c r="AZ126" t="str">
        <v>DRL</v>
      </c>
    </row>
    <row r="127">
      <c r="AL127" t="str">
        <v>011073-001</v>
      </c>
      <c r="AM127" t="str">
        <v>Drill Pipe</v>
      </c>
      <c r="AN127">
        <v>6</v>
      </c>
      <c r="AP127" t="str">
        <v>4½ RH</v>
      </c>
      <c r="AR127" t="str">
        <v>½"</v>
      </c>
      <c r="AS127" t="str">
        <v>25'</v>
      </c>
      <c r="AT127">
        <v>805</v>
      </c>
      <c r="AU127" t="str">
        <v>2½"</v>
      </c>
      <c r="AV127">
        <v>4</v>
      </c>
      <c r="AW127" t="str">
        <v>5½</v>
      </c>
      <c r="AY127">
        <v>1</v>
      </c>
      <c r="AZ127" t="str">
        <v>PRT</v>
      </c>
    </row>
    <row r="128">
      <c r="AL128" t="str">
        <v>009207-001</v>
      </c>
      <c r="AM128" t="str">
        <v>Drill Pipe</v>
      </c>
      <c r="AN128">
        <v>6</v>
      </c>
      <c r="AP128" t="str">
        <v>3½ API</v>
      </c>
      <c r="AR128" t="str">
        <v>½"</v>
      </c>
      <c r="AS128" t="str">
        <v>30'</v>
      </c>
      <c r="AT128">
        <v>970</v>
      </c>
      <c r="AU128" t="str">
        <v>1 3/4"</v>
      </c>
      <c r="AV128">
        <v>3</v>
      </c>
      <c r="AW128">
        <v>4</v>
      </c>
      <c r="AX128" t="str">
        <v>Special</v>
      </c>
      <c r="AY128">
        <v>1</v>
      </c>
      <c r="AZ128" t="str">
        <v>DRL</v>
      </c>
    </row>
    <row r="129">
      <c r="AL129" t="str">
        <v>003741-002</v>
      </c>
      <c r="AM129" t="str">
        <v>Drill Pipe</v>
      </c>
      <c r="AN129">
        <v>6</v>
      </c>
      <c r="AP129" t="str">
        <v>4½ IF</v>
      </c>
      <c r="AR129" t="str">
        <v>½"</v>
      </c>
      <c r="AS129" t="str">
        <v>10'</v>
      </c>
      <c r="AT129">
        <v>320</v>
      </c>
      <c r="AU129" t="str">
        <v>3 7/8"</v>
      </c>
      <c r="AV129">
        <v>4.625</v>
      </c>
      <c r="AW129">
        <v>5.625</v>
      </c>
      <c r="AX129" t="str">
        <v>Spec. Ctr. Load</v>
      </c>
    </row>
    <row r="130">
      <c r="AL130" t="str">
        <v>003741-001</v>
      </c>
      <c r="AM130" t="str">
        <v>Drill Pipe</v>
      </c>
      <c r="AN130">
        <v>6</v>
      </c>
      <c r="AP130" t="str">
        <v>4½ IF</v>
      </c>
      <c r="AR130" t="str">
        <v>½"</v>
      </c>
      <c r="AS130" t="str">
        <v>25'</v>
      </c>
      <c r="AT130">
        <v>760</v>
      </c>
      <c r="AU130" t="str">
        <v>3 7/8"</v>
      </c>
      <c r="AV130">
        <v>4.625</v>
      </c>
      <c r="AW130">
        <v>5.625</v>
      </c>
      <c r="AX130" t="str">
        <v>Spec. Ctr. Load</v>
      </c>
      <c r="AY130">
        <v>1</v>
      </c>
      <c r="AZ130" t="str">
        <v>DRL</v>
      </c>
    </row>
    <row r="131">
      <c r="AL131" t="str">
        <v>023139-001</v>
      </c>
      <c r="AM131" t="str">
        <v>Drill Pipe</v>
      </c>
      <c r="AN131">
        <v>6</v>
      </c>
      <c r="AP131" t="str">
        <v>4½ RH</v>
      </c>
      <c r="AR131" t="str">
        <v>1"</v>
      </c>
      <c r="AS131" t="str">
        <v>25'</v>
      </c>
      <c r="AT131">
        <v>1360</v>
      </c>
      <c r="AU131" t="str">
        <v>2½"</v>
      </c>
      <c r="AV131">
        <v>4</v>
      </c>
      <c r="AX131" t="str">
        <v>D55SP</v>
      </c>
      <c r="AY131">
        <v>1</v>
      </c>
      <c r="AZ131" t="str">
        <v>PRT</v>
      </c>
    </row>
    <row r="132">
      <c r="AL132" t="str">
        <v>023203-001</v>
      </c>
      <c r="AM132" t="str">
        <v>Drill Pipe</v>
      </c>
      <c r="AN132">
        <v>6</v>
      </c>
      <c r="AP132" t="str">
        <v>4½ RH BOX</v>
      </c>
      <c r="AQ132" t="str">
        <v>4½ RH</v>
      </c>
      <c r="AR132" t="str">
        <v>3/4"</v>
      </c>
      <c r="AS132" t="str">
        <v>364.25"</v>
      </c>
      <c r="AU132" t="str">
        <v>2½"</v>
      </c>
      <c r="AV132">
        <v>4</v>
      </c>
      <c r="AY132">
        <v>1</v>
      </c>
      <c r="AZ132" t="str">
        <v>PRT</v>
      </c>
    </row>
    <row r="133">
      <c r="AL133" t="str">
        <v>011073-003</v>
      </c>
      <c r="AM133" t="str">
        <v>Drill Pipe</v>
      </c>
      <c r="AN133">
        <v>6</v>
      </c>
      <c r="AP133" t="str">
        <v>4½ RH</v>
      </c>
      <c r="AR133" t="str">
        <v>3/4"</v>
      </c>
      <c r="AS133" t="str">
        <v>30'</v>
      </c>
      <c r="AT133">
        <v>1381</v>
      </c>
      <c r="AU133" t="str">
        <v>2½"</v>
      </c>
      <c r="AV133">
        <v>4</v>
      </c>
      <c r="AW133" t="str">
        <v>5½</v>
      </c>
      <c r="AY133">
        <v>1</v>
      </c>
      <c r="AZ133" t="str">
        <v>DRL</v>
      </c>
    </row>
    <row r="134">
      <c r="AL134" t="str">
        <v>002518-004</v>
      </c>
      <c r="AM134" t="str">
        <v>Drill Pipe</v>
      </c>
      <c r="AN134">
        <v>7</v>
      </c>
      <c r="AP134" t="str">
        <v>3½ RH</v>
      </c>
      <c r="AR134" t="str">
        <v>.413</v>
      </c>
      <c r="AS134">
        <v>25</v>
      </c>
      <c r="AT134">
        <v>900</v>
      </c>
      <c r="AU134" t="str">
        <v>1 3/4"</v>
      </c>
      <c r="AV134">
        <v>4</v>
      </c>
      <c r="AW134" t="str">
        <v>5½</v>
      </c>
      <c r="AY134">
        <v>1</v>
      </c>
      <c r="AZ134" t="str">
        <v>PRT</v>
      </c>
    </row>
    <row r="135">
      <c r="AL135" t="str">
        <v>013369-001</v>
      </c>
      <c r="AM135" t="str">
        <v>Drill Pipe</v>
      </c>
      <c r="AN135">
        <v>7</v>
      </c>
      <c r="AP135" t="str">
        <v>4 FH</v>
      </c>
      <c r="AR135" t="str">
        <v>.50</v>
      </c>
      <c r="AS135" t="str">
        <v>25'</v>
      </c>
      <c r="AT135">
        <v>1060</v>
      </c>
      <c r="AU135" t="str">
        <v>2"</v>
      </c>
      <c r="AV135">
        <v>4</v>
      </c>
      <c r="AW135" t="str">
        <v>5½</v>
      </c>
      <c r="AY135">
        <v>1</v>
      </c>
      <c r="AZ135" t="str">
        <v>DRL</v>
      </c>
    </row>
    <row r="136">
      <c r="AL136" t="str">
        <v>015659-002</v>
      </c>
      <c r="AM136" t="str">
        <v>Drill Pipe</v>
      </c>
      <c r="AN136">
        <v>7</v>
      </c>
      <c r="AP136" t="str">
        <v>4½ RH</v>
      </c>
      <c r="AR136" t="str">
        <v>.50"</v>
      </c>
      <c r="AS136" t="str">
        <v>35'</v>
      </c>
      <c r="AT136">
        <v>1500</v>
      </c>
      <c r="AU136" t="str">
        <v>2½"</v>
      </c>
      <c r="AV136">
        <v>5</v>
      </c>
      <c r="AW136">
        <v>5.5</v>
      </c>
      <c r="AX136" t="str">
        <v>C75K4</v>
      </c>
      <c r="AY136">
        <v>1</v>
      </c>
      <c r="AZ136" t="str">
        <v>PRT</v>
      </c>
    </row>
    <row r="137">
      <c r="AL137" t="str">
        <v>015659-003</v>
      </c>
      <c r="AM137" t="str">
        <v>Drill Pipe</v>
      </c>
      <c r="AN137">
        <v>7</v>
      </c>
      <c r="AP137" t="str">
        <v>4½ RH</v>
      </c>
      <c r="AR137" t="str">
        <v>.75"</v>
      </c>
      <c r="AS137" t="str">
        <v>35'</v>
      </c>
      <c r="AT137">
        <v>1950</v>
      </c>
      <c r="AU137" t="str">
        <v>2½"</v>
      </c>
      <c r="AV137">
        <v>5</v>
      </c>
      <c r="AW137">
        <v>5.5</v>
      </c>
      <c r="AX137" t="str">
        <v>C75K4</v>
      </c>
      <c r="AY137">
        <v>1</v>
      </c>
      <c r="AZ137" t="str">
        <v>PRT</v>
      </c>
    </row>
    <row r="138">
      <c r="AL138" t="str">
        <v>022205-001</v>
      </c>
      <c r="AM138" t="str">
        <v>Drill Pipe</v>
      </c>
      <c r="AN138">
        <v>7</v>
      </c>
      <c r="AP138" t="str">
        <v>4½ RH</v>
      </c>
      <c r="AR138" t="str">
        <v>½"</v>
      </c>
      <c r="AS138" t="str">
        <v>30'</v>
      </c>
      <c r="AT138">
        <v>1275</v>
      </c>
      <c r="AU138" t="str">
        <v>2½"</v>
      </c>
      <c r="AV138">
        <v>5</v>
      </c>
      <c r="AX138" t="str">
        <v>D560</v>
      </c>
      <c r="AY138">
        <v>1</v>
      </c>
      <c r="AZ138" t="str">
        <v>PRT</v>
      </c>
    </row>
    <row r="139">
      <c r="AL139" t="str">
        <v>017797-004</v>
      </c>
      <c r="AM139" t="str">
        <v>Drill Pipe</v>
      </c>
      <c r="AN139">
        <v>7</v>
      </c>
      <c r="AP139" t="str">
        <v>4½ RH</v>
      </c>
      <c r="AR139" t="str">
        <v>½"</v>
      </c>
      <c r="AS139" t="str">
        <v>25'</v>
      </c>
      <c r="AT139">
        <v>1200</v>
      </c>
      <c r="AU139" t="str">
        <v>2½"</v>
      </c>
      <c r="AV139">
        <v>5</v>
      </c>
      <c r="AY139">
        <v>1</v>
      </c>
      <c r="AZ139" t="str">
        <v>PRT</v>
      </c>
    </row>
    <row r="140">
      <c r="AL140" t="str">
        <v>017797-003</v>
      </c>
      <c r="AM140" t="str">
        <v>Drill Pipe</v>
      </c>
      <c r="AN140">
        <v>7</v>
      </c>
      <c r="AP140" t="str">
        <v>4½ RH</v>
      </c>
      <c r="AR140" t="str">
        <v>½"</v>
      </c>
      <c r="AS140" t="str">
        <v>30'</v>
      </c>
      <c r="AT140">
        <v>1350</v>
      </c>
      <c r="AU140" t="str">
        <v>2½"</v>
      </c>
      <c r="AV140">
        <v>5</v>
      </c>
      <c r="AY140">
        <v>1</v>
      </c>
      <c r="AZ140" t="str">
        <v>PRT</v>
      </c>
    </row>
    <row r="141">
      <c r="AL141" t="str">
        <v>006510-001</v>
      </c>
      <c r="AM141" t="str">
        <v>Drill Pipe</v>
      </c>
      <c r="AN141">
        <v>7</v>
      </c>
      <c r="AP141" t="str">
        <v>4½ RH</v>
      </c>
      <c r="AR141" t="str">
        <v>½"</v>
      </c>
      <c r="AS141" t="str">
        <v>30'</v>
      </c>
      <c r="AT141">
        <v>1275</v>
      </c>
      <c r="AU141" t="str">
        <v>2½"</v>
      </c>
      <c r="AV141">
        <v>5</v>
      </c>
      <c r="AW141" t="str">
        <v>5½</v>
      </c>
      <c r="AX141" t="str">
        <v>C60K2L</v>
      </c>
      <c r="AY141">
        <v>1</v>
      </c>
      <c r="AZ141" t="str">
        <v>PRT</v>
      </c>
    </row>
    <row r="142">
      <c r="AL142" t="str">
        <v>002518-002</v>
      </c>
      <c r="AM142" t="str">
        <v>Drill Pipe</v>
      </c>
      <c r="AN142">
        <v>7</v>
      </c>
      <c r="AP142" t="str">
        <v>4½ RH</v>
      </c>
      <c r="AR142" t="str">
        <v>½"</v>
      </c>
      <c r="AS142" t="str">
        <v>25'</v>
      </c>
      <c r="AT142">
        <v>950</v>
      </c>
      <c r="AU142" t="str">
        <v>2½"</v>
      </c>
      <c r="AV142">
        <v>4</v>
      </c>
      <c r="AW142" t="str">
        <v>5½</v>
      </c>
      <c r="AY142">
        <v>1</v>
      </c>
      <c r="AZ142" t="str">
        <v>DRL</v>
      </c>
    </row>
    <row r="143">
      <c r="AL143" t="str">
        <v>017797-002</v>
      </c>
      <c r="AM143" t="str">
        <v>Drill Pipe</v>
      </c>
      <c r="AN143">
        <v>7</v>
      </c>
      <c r="AP143" t="str">
        <v>4½ RH</v>
      </c>
      <c r="AR143" t="str">
        <v>1"</v>
      </c>
      <c r="AS143" t="str">
        <v>30'</v>
      </c>
      <c r="AT143">
        <v>2720</v>
      </c>
      <c r="AU143" t="str">
        <v>2½"</v>
      </c>
      <c r="AV143">
        <v>5</v>
      </c>
      <c r="AY143">
        <v>1</v>
      </c>
      <c r="AZ143" t="str">
        <v>PRT</v>
      </c>
    </row>
    <row r="144">
      <c r="AL144" t="str">
        <v>017797-001</v>
      </c>
      <c r="AM144" t="str">
        <v>Drill Pipe</v>
      </c>
      <c r="AN144">
        <v>7</v>
      </c>
      <c r="AP144" t="str">
        <v>4½ RH</v>
      </c>
      <c r="AR144" t="str">
        <v>1"</v>
      </c>
      <c r="AS144" t="str">
        <v>25'</v>
      </c>
      <c r="AT144">
        <v>2400</v>
      </c>
      <c r="AU144" t="str">
        <v>2½"</v>
      </c>
      <c r="AV144">
        <v>5</v>
      </c>
      <c r="AX144" t="str">
        <v>C55SP</v>
      </c>
      <c r="AY144">
        <v>1</v>
      </c>
      <c r="AZ144" t="str">
        <v>PRT</v>
      </c>
    </row>
    <row r="145">
      <c r="AL145" t="str">
        <v>015659-001</v>
      </c>
      <c r="AM145" t="str">
        <v>Drill Pipe</v>
      </c>
      <c r="AN145">
        <v>7</v>
      </c>
      <c r="AP145" t="str">
        <v>4½ RH</v>
      </c>
      <c r="AR145" t="str">
        <v>1"</v>
      </c>
      <c r="AS145" t="str">
        <v>35'</v>
      </c>
      <c r="AT145">
        <v>2400</v>
      </c>
      <c r="AU145" t="str">
        <v>2½"</v>
      </c>
      <c r="AV145">
        <v>5</v>
      </c>
      <c r="AW145">
        <v>5.5</v>
      </c>
      <c r="AX145" t="str">
        <v>C75K4</v>
      </c>
      <c r="AY145">
        <v>1</v>
      </c>
      <c r="AZ145" t="str">
        <v>PRT</v>
      </c>
    </row>
    <row r="146">
      <c r="AL146" t="str">
        <v>008840-001</v>
      </c>
      <c r="AM146" t="str">
        <v>Drill Pipe</v>
      </c>
      <c r="AN146">
        <v>7</v>
      </c>
      <c r="AP146" t="str">
        <v>3½ RH</v>
      </c>
      <c r="AR146" t="str">
        <v>1"</v>
      </c>
      <c r="AS146" t="str">
        <v>25'</v>
      </c>
      <c r="AT146">
        <v>1600</v>
      </c>
      <c r="AU146" t="str">
        <v>1½"</v>
      </c>
      <c r="AV146">
        <v>4</v>
      </c>
      <c r="AW146" t="str">
        <v>5½</v>
      </c>
      <c r="AY146">
        <v>1</v>
      </c>
      <c r="AZ146" t="str">
        <v>DRL</v>
      </c>
    </row>
    <row r="147">
      <c r="AL147" t="str">
        <v>006510-002</v>
      </c>
      <c r="AM147" t="str">
        <v>Drill Pipe</v>
      </c>
      <c r="AN147">
        <v>7</v>
      </c>
      <c r="AP147" t="str">
        <v>7½ RH</v>
      </c>
      <c r="AR147" t="str">
        <v>1"</v>
      </c>
      <c r="AS147" t="str">
        <v>30'</v>
      </c>
      <c r="AT147">
        <v>2060</v>
      </c>
      <c r="AU147" t="str">
        <v>2½"</v>
      </c>
      <c r="AV147">
        <v>5</v>
      </c>
      <c r="AW147" t="str">
        <v>5½</v>
      </c>
      <c r="AX147" t="str">
        <v>C60K2L</v>
      </c>
      <c r="AY147">
        <v>1</v>
      </c>
      <c r="AZ147" t="str">
        <v>DRL</v>
      </c>
    </row>
    <row r="148">
      <c r="AL148" t="str">
        <v>002518-005</v>
      </c>
      <c r="AM148" t="str">
        <v>Drill Pipe</v>
      </c>
      <c r="AN148">
        <v>7</v>
      </c>
      <c r="AP148" t="str">
        <v>4½ RH</v>
      </c>
      <c r="AR148" t="str">
        <v>1"</v>
      </c>
      <c r="AS148">
        <v>30</v>
      </c>
      <c r="AT148">
        <v>1920</v>
      </c>
      <c r="AU148" t="str">
        <v>2½"</v>
      </c>
      <c r="AV148">
        <v>4</v>
      </c>
      <c r="AW148" t="str">
        <v>5½</v>
      </c>
      <c r="AY148">
        <v>1</v>
      </c>
      <c r="AZ148" t="str">
        <v>PRT</v>
      </c>
    </row>
    <row r="149">
      <c r="AL149" t="str">
        <v>002518-001</v>
      </c>
      <c r="AM149" t="str">
        <v>Drill Pipe</v>
      </c>
      <c r="AN149">
        <v>7</v>
      </c>
      <c r="AP149" t="str">
        <v>4½ RH</v>
      </c>
      <c r="AR149" t="str">
        <v>1"</v>
      </c>
      <c r="AS149" t="str">
        <v>25'</v>
      </c>
      <c r="AT149">
        <v>1600</v>
      </c>
      <c r="AU149" t="str">
        <v>2½"</v>
      </c>
      <c r="AV149">
        <v>4</v>
      </c>
      <c r="AW149" t="str">
        <v>5½</v>
      </c>
      <c r="AY149">
        <v>1</v>
      </c>
      <c r="AZ149" t="str">
        <v>DRL</v>
      </c>
    </row>
    <row r="150">
      <c r="AL150" t="str">
        <v>022205-002</v>
      </c>
      <c r="AM150" t="str">
        <v>Drill Pipe</v>
      </c>
      <c r="AN150">
        <v>7</v>
      </c>
      <c r="AP150" t="str">
        <v>4½ RH</v>
      </c>
      <c r="AR150" t="str">
        <v>3/4"</v>
      </c>
      <c r="AS150" t="str">
        <v>30'</v>
      </c>
      <c r="AT150">
        <v>1775</v>
      </c>
      <c r="AU150" t="str">
        <v>2½"</v>
      </c>
      <c r="AV150">
        <v>5</v>
      </c>
      <c r="AX150" t="str">
        <v>D560</v>
      </c>
      <c r="AY150">
        <v>1</v>
      </c>
      <c r="AZ150" t="str">
        <v>DRL</v>
      </c>
    </row>
    <row r="151">
      <c r="AL151" t="str">
        <v>021936-001</v>
      </c>
      <c r="AM151" t="str">
        <v>Drill Pipe</v>
      </c>
      <c r="AN151">
        <v>7</v>
      </c>
      <c r="AP151" t="str">
        <v>3½ RH</v>
      </c>
      <c r="AR151" t="str">
        <v>3/4"</v>
      </c>
      <c r="AS151" t="str">
        <v>35'</v>
      </c>
      <c r="AT151">
        <v>1575</v>
      </c>
      <c r="AU151" t="str">
        <v>1½"</v>
      </c>
      <c r="AV151">
        <v>5</v>
      </c>
      <c r="AY151">
        <v>1</v>
      </c>
      <c r="AZ151" t="str">
        <v>PRT</v>
      </c>
    </row>
    <row r="152">
      <c r="AL152" t="str">
        <v>017797-005</v>
      </c>
      <c r="AM152" t="str">
        <v>Drill Pipe</v>
      </c>
      <c r="AN152">
        <v>7</v>
      </c>
      <c r="AP152" t="str">
        <v>4½ RH</v>
      </c>
      <c r="AR152" t="str">
        <v>3/4"</v>
      </c>
      <c r="AS152" t="str">
        <v>35'</v>
      </c>
      <c r="AT152">
        <v>1575</v>
      </c>
      <c r="AU152" t="str">
        <v>2½"</v>
      </c>
      <c r="AV152">
        <v>5</v>
      </c>
      <c r="AY152">
        <v>1</v>
      </c>
      <c r="AZ152" t="str">
        <v>PRT</v>
      </c>
    </row>
    <row r="153">
      <c r="AL153" t="str">
        <v>002518-006</v>
      </c>
      <c r="AM153" t="str">
        <v>Drill Pipe</v>
      </c>
      <c r="AN153">
        <v>7</v>
      </c>
      <c r="AP153" t="str">
        <v>4½ RH</v>
      </c>
      <c r="AR153" t="str">
        <v>3/4"</v>
      </c>
      <c r="AS153">
        <v>25</v>
      </c>
      <c r="AT153">
        <v>1500</v>
      </c>
      <c r="AU153" t="str">
        <v>2½"</v>
      </c>
      <c r="AV153">
        <v>4</v>
      </c>
      <c r="AW153" t="str">
        <v>5½</v>
      </c>
      <c r="AY153">
        <v>1</v>
      </c>
      <c r="AZ153" t="str">
        <v>PRT</v>
      </c>
    </row>
    <row r="154">
      <c r="AL154" t="str">
        <v>002518-003</v>
      </c>
      <c r="AM154" t="str">
        <v>Drill Pipe</v>
      </c>
      <c r="AN154">
        <v>7</v>
      </c>
      <c r="AP154" t="str">
        <v>4½ RH</v>
      </c>
      <c r="AR154" t="str">
        <v>3/4"</v>
      </c>
      <c r="AS154" t="str">
        <v>30'</v>
      </c>
      <c r="AT154">
        <v>1747</v>
      </c>
      <c r="AU154" t="str">
        <v>2½"</v>
      </c>
      <c r="AV154">
        <v>4</v>
      </c>
      <c r="AW154" t="str">
        <v>5½</v>
      </c>
      <c r="AY154">
        <v>1</v>
      </c>
      <c r="AZ154" t="str">
        <v>DRL</v>
      </c>
    </row>
    <row r="155">
      <c r="AL155" t="str">
        <v>019971-001</v>
      </c>
      <c r="AM155" t="str">
        <v>Drill Pipe</v>
      </c>
      <c r="AN155">
        <v>7</v>
      </c>
      <c r="AO155" t="str">
        <v>5½</v>
      </c>
      <c r="AP155" t="str">
        <v>4½ RH</v>
      </c>
      <c r="AQ155" t="str">
        <v>3½ API</v>
      </c>
      <c r="AS155" t="str">
        <v>35'</v>
      </c>
      <c r="AT155">
        <v>1550</v>
      </c>
      <c r="AU155" t="str">
        <v>2½"</v>
      </c>
      <c r="AV155">
        <v>5</v>
      </c>
      <c r="AW155" t="str">
        <v>4½</v>
      </c>
      <c r="AY155">
        <v>1</v>
      </c>
      <c r="AZ155" t="str">
        <v>PRT</v>
      </c>
    </row>
    <row r="156">
      <c r="AL156" t="str">
        <v>019043-001</v>
      </c>
      <c r="AM156" t="str">
        <v>Drill Pipe</v>
      </c>
      <c r="AN156">
        <v>7.625</v>
      </c>
      <c r="AP156" t="str">
        <v>6 RH</v>
      </c>
      <c r="AR156" t="str">
        <v>.50</v>
      </c>
      <c r="AS156" t="str">
        <v>26'</v>
      </c>
      <c r="AT156">
        <v>1200</v>
      </c>
      <c r="AU156" t="str">
        <v>2½"</v>
      </c>
      <c r="AV156">
        <v>6</v>
      </c>
      <c r="AX156" t="str">
        <v>C75 SPCL</v>
      </c>
    </row>
    <row r="157">
      <c r="AL157" t="str">
        <v>018043-001</v>
      </c>
      <c r="AM157" t="str">
        <v>Drill Pipe</v>
      </c>
      <c r="AN157">
        <v>7.625</v>
      </c>
      <c r="AP157" t="str">
        <v>6 RH</v>
      </c>
      <c r="AR157" t="str">
        <v>.50</v>
      </c>
      <c r="AS157" t="str">
        <v>26'</v>
      </c>
      <c r="AT157">
        <v>1200</v>
      </c>
      <c r="AU157" t="str">
        <v>2½"</v>
      </c>
      <c r="AV157">
        <v>6</v>
      </c>
      <c r="AX157" t="str">
        <v>C75 SPCL</v>
      </c>
      <c r="AY157">
        <v>1</v>
      </c>
      <c r="AZ157" t="str">
        <v>PRT</v>
      </c>
    </row>
    <row r="158">
      <c r="AL158" t="str">
        <v>017798-003</v>
      </c>
      <c r="AM158" t="str">
        <v>Drill Pipe</v>
      </c>
      <c r="AN158">
        <v>7.625</v>
      </c>
      <c r="AP158" t="str">
        <v>6 RH</v>
      </c>
      <c r="AR158" t="str">
        <v>.50"</v>
      </c>
      <c r="AS158" t="str">
        <v>25'</v>
      </c>
      <c r="AT158">
        <v>2060</v>
      </c>
      <c r="AU158" t="str">
        <v>2 3/4"</v>
      </c>
      <c r="AV158">
        <v>5</v>
      </c>
      <c r="AY158">
        <v>1</v>
      </c>
    </row>
    <row r="159">
      <c r="AL159" t="str">
        <v>017798-002</v>
      </c>
      <c r="AM159" t="str">
        <v>Drill Pipe</v>
      </c>
      <c r="AN159">
        <v>7.625</v>
      </c>
      <c r="AP159" t="str">
        <v>6 RH</v>
      </c>
      <c r="AR159" t="str">
        <v>.50"</v>
      </c>
      <c r="AS159" t="str">
        <v>30'</v>
      </c>
      <c r="AT159">
        <v>1550</v>
      </c>
      <c r="AU159" t="str">
        <v>2 3/4"</v>
      </c>
      <c r="AV159">
        <v>5</v>
      </c>
      <c r="AY159">
        <v>1</v>
      </c>
      <c r="AZ159" t="str">
        <v>DRL</v>
      </c>
    </row>
    <row r="160">
      <c r="AL160" t="str">
        <v>017798-001</v>
      </c>
      <c r="AM160" t="str">
        <v>Drill Pipe</v>
      </c>
      <c r="AN160">
        <v>7.625</v>
      </c>
      <c r="AP160" t="str">
        <v>6 RH</v>
      </c>
      <c r="AR160" t="str">
        <v>.50"</v>
      </c>
      <c r="AS160" t="str">
        <v>25'</v>
      </c>
      <c r="AT160">
        <v>1360</v>
      </c>
      <c r="AU160" t="str">
        <v>2 3/4"</v>
      </c>
      <c r="AV160">
        <v>5</v>
      </c>
      <c r="AX160" t="str">
        <v>C55SP</v>
      </c>
      <c r="AY160">
        <v>1</v>
      </c>
      <c r="AZ160" t="str">
        <v>PRT</v>
      </c>
    </row>
    <row r="161">
      <c r="AL161" t="str">
        <v>020179-001</v>
      </c>
      <c r="AM161" t="str">
        <v>Drill Pipe</v>
      </c>
      <c r="AN161">
        <v>7.625</v>
      </c>
      <c r="AP161" t="str">
        <v>5½ API</v>
      </c>
      <c r="AR161" t="str">
        <v>½"</v>
      </c>
      <c r="AS161" t="str">
        <v>25'</v>
      </c>
      <c r="AT161">
        <v>1240</v>
      </c>
      <c r="AU161" t="str">
        <v>2 3/4"</v>
      </c>
      <c r="AV161">
        <v>5</v>
      </c>
      <c r="AY161">
        <v>1</v>
      </c>
      <c r="AZ161" t="str">
        <v>PRT</v>
      </c>
    </row>
    <row r="162">
      <c r="AL162" t="str">
        <v>003415-008</v>
      </c>
      <c r="AM162" t="str">
        <v>Drill Pipe</v>
      </c>
      <c r="AN162">
        <v>7.625</v>
      </c>
      <c r="AP162" t="str">
        <v>6 RH</v>
      </c>
      <c r="AR162" t="str">
        <v>½"</v>
      </c>
      <c r="AS162" t="str">
        <v>35'</v>
      </c>
      <c r="AT162">
        <v>1675</v>
      </c>
      <c r="AU162" t="str">
        <v>3"</v>
      </c>
      <c r="AV162">
        <v>6</v>
      </c>
      <c r="AW162">
        <v>7</v>
      </c>
      <c r="AY162">
        <v>1</v>
      </c>
      <c r="AZ162" t="str">
        <v>NCR</v>
      </c>
    </row>
    <row r="163">
      <c r="AL163" t="str">
        <v>003415-005</v>
      </c>
      <c r="AM163" t="str">
        <v>Drill Pipe</v>
      </c>
      <c r="AN163">
        <v>7.625</v>
      </c>
      <c r="AP163" t="str">
        <v>5¼ RH</v>
      </c>
      <c r="AR163" t="str">
        <v>½"</v>
      </c>
      <c r="AS163" t="str">
        <v>30'</v>
      </c>
      <c r="AT163">
        <v>1435</v>
      </c>
      <c r="AU163" t="str">
        <v>2½"</v>
      </c>
      <c r="AV163">
        <v>6</v>
      </c>
      <c r="AW163">
        <v>7</v>
      </c>
      <c r="AY163">
        <v>1</v>
      </c>
      <c r="AZ163" t="str">
        <v>DRL</v>
      </c>
    </row>
    <row r="164">
      <c r="AL164" t="str">
        <v>003415-004</v>
      </c>
      <c r="AM164" t="str">
        <v>Drill Pipe</v>
      </c>
      <c r="AN164">
        <v>7.625</v>
      </c>
      <c r="AP164" t="str">
        <v>6 RH</v>
      </c>
      <c r="AR164" t="str">
        <v>½"</v>
      </c>
      <c r="AS164" t="str">
        <v>30'</v>
      </c>
      <c r="AT164">
        <v>1435</v>
      </c>
      <c r="AU164" t="str">
        <v>3"</v>
      </c>
      <c r="AV164">
        <v>6</v>
      </c>
      <c r="AW164">
        <v>7</v>
      </c>
      <c r="AY164">
        <v>1</v>
      </c>
      <c r="AZ164" t="str">
        <v>DRL</v>
      </c>
    </row>
    <row r="165">
      <c r="AL165" t="str">
        <v>003415-003</v>
      </c>
      <c r="AM165" t="str">
        <v>Drill Pipe</v>
      </c>
      <c r="AN165">
        <v>7.625</v>
      </c>
      <c r="AP165" t="str">
        <v>6 RH</v>
      </c>
      <c r="AR165" t="str">
        <v>½"</v>
      </c>
      <c r="AS165" t="str">
        <v>25'</v>
      </c>
      <c r="AT165">
        <v>1247</v>
      </c>
      <c r="AU165" t="str">
        <v>3"</v>
      </c>
      <c r="AV165">
        <v>6</v>
      </c>
      <c r="AW165">
        <v>7</v>
      </c>
      <c r="AY165">
        <v>1</v>
      </c>
      <c r="AZ165" t="str">
        <v>DRL</v>
      </c>
    </row>
    <row r="166">
      <c r="AL166" t="str">
        <v>017575-001</v>
      </c>
      <c r="AM166" t="str">
        <v>Drill Pipe</v>
      </c>
      <c r="AN166">
        <v>7.625</v>
      </c>
      <c r="AP166" t="str">
        <v>6 Beco</v>
      </c>
      <c r="AR166" t="str">
        <v>1"</v>
      </c>
      <c r="AS166" t="str">
        <v>40'</v>
      </c>
      <c r="AT166">
        <v>3429</v>
      </c>
      <c r="AU166" t="str">
        <v>3"</v>
      </c>
      <c r="AV166">
        <v>6</v>
      </c>
      <c r="AX166" t="str">
        <v>C90KD</v>
      </c>
      <c r="AY166">
        <v>1</v>
      </c>
      <c r="AZ166" t="str">
        <v>PRT</v>
      </c>
    </row>
    <row r="167">
      <c r="AL167" t="str">
        <v>003415-007</v>
      </c>
      <c r="AM167" t="str">
        <v>Drill Pipe</v>
      </c>
      <c r="AN167">
        <v>7.625</v>
      </c>
      <c r="AP167" t="str">
        <v>6 RH</v>
      </c>
      <c r="AR167" t="str">
        <v>1"</v>
      </c>
      <c r="AS167" t="str">
        <v>26'3"</v>
      </c>
      <c r="AT167">
        <v>2062</v>
      </c>
      <c r="AU167" t="str">
        <v>3"</v>
      </c>
      <c r="AV167">
        <v>6</v>
      </c>
      <c r="AW167">
        <v>7</v>
      </c>
      <c r="AY167">
        <v>1</v>
      </c>
      <c r="AZ167" t="str">
        <v>DRL</v>
      </c>
    </row>
    <row r="168">
      <c r="AL168" t="str">
        <v>003415-006</v>
      </c>
      <c r="AM168" t="str">
        <v>Drill Pipe</v>
      </c>
      <c r="AN168">
        <v>7.625</v>
      </c>
      <c r="AP168" t="str">
        <v>6 RH</v>
      </c>
      <c r="AR168" t="str">
        <v>1"</v>
      </c>
      <c r="AS168" t="str">
        <v>35'</v>
      </c>
      <c r="AT168">
        <v>2713</v>
      </c>
      <c r="AU168" t="str">
        <v>3"</v>
      </c>
      <c r="AV168">
        <v>6</v>
      </c>
      <c r="AW168">
        <v>7</v>
      </c>
      <c r="AY168">
        <v>1</v>
      </c>
      <c r="AZ168" t="str">
        <v>DRL</v>
      </c>
    </row>
    <row r="169">
      <c r="AL169" t="str">
        <v>003415-002</v>
      </c>
      <c r="AM169" t="str">
        <v>Drill Pipe</v>
      </c>
      <c r="AN169">
        <v>7.625</v>
      </c>
      <c r="AP169" t="str">
        <v>6 RH</v>
      </c>
      <c r="AR169" t="str">
        <v>1"</v>
      </c>
      <c r="AS169" t="str">
        <v>30'</v>
      </c>
      <c r="AT169">
        <v>2326</v>
      </c>
      <c r="AU169" t="str">
        <v>3"</v>
      </c>
      <c r="AV169">
        <v>6</v>
      </c>
      <c r="AW169">
        <v>7</v>
      </c>
      <c r="AY169">
        <v>1</v>
      </c>
      <c r="AZ169" t="str">
        <v>DRL</v>
      </c>
    </row>
    <row r="170">
      <c r="AL170" t="str">
        <v>003415-001</v>
      </c>
      <c r="AM170" t="str">
        <v>Drill Pipe</v>
      </c>
      <c r="AN170">
        <v>7.625</v>
      </c>
      <c r="AP170" t="str">
        <v>6 RH</v>
      </c>
      <c r="AR170" t="str">
        <v>1"</v>
      </c>
      <c r="AS170" t="str">
        <v>27'6"</v>
      </c>
      <c r="AT170">
        <v>2150</v>
      </c>
      <c r="AU170" t="str">
        <v>3"</v>
      </c>
      <c r="AV170">
        <v>6</v>
      </c>
      <c r="AW170">
        <v>7</v>
      </c>
      <c r="AY170">
        <v>1</v>
      </c>
      <c r="AZ170" t="str">
        <v>PRT</v>
      </c>
    </row>
    <row r="171">
      <c r="AL171" t="str">
        <v>023210-001</v>
      </c>
      <c r="AM171" t="str">
        <v>Drill Pipe</v>
      </c>
      <c r="AN171">
        <v>7.875</v>
      </c>
      <c r="AP171" t="str">
        <v>6 RH</v>
      </c>
      <c r="AR171" t="str">
        <v>5/8"</v>
      </c>
      <c r="AS171" t="str">
        <v>35'</v>
      </c>
      <c r="AT171">
        <v>1940</v>
      </c>
      <c r="AU171" t="str">
        <v>3"</v>
      </c>
      <c r="AV171">
        <v>6</v>
      </c>
      <c r="AX171" t="str">
        <v>D75K Special</v>
      </c>
      <c r="AY171">
        <v>1</v>
      </c>
      <c r="AZ171" t="str">
        <v>PRT</v>
      </c>
    </row>
    <row r="172">
      <c r="AL172" t="str">
        <v>013240-001</v>
      </c>
      <c r="AM172" t="str">
        <v>Drill Pipe</v>
      </c>
      <c r="AN172">
        <v>8</v>
      </c>
      <c r="AP172" t="str">
        <v>6 RH Beco</v>
      </c>
      <c r="AR172" t="str">
        <v>.500</v>
      </c>
      <c r="AS172" t="str">
        <v>35'</v>
      </c>
      <c r="AT172">
        <v>1675</v>
      </c>
      <c r="AU172" t="str">
        <v>3"</v>
      </c>
      <c r="AV172">
        <v>6</v>
      </c>
      <c r="AW172">
        <v>7</v>
      </c>
      <c r="AX172" t="str">
        <v>C75D</v>
      </c>
      <c r="AY172">
        <v>1</v>
      </c>
      <c r="AZ172" t="str">
        <v>SUB</v>
      </c>
    </row>
    <row r="173">
      <c r="AL173" t="str">
        <v>012709-001</v>
      </c>
      <c r="AM173" t="str">
        <v>Drill Pipe</v>
      </c>
      <c r="AN173">
        <v>8</v>
      </c>
      <c r="AP173" t="str">
        <v>6 RH Beco</v>
      </c>
      <c r="AR173" t="str">
        <v>.500</v>
      </c>
      <c r="AS173" t="str">
        <v>35'</v>
      </c>
      <c r="AT173">
        <v>1675</v>
      </c>
      <c r="AU173" t="str">
        <v>3"</v>
      </c>
      <c r="AV173">
        <v>6</v>
      </c>
      <c r="AW173">
        <v>7</v>
      </c>
      <c r="AX173" t="str">
        <v>C75D SPECIAL</v>
      </c>
      <c r="AY173">
        <v>1</v>
      </c>
      <c r="AZ173" t="str">
        <v>DRL</v>
      </c>
    </row>
    <row r="174">
      <c r="AL174" t="str">
        <v>003556-006</v>
      </c>
      <c r="AM174" t="str">
        <v>Drill Pipe</v>
      </c>
      <c r="AN174">
        <v>8.625</v>
      </c>
      <c r="AP174" t="str">
        <v>6 RH</v>
      </c>
      <c r="AR174" t="str">
        <v>.906</v>
      </c>
      <c r="AS174" t="str">
        <v>35'</v>
      </c>
      <c r="AT174">
        <v>2973</v>
      </c>
      <c r="AU174" t="str">
        <v>3"</v>
      </c>
      <c r="AV174">
        <v>7</v>
      </c>
      <c r="AW174">
        <v>7.75</v>
      </c>
      <c r="AX174" t="str">
        <v>C60/75</v>
      </c>
      <c r="AY174">
        <v>1</v>
      </c>
      <c r="AZ174" t="str">
        <v>DRL</v>
      </c>
    </row>
    <row r="175">
      <c r="AL175" t="str">
        <v>013220-001</v>
      </c>
      <c r="AM175" t="str">
        <v>Drill Pipe</v>
      </c>
      <c r="AN175">
        <v>8.625</v>
      </c>
      <c r="AO175" t="str">
        <v>8 5/8/4½</v>
      </c>
      <c r="AP175" t="str">
        <v>2 7/8 IF</v>
      </c>
      <c r="AQ175" t="str">
        <v>2 7/8 IF</v>
      </c>
      <c r="AR175" t="str">
        <v>½"</v>
      </c>
      <c r="AS175" t="str">
        <v>25'</v>
      </c>
      <c r="AT175">
        <v>1100</v>
      </c>
      <c r="AU175" t="str">
        <v>2"/7 5/8"</v>
      </c>
      <c r="AV175">
        <v>3</v>
      </c>
      <c r="AW175">
        <v>4</v>
      </c>
      <c r="AX175" t="str">
        <v>Special</v>
      </c>
    </row>
    <row r="176">
      <c r="AL176" t="str">
        <v>003556-003</v>
      </c>
      <c r="AM176" t="str">
        <v>Drill Pipe</v>
      </c>
      <c r="AN176">
        <v>8.625</v>
      </c>
      <c r="AP176" t="str">
        <v>6 RH</v>
      </c>
      <c r="AR176" t="str">
        <v>½"</v>
      </c>
      <c r="AS176" t="str">
        <v>30'</v>
      </c>
      <c r="AT176">
        <v>1800</v>
      </c>
      <c r="AU176" t="str">
        <v>3"</v>
      </c>
      <c r="AV176">
        <v>7</v>
      </c>
      <c r="AW176">
        <v>7.75</v>
      </c>
      <c r="AY176">
        <v>1</v>
      </c>
      <c r="AZ176" t="str">
        <v>PRT</v>
      </c>
    </row>
    <row r="177">
      <c r="AL177" t="str">
        <v>003556-002</v>
      </c>
      <c r="AM177" t="str">
        <v>Drill Pipe</v>
      </c>
      <c r="AN177">
        <v>8.625</v>
      </c>
      <c r="AP177" t="str">
        <v>6 RH</v>
      </c>
      <c r="AR177" t="str">
        <v>½"</v>
      </c>
      <c r="AS177" t="str">
        <v>25'</v>
      </c>
      <c r="AT177">
        <v>1500</v>
      </c>
      <c r="AU177" t="str">
        <v>3"</v>
      </c>
      <c r="AV177">
        <v>7</v>
      </c>
      <c r="AW177">
        <v>8</v>
      </c>
      <c r="AX177" t="str">
        <v>Kaiser Coal</v>
      </c>
      <c r="AY177">
        <v>1</v>
      </c>
      <c r="AZ177" t="str">
        <v>DRL</v>
      </c>
    </row>
    <row r="178">
      <c r="AL178" t="str">
        <v>014854-002</v>
      </c>
      <c r="AM178" t="str">
        <v>Drill Pipe</v>
      </c>
      <c r="AN178">
        <v>8.625</v>
      </c>
      <c r="AP178" t="str">
        <v>5 RH</v>
      </c>
      <c r="AR178" t="str">
        <v>1"</v>
      </c>
      <c r="AS178" t="str">
        <v>30'</v>
      </c>
      <c r="AT178">
        <v>3182</v>
      </c>
      <c r="AU178" t="str">
        <v>3"</v>
      </c>
      <c r="AV178">
        <v>8</v>
      </c>
      <c r="AW178" t="str">
        <v xml:space="preserve"> 6 lg</v>
      </c>
      <c r="AX178" t="str">
        <v>C90K</v>
      </c>
      <c r="AY178">
        <v>1</v>
      </c>
      <c r="AZ178" t="str">
        <v>PRT</v>
      </c>
    </row>
    <row r="179">
      <c r="AL179" t="str">
        <v>014854-001</v>
      </c>
      <c r="AM179" t="str">
        <v>Drill Pipe</v>
      </c>
      <c r="AN179">
        <v>8.625</v>
      </c>
      <c r="AP179" t="str">
        <v>6 RH</v>
      </c>
      <c r="AR179" t="str">
        <v>1"</v>
      </c>
      <c r="AS179" t="str">
        <v>40'</v>
      </c>
      <c r="AT179">
        <v>3429</v>
      </c>
      <c r="AU179" t="str">
        <v>3"</v>
      </c>
      <c r="AV179">
        <v>7</v>
      </c>
      <c r="AX179" t="str">
        <v>C90KD</v>
      </c>
      <c r="AY179">
        <v>1</v>
      </c>
      <c r="AZ179" t="str">
        <v>PRT</v>
      </c>
    </row>
    <row r="180">
      <c r="AL180" t="str">
        <v>003556-005</v>
      </c>
      <c r="AM180" t="str">
        <v>Drill Pipe</v>
      </c>
      <c r="AN180">
        <v>8.625</v>
      </c>
      <c r="AP180" t="str">
        <v>6 RH</v>
      </c>
      <c r="AR180" t="str">
        <v>1"</v>
      </c>
      <c r="AS180" t="str">
        <v>30'</v>
      </c>
      <c r="AT180">
        <v>2300</v>
      </c>
      <c r="AU180" t="str">
        <v>3"</v>
      </c>
      <c r="AV180">
        <v>7</v>
      </c>
      <c r="AW180">
        <v>7.75</v>
      </c>
      <c r="AY180">
        <v>1</v>
      </c>
      <c r="AZ180" t="str">
        <v>DRL</v>
      </c>
    </row>
    <row r="181">
      <c r="AL181" t="str">
        <v>003556-004</v>
      </c>
      <c r="AM181" t="str">
        <v>Drill Pipe</v>
      </c>
      <c r="AN181">
        <v>8.625</v>
      </c>
      <c r="AP181" t="str">
        <v>6 RH</v>
      </c>
      <c r="AR181" t="str">
        <v>1"</v>
      </c>
      <c r="AS181" t="str">
        <v>27'6"</v>
      </c>
      <c r="AT181">
        <v>2566</v>
      </c>
      <c r="AU181" t="str">
        <v>3"</v>
      </c>
      <c r="AV181">
        <v>7</v>
      </c>
      <c r="AW181">
        <v>7.75</v>
      </c>
      <c r="AY181">
        <v>1</v>
      </c>
      <c r="AZ181" t="str">
        <v>END</v>
      </c>
    </row>
    <row r="182">
      <c r="AL182" t="str">
        <v>003556-001</v>
      </c>
      <c r="AM182" t="str">
        <v>Drill Pipe</v>
      </c>
      <c r="AN182">
        <v>8.625</v>
      </c>
      <c r="AP182" t="str">
        <v>6 RH</v>
      </c>
      <c r="AR182" t="str">
        <v>1"</v>
      </c>
      <c r="AS182" t="str">
        <v>30'</v>
      </c>
      <c r="AT182">
        <v>2800</v>
      </c>
      <c r="AU182" t="str">
        <v>3"</v>
      </c>
      <c r="AV182">
        <v>7</v>
      </c>
      <c r="AW182">
        <v>7.75</v>
      </c>
      <c r="AY182">
        <v>1</v>
      </c>
      <c r="AZ182" t="str">
        <v>PRT</v>
      </c>
    </row>
    <row r="183">
      <c r="AL183" t="str">
        <v>012570-001</v>
      </c>
      <c r="AM183" t="str">
        <v>Drill Pipe</v>
      </c>
      <c r="AN183">
        <v>9</v>
      </c>
      <c r="AP183" t="str">
        <v>6 RH</v>
      </c>
      <c r="AR183" t="str">
        <v>.500</v>
      </c>
      <c r="AS183" t="str">
        <v>35'</v>
      </c>
      <c r="AT183">
        <v>1961</v>
      </c>
      <c r="AU183" t="str">
        <v>3"</v>
      </c>
      <c r="AV183">
        <v>7</v>
      </c>
      <c r="AW183">
        <v>7.75</v>
      </c>
      <c r="AX183" t="str">
        <v>C75D</v>
      </c>
      <c r="AY183">
        <v>1</v>
      </c>
      <c r="AZ183" t="str">
        <v>DRL</v>
      </c>
    </row>
    <row r="184">
      <c r="AL184" t="str">
        <v>003556-007</v>
      </c>
      <c r="AM184" t="str">
        <v>Drill Pipe</v>
      </c>
      <c r="AN184">
        <v>9.625</v>
      </c>
      <c r="AP184" t="str">
        <v>6 RH</v>
      </c>
      <c r="AR184" t="str">
        <v>½"</v>
      </c>
      <c r="AS184" t="str">
        <v>25'</v>
      </c>
      <c r="AT184">
        <v>1500</v>
      </c>
      <c r="AU184" t="str">
        <v>3"</v>
      </c>
      <c r="AV184">
        <v>7</v>
      </c>
      <c r="AW184">
        <v>7.75</v>
      </c>
      <c r="AX184" t="str">
        <v>Spec. Korean</v>
      </c>
      <c r="AY184">
        <v>1</v>
      </c>
      <c r="AZ184" t="str">
        <v>PRT</v>
      </c>
    </row>
    <row r="185">
      <c r="AL185" t="str">
        <v>015963-001</v>
      </c>
      <c r="AM185" t="str">
        <v>Drill Pipe</v>
      </c>
      <c r="AN185">
        <v>9.625</v>
      </c>
      <c r="AP185" t="str">
        <v>6 RH</v>
      </c>
      <c r="AR185" t="str">
        <v>1"</v>
      </c>
      <c r="AS185" t="str">
        <v>40'</v>
      </c>
      <c r="AT185">
        <v>3545</v>
      </c>
      <c r="AU185" t="str">
        <v>3"</v>
      </c>
      <c r="AV185">
        <v>7</v>
      </c>
      <c r="AW185">
        <v>7</v>
      </c>
      <c r="AX185" t="str">
        <v>C90KD</v>
      </c>
      <c r="AY185">
        <v>1</v>
      </c>
      <c r="AZ185" t="str">
        <v>DRL</v>
      </c>
    </row>
    <row r="186">
      <c r="AL186" t="str">
        <v>014855-001</v>
      </c>
      <c r="AM186" t="str">
        <v>Drill Pipe</v>
      </c>
      <c r="AN186">
        <v>9.625</v>
      </c>
      <c r="AP186" t="str">
        <v>6 RH</v>
      </c>
      <c r="AR186" t="str">
        <v>1"</v>
      </c>
      <c r="AS186" t="str">
        <v>40'</v>
      </c>
      <c r="AT186">
        <v>4204</v>
      </c>
      <c r="AU186" t="str">
        <v>3"</v>
      </c>
      <c r="AV186">
        <v>7</v>
      </c>
      <c r="AX186" t="str">
        <v>C90KD</v>
      </c>
      <c r="AY186">
        <v>1</v>
      </c>
      <c r="AZ186" t="str">
        <v>SCR</v>
      </c>
    </row>
    <row r="187">
      <c r="AL187" t="str">
        <v>011363-001</v>
      </c>
      <c r="AM187" t="str">
        <v>Drill Pipe</v>
      </c>
      <c r="AN187">
        <v>9.625</v>
      </c>
      <c r="AP187" t="str">
        <v>6 RH</v>
      </c>
      <c r="AR187" t="str">
        <v>3/4"</v>
      </c>
      <c r="AS187" t="str">
        <v>35'</v>
      </c>
      <c r="AT187">
        <v>3000</v>
      </c>
      <c r="AU187" t="str">
        <v>3"</v>
      </c>
      <c r="AV187">
        <v>7</v>
      </c>
      <c r="AW187">
        <v>7.75</v>
      </c>
      <c r="AX187" t="str">
        <v>C75D</v>
      </c>
      <c r="AY187">
        <v>1</v>
      </c>
      <c r="AZ187" t="str">
        <v>PRT</v>
      </c>
    </row>
    <row r="188">
      <c r="AL188" t="str">
        <v>005706-001</v>
      </c>
      <c r="AM188" t="str">
        <v>Drill Pipe</v>
      </c>
      <c r="AN188">
        <v>10</v>
      </c>
      <c r="AP188" t="str">
        <v>6 5/8 API Box</v>
      </c>
      <c r="AR188" t="str">
        <v>½"</v>
      </c>
      <c r="AS188" t="str">
        <v>26'3"</v>
      </c>
      <c r="AT188">
        <v>1800</v>
      </c>
      <c r="AU188" t="str">
        <v>3½"</v>
      </c>
      <c r="AV188" t="str">
        <v>8X3</v>
      </c>
      <c r="AW188" t="str">
        <v>8X3</v>
      </c>
      <c r="AX188" t="str">
        <v>Micropipe</v>
      </c>
      <c r="AY188">
        <v>1</v>
      </c>
      <c r="AZ188" t="str">
        <v>PRT</v>
      </c>
    </row>
    <row r="189">
      <c r="AL189" t="str">
        <v>014856-002</v>
      </c>
      <c r="AM189" t="str">
        <v>Drill Pipe</v>
      </c>
      <c r="AN189">
        <v>10</v>
      </c>
      <c r="AP189" t="str">
        <v>8 RH</v>
      </c>
      <c r="AR189" t="str">
        <v>1"</v>
      </c>
      <c r="AS189" t="str">
        <v>30'</v>
      </c>
      <c r="AT189">
        <v>3245</v>
      </c>
      <c r="AU189" t="str">
        <v>5"</v>
      </c>
      <c r="AV189">
        <v>8</v>
      </c>
      <c r="AX189" t="str">
        <v>C90KD</v>
      </c>
      <c r="AY189">
        <v>1</v>
      </c>
      <c r="AZ189" t="str">
        <v>PRT</v>
      </c>
    </row>
    <row r="190">
      <c r="AL190" t="str">
        <v>014856-001</v>
      </c>
      <c r="AM190" t="str">
        <v>Drill Pipe</v>
      </c>
      <c r="AN190">
        <v>10</v>
      </c>
      <c r="AP190" t="str">
        <v>8 RH</v>
      </c>
      <c r="AR190" t="str">
        <v>1"</v>
      </c>
      <c r="AS190" t="str">
        <v>40'</v>
      </c>
      <c r="AT190">
        <v>4204</v>
      </c>
      <c r="AU190" t="str">
        <v>5"</v>
      </c>
      <c r="AV190">
        <v>8</v>
      </c>
      <c r="AX190" t="str">
        <v>C90KD</v>
      </c>
      <c r="AY190">
        <v>1</v>
      </c>
      <c r="AZ190" t="str">
        <v>PRT</v>
      </c>
    </row>
    <row r="191">
      <c r="AL191" t="str">
        <v>005706-002</v>
      </c>
      <c r="AM191" t="str">
        <v>Drill Pipe</v>
      </c>
      <c r="AN191">
        <v>10</v>
      </c>
      <c r="AP191" t="str">
        <v>6 5/8 API Box</v>
      </c>
      <c r="AR191" t="str">
        <v>1"</v>
      </c>
      <c r="AS191" t="str">
        <v>26'3"</v>
      </c>
      <c r="AT191">
        <v>2875</v>
      </c>
      <c r="AU191" t="str">
        <v>3½"</v>
      </c>
      <c r="AV191" t="str">
        <v>8X3</v>
      </c>
      <c r="AW191" t="str">
        <v>8X3</v>
      </c>
      <c r="AX191" t="str">
        <v>Micropipe</v>
      </c>
      <c r="AY191">
        <v>1</v>
      </c>
      <c r="AZ191" t="str">
        <v>PRT</v>
      </c>
    </row>
    <row r="192">
      <c r="AL192" t="str">
        <v>005496-001</v>
      </c>
      <c r="AM192" t="str">
        <v>Drill Pipe</v>
      </c>
      <c r="AN192">
        <v>10</v>
      </c>
      <c r="AP192" t="str">
        <v>3½ API</v>
      </c>
      <c r="AR192" t="str">
        <v>3/8"</v>
      </c>
      <c r="AS192" t="str">
        <v>25'</v>
      </c>
      <c r="AT192">
        <v>1453</v>
      </c>
      <c r="AU192" t="str">
        <v>1 3/4"</v>
      </c>
      <c r="AV192" t="str">
        <v>3x1½</v>
      </c>
      <c r="AX192" t="str">
        <v>Fabricated</v>
      </c>
      <c r="AY192">
        <v>1</v>
      </c>
      <c r="AZ192" t="str">
        <v>DRL</v>
      </c>
    </row>
    <row r="193">
      <c r="AL193" t="str">
        <v>007354-001</v>
      </c>
      <c r="AM193" t="str">
        <v>Drill Pipe</v>
      </c>
      <c r="AN193">
        <v>10.75</v>
      </c>
      <c r="AP193" t="str">
        <v>6 RH/6 5/8 API</v>
      </c>
      <c r="AR193" t="str">
        <v>½"</v>
      </c>
      <c r="AS193" t="str">
        <v>25'</v>
      </c>
      <c r="AT193">
        <v>1775</v>
      </c>
      <c r="AU193" t="str">
        <v>3"</v>
      </c>
      <c r="AV193">
        <v>8</v>
      </c>
      <c r="AX193" t="str">
        <v>Spec Cerrejon Demo</v>
      </c>
      <c r="AY193">
        <v>1</v>
      </c>
      <c r="AZ193" t="str">
        <v>PRT</v>
      </c>
    </row>
    <row r="194">
      <c r="AL194" t="str">
        <v>020481-001</v>
      </c>
      <c r="AM194" t="str">
        <v>Drill Pipe</v>
      </c>
      <c r="AN194">
        <v>10.75</v>
      </c>
      <c r="AP194" t="str">
        <v>8 RH BOX</v>
      </c>
      <c r="AQ194" t="str">
        <v>8 RH BOX</v>
      </c>
      <c r="AR194" t="str">
        <v>1"</v>
      </c>
      <c r="AS194" t="str">
        <v>33'</v>
      </c>
      <c r="AT194">
        <v>4000</v>
      </c>
      <c r="AU194">
        <v>5</v>
      </c>
      <c r="AV194">
        <v>8</v>
      </c>
      <c r="AW194" t="str">
        <v>6 lg</v>
      </c>
      <c r="AY194">
        <v>1</v>
      </c>
      <c r="AZ194" t="str">
        <v>PRT</v>
      </c>
    </row>
    <row r="195">
      <c r="AL195" t="str">
        <v>014857-003</v>
      </c>
      <c r="AM195" t="str">
        <v>Drill Pipe</v>
      </c>
      <c r="AN195">
        <v>10.75</v>
      </c>
      <c r="AP195" t="str">
        <v>8 RH</v>
      </c>
      <c r="AR195" t="str">
        <v>1"</v>
      </c>
      <c r="AS195" t="str">
        <v>32'6"</v>
      </c>
      <c r="AT195">
        <v>3775</v>
      </c>
      <c r="AU195" t="str">
        <v>5"</v>
      </c>
      <c r="AV195">
        <v>8</v>
      </c>
      <c r="AX195" t="str">
        <v>C90KSP</v>
      </c>
      <c r="AY195">
        <v>1</v>
      </c>
      <c r="AZ195" t="str">
        <v>PRT</v>
      </c>
    </row>
    <row r="196">
      <c r="AL196" t="str">
        <v>014857-002</v>
      </c>
      <c r="AM196" t="str">
        <v>Drill Pipe</v>
      </c>
      <c r="AN196">
        <v>10.75</v>
      </c>
      <c r="AP196" t="str">
        <v>8 RH</v>
      </c>
      <c r="AR196" t="str">
        <v>1"</v>
      </c>
      <c r="AS196" t="str">
        <v>30'</v>
      </c>
      <c r="AT196">
        <v>3550</v>
      </c>
      <c r="AU196" t="str">
        <v>5"</v>
      </c>
      <c r="AV196">
        <v>8</v>
      </c>
      <c r="AX196" t="str">
        <v>C90KD</v>
      </c>
      <c r="AY196">
        <v>1</v>
      </c>
      <c r="AZ196" t="str">
        <v>PRT</v>
      </c>
    </row>
    <row r="197">
      <c r="AL197" t="str">
        <v>014857-001</v>
      </c>
      <c r="AM197" t="str">
        <v>Drill Pipe</v>
      </c>
      <c r="AN197">
        <v>10.75</v>
      </c>
      <c r="AP197" t="str">
        <v>8 RH</v>
      </c>
      <c r="AR197" t="str">
        <v>1"</v>
      </c>
      <c r="AS197" t="str">
        <v>40'</v>
      </c>
      <c r="AT197">
        <v>4642</v>
      </c>
      <c r="AU197" t="str">
        <v>5"</v>
      </c>
      <c r="AV197">
        <v>8</v>
      </c>
      <c r="AX197" t="str">
        <v>C90KD</v>
      </c>
      <c r="AY197">
        <v>1</v>
      </c>
      <c r="AZ197" t="str">
        <v>PRT</v>
      </c>
    </row>
    <row r="198">
      <c r="AL198" t="str">
        <v>004799-001</v>
      </c>
      <c r="AM198" t="str">
        <v>Drill Pipe</v>
      </c>
      <c r="AN198">
        <v>10.75</v>
      </c>
      <c r="AP198" t="str">
        <v>8 RH</v>
      </c>
      <c r="AR198" t="str">
        <v>1"</v>
      </c>
      <c r="AS198" t="str">
        <v>27'6"</v>
      </c>
      <c r="AT198">
        <v>3330</v>
      </c>
      <c r="AU198" t="str">
        <v>5"</v>
      </c>
      <c r="AV198">
        <v>8</v>
      </c>
      <c r="AW198">
        <v>10</v>
      </c>
      <c r="AY198">
        <v>1</v>
      </c>
      <c r="AZ198" t="str">
        <v>DRL</v>
      </c>
    </row>
    <row r="199">
      <c r="AL199" t="str">
        <v>004799-002</v>
      </c>
      <c r="AM199" t="str">
        <v>Drill Pipe</v>
      </c>
      <c r="AN199">
        <v>10.75</v>
      </c>
      <c r="AP199" t="str">
        <v>8 RH</v>
      </c>
      <c r="AR199" t="str">
        <v>5/8"</v>
      </c>
      <c r="AS199" t="str">
        <v>30'</v>
      </c>
      <c r="AT199">
        <v>2650</v>
      </c>
      <c r="AU199" t="str">
        <v>5"</v>
      </c>
      <c r="AV199">
        <v>8</v>
      </c>
      <c r="AW199">
        <v>10</v>
      </c>
      <c r="AY199">
        <v>1</v>
      </c>
      <c r="AZ199" t="str">
        <v>DRL</v>
      </c>
    </row>
    <row r="200">
      <c r="AL200" t="str">
        <v>005706-003</v>
      </c>
      <c r="AM200" t="str">
        <v>Drill Pipe</v>
      </c>
      <c r="AN200">
        <v>12</v>
      </c>
      <c r="AP200" t="str">
        <v>6 5/8 API Box</v>
      </c>
      <c r="AR200" t="str">
        <v>½"</v>
      </c>
      <c r="AS200" t="str">
        <v>26'3"</v>
      </c>
      <c r="AT200">
        <v>2200</v>
      </c>
      <c r="AU200" t="str">
        <v>3½"</v>
      </c>
      <c r="AV200" t="str">
        <v>9X3</v>
      </c>
      <c r="AW200" t="str">
        <v>9X3</v>
      </c>
      <c r="AX200" t="str">
        <v>Micropipe</v>
      </c>
      <c r="AY200">
        <v>1</v>
      </c>
      <c r="AZ200" t="str">
        <v>PRT</v>
      </c>
    </row>
    <row r="201">
      <c r="AL201" t="str">
        <v>005706-004</v>
      </c>
      <c r="AM201" t="str">
        <v>Drill Pipe</v>
      </c>
      <c r="AN201">
        <v>12</v>
      </c>
      <c r="AP201" t="str">
        <v>6 5/8 API Box</v>
      </c>
      <c r="AR201" t="str">
        <v>1"</v>
      </c>
      <c r="AS201" t="str">
        <v>26'3"</v>
      </c>
      <c r="AT201">
        <v>3500</v>
      </c>
      <c r="AU201" t="str">
        <v>3½"</v>
      </c>
      <c r="AV201" t="str">
        <v>9X3</v>
      </c>
      <c r="AW201" t="str">
        <v>9X3</v>
      </c>
      <c r="AX201" t="str">
        <v>Micropipe</v>
      </c>
      <c r="AY201">
        <v>1</v>
      </c>
      <c r="AZ201" t="str">
        <v>PRT</v>
      </c>
    </row>
    <row r="202">
      <c r="AL202" t="str">
        <v>005496-002</v>
      </c>
      <c r="AM202" t="str">
        <v>Drill Pipe</v>
      </c>
      <c r="AN202">
        <v>12</v>
      </c>
      <c r="AP202" t="str">
        <v>3½ API</v>
      </c>
      <c r="AR202" t="str">
        <v>3/8"</v>
      </c>
      <c r="AS202" t="str">
        <v>25'</v>
      </c>
      <c r="AT202">
        <v>1662</v>
      </c>
      <c r="AU202" t="str">
        <v>1 3/4"</v>
      </c>
      <c r="AV202" t="str">
        <v>3x1½</v>
      </c>
      <c r="AX202" t="str">
        <v>Fabricated</v>
      </c>
      <c r="AY202">
        <v>1</v>
      </c>
      <c r="AZ202" t="str">
        <v>DRL</v>
      </c>
    </row>
    <row r="203">
      <c r="AL203" t="str">
        <v>017072-001</v>
      </c>
      <c r="AM203" t="str">
        <v>Drill Pipe</v>
      </c>
      <c r="AN203" t="str">
        <v>10¼</v>
      </c>
      <c r="AP203" t="str">
        <v>8 Beco</v>
      </c>
      <c r="AR203" t="str">
        <v>1"</v>
      </c>
      <c r="AS203" t="str">
        <v>33'</v>
      </c>
      <c r="AT203">
        <v>3700</v>
      </c>
      <c r="AU203" t="str">
        <v>5"</v>
      </c>
      <c r="AV203">
        <v>8</v>
      </c>
      <c r="AW203">
        <v>8</v>
      </c>
      <c r="AX203" t="str">
        <v>C90SP</v>
      </c>
      <c r="AY203">
        <v>1</v>
      </c>
      <c r="AZ203" t="str">
        <v>PRT</v>
      </c>
    </row>
    <row r="204">
      <c r="AL204" t="str">
        <v>021151-001</v>
      </c>
      <c r="AM204" t="str">
        <v>Drill Pipe</v>
      </c>
      <c r="AN204" t="str">
        <v>12¼</v>
      </c>
      <c r="AP204" t="str">
        <v>8 RH BOX</v>
      </c>
      <c r="AQ204" t="str">
        <v>8 RH</v>
      </c>
      <c r="AS204" t="str">
        <v>33"</v>
      </c>
      <c r="AT204">
        <v>4000</v>
      </c>
      <c r="AU204" t="str">
        <v>6¼"</v>
      </c>
      <c r="AV204">
        <v>9</v>
      </c>
      <c r="AW204" t="str">
        <v>6 lg</v>
      </c>
      <c r="AX204" t="str">
        <v>D90KSP</v>
      </c>
      <c r="AY204">
        <v>1</v>
      </c>
      <c r="AZ204" t="str">
        <v>PRT</v>
      </c>
    </row>
    <row r="205">
      <c r="AL205" t="str">
        <v>004686-006</v>
      </c>
      <c r="AM205" t="str">
        <v>Drill Pipe</v>
      </c>
      <c r="AN205" t="str">
        <v>3½</v>
      </c>
      <c r="AP205" t="str">
        <v>2 3/8 API</v>
      </c>
      <c r="AR205" t="str">
        <v>.300</v>
      </c>
      <c r="AS205" t="str">
        <v>20'</v>
      </c>
      <c r="AT205">
        <v>260</v>
      </c>
      <c r="AU205" t="str">
        <v>1 3/4"</v>
      </c>
      <c r="AV205">
        <v>2.75</v>
      </c>
      <c r="AW205" t="str">
        <v>3¼</v>
      </c>
      <c r="AY205">
        <v>1</v>
      </c>
      <c r="AZ205" t="str">
        <v>DRL</v>
      </c>
    </row>
    <row r="206">
      <c r="AL206" t="str">
        <v>004686-002</v>
      </c>
      <c r="AM206" t="str">
        <v>Drill Pipe</v>
      </c>
      <c r="AN206" t="str">
        <v>3½</v>
      </c>
      <c r="AP206" t="str">
        <v>2 3/8 API</v>
      </c>
      <c r="AR206" t="str">
        <v>.368</v>
      </c>
      <c r="AS206" t="str">
        <v>20'</v>
      </c>
      <c r="AT206">
        <v>300</v>
      </c>
      <c r="AU206" t="str">
        <v>1 3/4"</v>
      </c>
      <c r="AV206">
        <v>2.75</v>
      </c>
      <c r="AW206" t="str">
        <v>3¼</v>
      </c>
      <c r="AY206">
        <v>1</v>
      </c>
      <c r="AZ206" t="str">
        <v>PRT</v>
      </c>
    </row>
    <row r="207">
      <c r="AL207" t="str">
        <v>004686-001</v>
      </c>
      <c r="AM207" t="str">
        <v>Drill Pipe</v>
      </c>
      <c r="AN207" t="str">
        <v>3½</v>
      </c>
      <c r="AP207" t="str">
        <v>2 3/8 API</v>
      </c>
      <c r="AR207" t="str">
        <v>.368</v>
      </c>
      <c r="AS207" t="str">
        <v>25'</v>
      </c>
      <c r="AT207">
        <v>365</v>
      </c>
      <c r="AU207" t="str">
        <v>1 3/4"</v>
      </c>
      <c r="AV207">
        <v>2.75</v>
      </c>
      <c r="AW207" t="str">
        <v>3¼</v>
      </c>
      <c r="AY207">
        <v>1</v>
      </c>
      <c r="AZ207" t="str">
        <v>DRL</v>
      </c>
    </row>
    <row r="208">
      <c r="AL208" t="str">
        <v>004686-005</v>
      </c>
      <c r="AM208" t="str">
        <v>Drill Pipe</v>
      </c>
      <c r="AN208" t="str">
        <v>3½</v>
      </c>
      <c r="AP208" t="str">
        <v>2 3/8 API</v>
      </c>
      <c r="AR208" t="str">
        <v>.500</v>
      </c>
      <c r="AS208" t="str">
        <v>25'</v>
      </c>
      <c r="AT208">
        <v>432</v>
      </c>
      <c r="AU208" t="str">
        <v>1 3/4"</v>
      </c>
      <c r="AV208">
        <v>2.75</v>
      </c>
      <c r="AW208" t="str">
        <v>3¼</v>
      </c>
      <c r="AY208">
        <v>1</v>
      </c>
      <c r="AZ208" t="str">
        <v>DRL</v>
      </c>
    </row>
    <row r="209">
      <c r="AL209" t="str">
        <v>004686-004</v>
      </c>
      <c r="AM209" t="str">
        <v>Drill Pipe</v>
      </c>
      <c r="AN209" t="str">
        <v>3½</v>
      </c>
      <c r="AP209" t="str">
        <v>2 3/8 API</v>
      </c>
      <c r="AR209" t="str">
        <v>.500</v>
      </c>
      <c r="AS209" t="str">
        <v>30'</v>
      </c>
      <c r="AT209">
        <v>512</v>
      </c>
      <c r="AU209" t="str">
        <v>1 3/4"</v>
      </c>
      <c r="AV209">
        <v>2.75</v>
      </c>
      <c r="AW209" t="str">
        <v>3¼</v>
      </c>
      <c r="AY209">
        <v>1</v>
      </c>
      <c r="AZ209" t="str">
        <v>DRL</v>
      </c>
    </row>
    <row r="210">
      <c r="AL210" t="str">
        <v>004686-003</v>
      </c>
      <c r="AM210" t="str">
        <v>Drill Pipe</v>
      </c>
      <c r="AN210" t="str">
        <v>3½</v>
      </c>
      <c r="AP210" t="str">
        <v>2 3/8 API</v>
      </c>
      <c r="AR210" t="str">
        <v>.750</v>
      </c>
      <c r="AS210" t="str">
        <v>20'</v>
      </c>
      <c r="AT210">
        <v>465</v>
      </c>
      <c r="AU210" t="str">
        <v>1 3/4"</v>
      </c>
      <c r="AV210">
        <v>2.75</v>
      </c>
      <c r="AW210" t="str">
        <v>3¼</v>
      </c>
      <c r="AY210">
        <v>1</v>
      </c>
      <c r="AZ210" t="str">
        <v>DRL</v>
      </c>
    </row>
    <row r="211">
      <c r="AL211" t="str">
        <v>020493-003</v>
      </c>
      <c r="AM211" t="str">
        <v>Drill Pipe</v>
      </c>
      <c r="AN211" t="str">
        <v>3½</v>
      </c>
      <c r="AP211" t="str">
        <v>2 7/8 API</v>
      </c>
      <c r="AR211" t="str">
        <v>3/8"</v>
      </c>
      <c r="AS211" t="str">
        <v>9'6"</v>
      </c>
      <c r="AT211">
        <v>159</v>
      </c>
      <c r="AU211" t="str">
        <v>1¼"</v>
      </c>
      <c r="AV211">
        <v>2.75</v>
      </c>
      <c r="AY211">
        <v>1</v>
      </c>
      <c r="AZ211" t="str">
        <v>PRT</v>
      </c>
    </row>
    <row r="212">
      <c r="AL212" t="str">
        <v>020493-002</v>
      </c>
      <c r="AM212" t="str">
        <v>Drill Pipe</v>
      </c>
      <c r="AN212" t="str">
        <v>3½</v>
      </c>
      <c r="AP212" t="str">
        <v>2 7/8 API</v>
      </c>
      <c r="AR212" t="str">
        <v>3/8"</v>
      </c>
      <c r="AS212" t="str">
        <v>10'6"</v>
      </c>
      <c r="AT212">
        <v>172</v>
      </c>
      <c r="AU212" t="str">
        <v>1¼"</v>
      </c>
      <c r="AV212">
        <v>2.75</v>
      </c>
      <c r="AY212">
        <v>1</v>
      </c>
      <c r="AZ212" t="str">
        <v>PRT</v>
      </c>
    </row>
    <row r="213">
      <c r="AL213" t="str">
        <v>020493-001</v>
      </c>
      <c r="AM213" t="str">
        <v>Drill Pipe</v>
      </c>
      <c r="AN213" t="str">
        <v>3½</v>
      </c>
      <c r="AP213" t="str">
        <v>2 7/8 API</v>
      </c>
      <c r="AR213" t="str">
        <v>3/8"</v>
      </c>
      <c r="AS213" t="str">
        <v>13'</v>
      </c>
      <c r="AT213">
        <v>204</v>
      </c>
      <c r="AU213" t="str">
        <v>1¼"</v>
      </c>
      <c r="AV213">
        <v>2.75</v>
      </c>
      <c r="AY213">
        <v>1</v>
      </c>
      <c r="AZ213" t="str">
        <v>PRT</v>
      </c>
    </row>
    <row r="214">
      <c r="AL214" t="str">
        <v>002684-001</v>
      </c>
      <c r="AM214" t="str">
        <v>Drill Pipe</v>
      </c>
      <c r="AN214" t="str">
        <v>3½</v>
      </c>
      <c r="AP214" t="str">
        <v>2 3/8 API</v>
      </c>
      <c r="AR214" t="str">
        <v>3/8"</v>
      </c>
      <c r="AS214" t="str">
        <v>30'</v>
      </c>
      <c r="AT214">
        <v>400</v>
      </c>
      <c r="AU214" t="str">
        <v>1"</v>
      </c>
      <c r="AV214">
        <v>3</v>
      </c>
      <c r="AW214">
        <v>4</v>
      </c>
      <c r="AX214" t="str">
        <v>Obsolete</v>
      </c>
      <c r="AY214">
        <v>1</v>
      </c>
      <c r="AZ214" t="str">
        <v>DRL</v>
      </c>
    </row>
    <row r="215">
      <c r="AL215" t="str">
        <v>002638-001</v>
      </c>
      <c r="AM215" t="str">
        <v>Drill Pipe</v>
      </c>
      <c r="AN215" t="str">
        <v>3½</v>
      </c>
      <c r="AP215" t="str">
        <v>3 1/8D131</v>
      </c>
      <c r="AR215" t="str">
        <v>Duotube</v>
      </c>
      <c r="AS215" t="str">
        <v>20'</v>
      </c>
      <c r="AT215">
        <v>500</v>
      </c>
      <c r="AV215">
        <v>3</v>
      </c>
      <c r="AW215">
        <v>3</v>
      </c>
      <c r="AX215" t="str">
        <v>Obsolete</v>
      </c>
      <c r="AY215">
        <v>1</v>
      </c>
      <c r="AZ215" t="str">
        <v>DRL</v>
      </c>
    </row>
    <row r="216">
      <c r="AL216" t="str">
        <v>014130-001</v>
      </c>
      <c r="AM216" t="str">
        <v>Drill Pipe</v>
      </c>
      <c r="AN216" t="str">
        <v>4½</v>
      </c>
      <c r="AP216" t="str">
        <v>NC 35</v>
      </c>
      <c r="AR216" t="str">
        <v>.337</v>
      </c>
      <c r="AS216" t="str">
        <v>20'</v>
      </c>
      <c r="AT216">
        <v>375</v>
      </c>
      <c r="AU216" t="str">
        <v>2 1/8"</v>
      </c>
      <c r="AV216">
        <v>3</v>
      </c>
      <c r="AW216">
        <v>4.16</v>
      </c>
    </row>
    <row r="217">
      <c r="AL217" t="str">
        <v>002687-003</v>
      </c>
      <c r="AM217" t="str">
        <v>Drill Pipe</v>
      </c>
      <c r="AN217" t="str">
        <v>4½</v>
      </c>
      <c r="AP217" t="str">
        <v>2 7/8 IF</v>
      </c>
      <c r="AR217" t="str">
        <v>.337</v>
      </c>
      <c r="AS217" t="str">
        <v>30'</v>
      </c>
      <c r="AT217">
        <v>588</v>
      </c>
      <c r="AU217" t="str">
        <v>2"</v>
      </c>
      <c r="AV217">
        <v>3</v>
      </c>
      <c r="AW217">
        <v>4</v>
      </c>
      <c r="AY217">
        <v>1</v>
      </c>
      <c r="AZ217" t="str">
        <v>DRL</v>
      </c>
    </row>
    <row r="218">
      <c r="AL218" t="str">
        <v>002687-002</v>
      </c>
      <c r="AM218" t="str">
        <v>Drill Pipe</v>
      </c>
      <c r="AN218" t="str">
        <v>4½</v>
      </c>
      <c r="AP218" t="str">
        <v>2 7/8 IF</v>
      </c>
      <c r="AR218" t="str">
        <v>.337</v>
      </c>
      <c r="AS218" t="str">
        <v>20'</v>
      </c>
      <c r="AT218">
        <v>240</v>
      </c>
      <c r="AU218" t="str">
        <v>2"</v>
      </c>
      <c r="AV218">
        <v>3</v>
      </c>
      <c r="AW218">
        <v>4</v>
      </c>
      <c r="AY218">
        <v>1</v>
      </c>
      <c r="AZ218" t="str">
        <v>DRL</v>
      </c>
    </row>
    <row r="219">
      <c r="AL219" t="str">
        <v>002687-001</v>
      </c>
      <c r="AM219" t="str">
        <v>Drill Pipe</v>
      </c>
      <c r="AN219" t="str">
        <v>4½</v>
      </c>
      <c r="AP219" t="str">
        <v>2 7/8 IF</v>
      </c>
      <c r="AR219" t="str">
        <v>.337</v>
      </c>
      <c r="AS219" t="str">
        <v>25'</v>
      </c>
      <c r="AT219">
        <v>490</v>
      </c>
      <c r="AU219" t="str">
        <v>2"</v>
      </c>
      <c r="AV219">
        <v>3</v>
      </c>
      <c r="AW219">
        <v>4</v>
      </c>
      <c r="AY219">
        <v>1</v>
      </c>
      <c r="AZ219" t="str">
        <v>DRL</v>
      </c>
    </row>
    <row r="220">
      <c r="AL220" t="str">
        <v>001840-003</v>
      </c>
      <c r="AM220" t="str">
        <v>Drill Pipe</v>
      </c>
      <c r="AN220" t="str">
        <v>4½</v>
      </c>
      <c r="AP220" t="str">
        <v>3 RH</v>
      </c>
      <c r="AR220" t="str">
        <v>.337</v>
      </c>
      <c r="AS220" t="str">
        <v>20'</v>
      </c>
      <c r="AT220">
        <v>405</v>
      </c>
      <c r="AU220" t="str">
        <v>1½"</v>
      </c>
      <c r="AV220">
        <v>3</v>
      </c>
      <c r="AW220">
        <v>4</v>
      </c>
      <c r="AY220">
        <v>1</v>
      </c>
      <c r="AZ220" t="str">
        <v>DRL</v>
      </c>
    </row>
    <row r="221">
      <c r="AL221" t="str">
        <v>001840-002</v>
      </c>
      <c r="AM221" t="str">
        <v>Drill Pipe</v>
      </c>
      <c r="AN221" t="str">
        <v>4½</v>
      </c>
      <c r="AP221" t="str">
        <v>3 RH</v>
      </c>
      <c r="AR221" t="str">
        <v>.337</v>
      </c>
      <c r="AS221" t="str">
        <v>30'</v>
      </c>
      <c r="AT221">
        <v>575</v>
      </c>
      <c r="AU221" t="str">
        <v>1½"</v>
      </c>
      <c r="AV221">
        <v>3</v>
      </c>
      <c r="AW221">
        <v>4</v>
      </c>
      <c r="AY221">
        <v>1</v>
      </c>
      <c r="AZ221" t="str">
        <v>DRL</v>
      </c>
    </row>
    <row r="222">
      <c r="AL222" t="str">
        <v>001840-001</v>
      </c>
      <c r="AM222" t="str">
        <v>Drill Pipe</v>
      </c>
      <c r="AN222" t="str">
        <v>4½</v>
      </c>
      <c r="AP222" t="str">
        <v>3 RH</v>
      </c>
      <c r="AR222" t="str">
        <v>.337</v>
      </c>
      <c r="AS222" t="str">
        <v>25'</v>
      </c>
      <c r="AT222">
        <v>490</v>
      </c>
      <c r="AU222" t="str">
        <v>1½"</v>
      </c>
      <c r="AV222">
        <v>3</v>
      </c>
      <c r="AW222">
        <v>4</v>
      </c>
      <c r="AY222">
        <v>1</v>
      </c>
      <c r="AZ222" t="str">
        <v>DRL</v>
      </c>
    </row>
    <row r="223">
      <c r="AL223" t="str">
        <v>001630-012</v>
      </c>
      <c r="AM223" t="str">
        <v>Drill Pipe</v>
      </c>
      <c r="AN223" t="str">
        <v>4½</v>
      </c>
      <c r="AP223" t="str">
        <v>3½ API</v>
      </c>
      <c r="AR223" t="str">
        <v>.337</v>
      </c>
      <c r="AS223" t="str">
        <v>35'</v>
      </c>
      <c r="AT223">
        <v>680</v>
      </c>
      <c r="AU223" t="str">
        <v>1 3/4"</v>
      </c>
      <c r="AV223">
        <v>3</v>
      </c>
      <c r="AW223">
        <v>4</v>
      </c>
      <c r="AY223">
        <v>1</v>
      </c>
      <c r="AZ223" t="str">
        <v>DRL</v>
      </c>
    </row>
    <row r="224">
      <c r="AL224" t="str">
        <v>001630-004</v>
      </c>
      <c r="AM224" t="str">
        <v>Drill Pipe</v>
      </c>
      <c r="AN224" t="str">
        <v>4½</v>
      </c>
      <c r="AP224" t="str">
        <v>3½ API</v>
      </c>
      <c r="AR224" t="str">
        <v>.337</v>
      </c>
      <c r="AS224" t="str">
        <v>30'</v>
      </c>
      <c r="AT224">
        <v>572</v>
      </c>
      <c r="AU224" t="str">
        <v>1 3/4"</v>
      </c>
      <c r="AV224">
        <v>3</v>
      </c>
      <c r="AW224">
        <v>4</v>
      </c>
      <c r="AY224">
        <v>1</v>
      </c>
      <c r="AZ224" t="str">
        <v>DRL</v>
      </c>
    </row>
    <row r="225">
      <c r="AL225" t="str">
        <v>001630-003</v>
      </c>
      <c r="AM225" t="str">
        <v>Drill Pipe</v>
      </c>
      <c r="AN225" t="str">
        <v>4½</v>
      </c>
      <c r="AP225" t="str">
        <v>3½ API</v>
      </c>
      <c r="AR225" t="str">
        <v>.337</v>
      </c>
      <c r="AS225" t="str">
        <v>10'</v>
      </c>
      <c r="AT225">
        <v>260</v>
      </c>
      <c r="AU225" t="str">
        <v>1 3/4"</v>
      </c>
      <c r="AV225">
        <v>3</v>
      </c>
      <c r="AW225">
        <v>4</v>
      </c>
      <c r="AY225">
        <v>1</v>
      </c>
      <c r="AZ225" t="str">
        <v>DRL</v>
      </c>
    </row>
    <row r="226">
      <c r="AL226" t="str">
        <v>001630-002</v>
      </c>
      <c r="AM226" t="str">
        <v>Drill Pipe</v>
      </c>
      <c r="AN226" t="str">
        <v>4½</v>
      </c>
      <c r="AP226" t="str">
        <v>3½ API</v>
      </c>
      <c r="AR226" t="str">
        <v>.337</v>
      </c>
      <c r="AS226" t="str">
        <v>20'</v>
      </c>
      <c r="AT226">
        <v>375</v>
      </c>
      <c r="AU226" t="str">
        <v>1 3/4"</v>
      </c>
      <c r="AV226">
        <v>3</v>
      </c>
      <c r="AW226">
        <v>4</v>
      </c>
      <c r="AY226">
        <v>1</v>
      </c>
      <c r="AZ226" t="str">
        <v>DRL</v>
      </c>
    </row>
    <row r="227">
      <c r="AL227" t="str">
        <v>001630-001</v>
      </c>
      <c r="AM227" t="str">
        <v>Drill Pipe</v>
      </c>
      <c r="AN227" t="str">
        <v>4½</v>
      </c>
      <c r="AP227" t="str">
        <v>3½ API</v>
      </c>
      <c r="AR227" t="str">
        <v>.337</v>
      </c>
      <c r="AS227" t="str">
        <v>25'</v>
      </c>
      <c r="AT227">
        <v>490</v>
      </c>
      <c r="AU227" t="str">
        <v>1 3/4"</v>
      </c>
      <c r="AV227">
        <v>3</v>
      </c>
      <c r="AW227">
        <v>4</v>
      </c>
      <c r="AY227">
        <v>1</v>
      </c>
      <c r="AZ227" t="str">
        <v>DRL</v>
      </c>
    </row>
    <row r="228">
      <c r="AL228" t="str">
        <v>023175-002</v>
      </c>
      <c r="AM228" t="str">
        <v>Drill Pipe</v>
      </c>
      <c r="AN228" t="str">
        <v>4½</v>
      </c>
      <c r="AP228" t="str">
        <v>3½ DIBH</v>
      </c>
      <c r="AR228" t="str">
        <v>.337"</v>
      </c>
      <c r="AS228" t="str">
        <v>30'</v>
      </c>
      <c r="AT228">
        <v>522</v>
      </c>
      <c r="AU228" t="str">
        <v>1 3/4"</v>
      </c>
      <c r="AV228">
        <v>3</v>
      </c>
      <c r="AW228">
        <v>4</v>
      </c>
      <c r="AY228">
        <v>1</v>
      </c>
      <c r="AZ228" t="str">
        <v>PRT</v>
      </c>
    </row>
    <row r="229">
      <c r="AL229" t="str">
        <v>023175-001</v>
      </c>
      <c r="AM229" t="str">
        <v>Drill Pipe</v>
      </c>
      <c r="AN229" t="str">
        <v>4½</v>
      </c>
      <c r="AP229" t="str">
        <v>3½ DIBH</v>
      </c>
      <c r="AR229" t="str">
        <v>.337"</v>
      </c>
      <c r="AS229" t="str">
        <v>25'</v>
      </c>
      <c r="AT229">
        <v>450</v>
      </c>
      <c r="AU229" t="str">
        <v>1 3/4"</v>
      </c>
      <c r="AV229">
        <v>3</v>
      </c>
      <c r="AW229">
        <v>4</v>
      </c>
      <c r="AY229">
        <v>1</v>
      </c>
      <c r="AZ229" t="str">
        <v>PRT</v>
      </c>
    </row>
    <row r="230">
      <c r="AL230" t="str">
        <v>005245-002</v>
      </c>
      <c r="AM230" t="str">
        <v>Drill Pipe</v>
      </c>
      <c r="AN230" t="str">
        <v>4½</v>
      </c>
      <c r="AP230" t="str">
        <v>2 7/8 API</v>
      </c>
      <c r="AR230" t="str">
        <v>.500</v>
      </c>
      <c r="AS230" t="str">
        <v>25'</v>
      </c>
      <c r="AT230">
        <v>280</v>
      </c>
      <c r="AU230" t="str">
        <v>2"</v>
      </c>
      <c r="AV230">
        <v>3</v>
      </c>
      <c r="AW230">
        <v>4</v>
      </c>
      <c r="AX230" t="str">
        <v>Aluminum</v>
      </c>
      <c r="AY230">
        <v>1</v>
      </c>
      <c r="AZ230" t="str">
        <v>DRL</v>
      </c>
    </row>
    <row r="231">
      <c r="AL231" t="str">
        <v>005245-001</v>
      </c>
      <c r="AM231" t="str">
        <v>Drill Pipe</v>
      </c>
      <c r="AN231" t="str">
        <v>4½</v>
      </c>
      <c r="AP231" t="str">
        <v>2 7/8 API</v>
      </c>
      <c r="AR231" t="str">
        <v>.500</v>
      </c>
      <c r="AS231" t="str">
        <v>30'</v>
      </c>
      <c r="AT231">
        <v>317</v>
      </c>
      <c r="AU231" t="str">
        <v>2"</v>
      </c>
      <c r="AV231">
        <v>3</v>
      </c>
      <c r="AW231">
        <v>4</v>
      </c>
      <c r="AX231" t="str">
        <v>Aluminum</v>
      </c>
      <c r="AY231">
        <v>1</v>
      </c>
      <c r="AZ231" t="str">
        <v>DRL</v>
      </c>
    </row>
    <row r="232">
      <c r="AL232" t="str">
        <v>001630-007</v>
      </c>
      <c r="AM232" t="str">
        <v>Drill Pipe</v>
      </c>
      <c r="AN232" t="str">
        <v>4½</v>
      </c>
      <c r="AP232" t="str">
        <v>3½ API</v>
      </c>
      <c r="AR232" t="str">
        <v>.500</v>
      </c>
      <c r="AS232" t="str">
        <v>25'</v>
      </c>
      <c r="AT232">
        <v>535</v>
      </c>
      <c r="AU232" t="str">
        <v>1 3/4"</v>
      </c>
      <c r="AV232">
        <v>3</v>
      </c>
      <c r="AW232">
        <v>4</v>
      </c>
      <c r="AY232">
        <v>1</v>
      </c>
      <c r="AZ232" t="str">
        <v>DRL</v>
      </c>
    </row>
    <row r="233">
      <c r="AL233" t="str">
        <v>001630-006</v>
      </c>
      <c r="AM233" t="str">
        <v>Drill Pipe</v>
      </c>
      <c r="AN233" t="str">
        <v>4½</v>
      </c>
      <c r="AP233" t="str">
        <v>3½ API</v>
      </c>
      <c r="AR233" t="str">
        <v>.500</v>
      </c>
      <c r="AS233" t="str">
        <v>20'</v>
      </c>
      <c r="AT233">
        <v>425</v>
      </c>
      <c r="AU233" t="str">
        <v>1 3/4"</v>
      </c>
      <c r="AV233">
        <v>3</v>
      </c>
      <c r="AW233">
        <v>4</v>
      </c>
      <c r="AY233">
        <v>1</v>
      </c>
      <c r="AZ233" t="str">
        <v>DRL</v>
      </c>
    </row>
    <row r="234">
      <c r="AL234" t="str">
        <v>001360-008</v>
      </c>
      <c r="AM234" t="str">
        <v>Drill Pipe</v>
      </c>
      <c r="AN234" t="str">
        <v>4½</v>
      </c>
      <c r="AP234" t="str">
        <v>3½ API</v>
      </c>
      <c r="AR234" t="str">
        <v>.500</v>
      </c>
      <c r="AS234" t="str">
        <v>30'</v>
      </c>
      <c r="AT234">
        <v>650</v>
      </c>
      <c r="AU234" t="str">
        <v>1 3/4"</v>
      </c>
      <c r="AV234">
        <v>3</v>
      </c>
      <c r="AW234">
        <v>4</v>
      </c>
      <c r="AY234">
        <v>1</v>
      </c>
      <c r="AZ234" t="str">
        <v>DRL</v>
      </c>
    </row>
    <row r="235">
      <c r="AL235" t="str">
        <v>001630-010</v>
      </c>
      <c r="AM235" t="str">
        <v>Drill Pipe</v>
      </c>
      <c r="AN235" t="str">
        <v>4½</v>
      </c>
      <c r="AP235" t="str">
        <v>3½ API</v>
      </c>
      <c r="AR235" t="str">
        <v>.750</v>
      </c>
      <c r="AS235" t="str">
        <v>30'</v>
      </c>
      <c r="AT235">
        <v>800</v>
      </c>
      <c r="AU235" t="str">
        <v>1 3/4"</v>
      </c>
      <c r="AV235">
        <v>3</v>
      </c>
      <c r="AW235">
        <v>4</v>
      </c>
      <c r="AY235">
        <v>1</v>
      </c>
      <c r="AZ235" t="str">
        <v>PRT</v>
      </c>
    </row>
    <row r="236">
      <c r="AL236" t="str">
        <v>001630-009</v>
      </c>
      <c r="AM236" t="str">
        <v>Drill Pipe</v>
      </c>
      <c r="AN236" t="str">
        <v>4½</v>
      </c>
      <c r="AP236" t="str">
        <v>3½ API</v>
      </c>
      <c r="AR236" t="str">
        <v>.750</v>
      </c>
      <c r="AS236" t="str">
        <v>25'</v>
      </c>
      <c r="AT236">
        <v>680</v>
      </c>
      <c r="AU236" t="str">
        <v>1 3/4"</v>
      </c>
      <c r="AV236">
        <v>3</v>
      </c>
      <c r="AW236">
        <v>4</v>
      </c>
      <c r="AY236">
        <v>1</v>
      </c>
      <c r="AZ236" t="str">
        <v>DRL</v>
      </c>
    </row>
    <row r="237">
      <c r="AL237" t="str">
        <v>001630-005</v>
      </c>
      <c r="AM237" t="str">
        <v>Drill Pipe</v>
      </c>
      <c r="AN237" t="str">
        <v>4½</v>
      </c>
      <c r="AP237" t="str">
        <v>3½ API</v>
      </c>
      <c r="AR237" t="str">
        <v>.750</v>
      </c>
      <c r="AS237" t="str">
        <v>20'</v>
      </c>
      <c r="AT237">
        <v>635</v>
      </c>
      <c r="AU237" t="str">
        <v>1 3/4"</v>
      </c>
      <c r="AV237">
        <v>3</v>
      </c>
      <c r="AW237">
        <v>4</v>
      </c>
      <c r="AY237">
        <v>1</v>
      </c>
      <c r="AZ237" t="str">
        <v>DRL</v>
      </c>
    </row>
    <row r="238">
      <c r="AL238" t="str">
        <v>016364-001</v>
      </c>
      <c r="AM238" t="str">
        <v>Drill Pipe</v>
      </c>
      <c r="AN238" t="str">
        <v>4½</v>
      </c>
      <c r="AP238" t="str">
        <v>3½ API</v>
      </c>
      <c r="AR238" t="str">
        <v>½"</v>
      </c>
      <c r="AS238" t="str">
        <v>25'</v>
      </c>
      <c r="AT238">
        <v>535</v>
      </c>
      <c r="AU238" t="str">
        <v>1 3/4"</v>
      </c>
      <c r="AV238">
        <v>4</v>
      </c>
      <c r="AW238" t="str">
        <v>12½</v>
      </c>
      <c r="AX238" t="str">
        <v>C40K4</v>
      </c>
      <c r="AY238">
        <v>1</v>
      </c>
      <c r="AZ238" t="str">
        <v>PRT</v>
      </c>
    </row>
    <row r="239">
      <c r="AL239" t="str">
        <v>004369-002</v>
      </c>
      <c r="AM239" t="str">
        <v>Drill Pipe</v>
      </c>
      <c r="AN239" t="str">
        <v>4½</v>
      </c>
      <c r="AP239" t="str">
        <v>3½ API</v>
      </c>
      <c r="AR239" t="str">
        <v>½"</v>
      </c>
      <c r="AS239" t="str">
        <v>30'</v>
      </c>
      <c r="AT239">
        <v>317</v>
      </c>
      <c r="AU239" t="str">
        <v>1 3/4"</v>
      </c>
      <c r="AV239">
        <v>3</v>
      </c>
      <c r="AW239">
        <v>4</v>
      </c>
      <c r="AX239" t="str">
        <v>Aluminum</v>
      </c>
      <c r="AY239">
        <v>1</v>
      </c>
      <c r="AZ239" t="str">
        <v>DRL</v>
      </c>
    </row>
    <row r="240">
      <c r="AL240" t="str">
        <v>004369-001</v>
      </c>
      <c r="AM240" t="str">
        <v>Drill Pipe</v>
      </c>
      <c r="AN240" t="str">
        <v>4½</v>
      </c>
      <c r="AP240" t="str">
        <v>3½ API</v>
      </c>
      <c r="AR240" t="str">
        <v>½"</v>
      </c>
      <c r="AS240" t="str">
        <v>25'</v>
      </c>
      <c r="AT240">
        <v>280</v>
      </c>
      <c r="AU240" t="str">
        <v>1 3/4"</v>
      </c>
      <c r="AV240">
        <v>3</v>
      </c>
      <c r="AW240">
        <v>4</v>
      </c>
      <c r="AX240" t="str">
        <v>Aluminum</v>
      </c>
      <c r="AY240">
        <v>1</v>
      </c>
      <c r="AZ240" t="str">
        <v>DRL</v>
      </c>
    </row>
    <row r="241">
      <c r="AL241" t="str">
        <v>001630-011</v>
      </c>
      <c r="AM241" t="str">
        <v>Drill Pipe</v>
      </c>
      <c r="AN241" t="str">
        <v>4½</v>
      </c>
      <c r="AP241" t="str">
        <v>3½ API</v>
      </c>
      <c r="AR241" t="str">
        <v>1.375-1.5</v>
      </c>
      <c r="AS241" t="str">
        <v>25'</v>
      </c>
      <c r="AT241">
        <v>1160</v>
      </c>
      <c r="AU241" t="str">
        <v>1 ½"-1 3/4 "</v>
      </c>
      <c r="AV241">
        <v>3</v>
      </c>
      <c r="AW241">
        <v>4</v>
      </c>
      <c r="AY241">
        <v>1</v>
      </c>
      <c r="AZ241" t="str">
        <v>DRL</v>
      </c>
    </row>
    <row r="242">
      <c r="AL242" t="str">
        <v>001963-001</v>
      </c>
      <c r="AM242" t="str">
        <v>Drill Pipe</v>
      </c>
      <c r="AN242" t="str">
        <v>4½</v>
      </c>
      <c r="AP242" t="str">
        <v>Drill systems</v>
      </c>
      <c r="AR242" t="str">
        <v>CSR</v>
      </c>
      <c r="AS242" t="str">
        <v>24'</v>
      </c>
      <c r="AT242">
        <v>547</v>
      </c>
      <c r="AV242">
        <v>3.875</v>
      </c>
      <c r="AW242">
        <v>4.375</v>
      </c>
      <c r="AX242" t="str">
        <v>Obsolete</v>
      </c>
      <c r="AY242">
        <v>1</v>
      </c>
      <c r="AZ242" t="str">
        <v>PRT</v>
      </c>
    </row>
    <row r="243">
      <c r="AL243" t="str">
        <v>003752-001</v>
      </c>
      <c r="AM243" t="str">
        <v>Drill Pipe</v>
      </c>
      <c r="AN243" t="str">
        <v>4½</v>
      </c>
      <c r="AP243" t="str">
        <v>4 1/8D131</v>
      </c>
      <c r="AR243" t="str">
        <v>Duotube</v>
      </c>
      <c r="AS243" t="str">
        <v>20'</v>
      </c>
      <c r="AT243">
        <v>490</v>
      </c>
      <c r="AU243" t="str">
        <v>2¼"</v>
      </c>
      <c r="AV243">
        <v>4</v>
      </c>
      <c r="AW243" t="str">
        <v>4½</v>
      </c>
      <c r="AX243" t="str">
        <v>Duotube</v>
      </c>
      <c r="AY243">
        <v>1</v>
      </c>
      <c r="AZ243" t="str">
        <v>PRT</v>
      </c>
    </row>
    <row r="244">
      <c r="AL244" t="str">
        <v>003442-001</v>
      </c>
      <c r="AM244" t="str">
        <v>Drill Pipe</v>
      </c>
      <c r="AN244" t="str">
        <v>4½</v>
      </c>
      <c r="AP244" t="str">
        <v>4 1/8D131</v>
      </c>
      <c r="AR244" t="str">
        <v>Duotube</v>
      </c>
      <c r="AS244" t="str">
        <v>20'</v>
      </c>
      <c r="AT244">
        <v>450</v>
      </c>
      <c r="AV244">
        <v>4</v>
      </c>
      <c r="AW244" t="str">
        <v>4½</v>
      </c>
      <c r="AX244" t="str">
        <v>Obsolete</v>
      </c>
      <c r="AY244">
        <v>1</v>
      </c>
      <c r="AZ244" t="str">
        <v>DRL</v>
      </c>
    </row>
    <row r="245">
      <c r="AL245" t="str">
        <v>002459-001</v>
      </c>
      <c r="AM245" t="str">
        <v>Drill Pipe</v>
      </c>
      <c r="AN245" t="str">
        <v>4½</v>
      </c>
      <c r="AP245" t="str">
        <v>4 1/8D131</v>
      </c>
      <c r="AR245" t="str">
        <v>Duotube</v>
      </c>
      <c r="AS245" t="str">
        <v>24'</v>
      </c>
      <c r="AT245">
        <v>500</v>
      </c>
      <c r="AV245">
        <v>4</v>
      </c>
      <c r="AW245" t="str">
        <v>4½</v>
      </c>
      <c r="AX245" t="str">
        <v>Obsolete</v>
      </c>
      <c r="AY245">
        <v>1</v>
      </c>
      <c r="AZ245" t="str">
        <v>DRL</v>
      </c>
    </row>
    <row r="246">
      <c r="AL246" t="str">
        <v>021517-002</v>
      </c>
      <c r="AM246" t="str">
        <v>Drill Pipe</v>
      </c>
      <c r="AN246" t="str">
        <v>4½</v>
      </c>
      <c r="AP246" t="str">
        <v>3½ API</v>
      </c>
      <c r="AS246" t="str">
        <v>9'6"</v>
      </c>
      <c r="AT246">
        <v>234</v>
      </c>
      <c r="AU246" t="str">
        <v>1½"</v>
      </c>
      <c r="AV246">
        <v>3</v>
      </c>
      <c r="AX246" t="str">
        <v>Gator</v>
      </c>
      <c r="AY246">
        <v>1</v>
      </c>
      <c r="AZ246" t="str">
        <v>PRT</v>
      </c>
    </row>
    <row r="247">
      <c r="AL247" t="str">
        <v>021517-001</v>
      </c>
      <c r="AM247" t="str">
        <v>Drill Pipe</v>
      </c>
      <c r="AN247" t="str">
        <v>4½</v>
      </c>
      <c r="AP247" t="str">
        <v>3½ API</v>
      </c>
      <c r="AS247" t="str">
        <v>13'</v>
      </c>
      <c r="AT247">
        <v>291</v>
      </c>
      <c r="AU247" t="str">
        <v>1½"</v>
      </c>
      <c r="AV247">
        <v>3</v>
      </c>
      <c r="AX247" t="str">
        <v>Gator</v>
      </c>
      <c r="AY247">
        <v>1</v>
      </c>
      <c r="AZ247" t="str">
        <v>PRT</v>
      </c>
    </row>
    <row r="248">
      <c r="AL248" t="str">
        <v>003530-005</v>
      </c>
      <c r="AM248" t="str">
        <v>Drill Pipe</v>
      </c>
      <c r="AN248" t="str">
        <v>5½</v>
      </c>
      <c r="AP248" t="str">
        <v>3½ RH</v>
      </c>
      <c r="AR248" t="str">
        <v>.335</v>
      </c>
      <c r="AS248" t="str">
        <v>25'</v>
      </c>
      <c r="AT248">
        <v>775</v>
      </c>
      <c r="AU248" t="str">
        <v>1½"</v>
      </c>
      <c r="AV248">
        <v>3</v>
      </c>
      <c r="AW248">
        <v>4.625</v>
      </c>
      <c r="AY248">
        <v>1</v>
      </c>
      <c r="AZ248" t="str">
        <v>PRT</v>
      </c>
    </row>
    <row r="249">
      <c r="AL249" t="str">
        <v>015773-002</v>
      </c>
      <c r="AM249" t="str">
        <v>Drill Pipe</v>
      </c>
      <c r="AN249" t="str">
        <v>5½</v>
      </c>
      <c r="AP249" t="str">
        <v>4 FH</v>
      </c>
      <c r="AR249" t="str">
        <v>.361</v>
      </c>
      <c r="AS249" t="str">
        <v>25'</v>
      </c>
      <c r="AT249">
        <v>760</v>
      </c>
      <c r="AU249" t="str">
        <v>2 13/16"</v>
      </c>
      <c r="AV249" t="str">
        <v>4¼</v>
      </c>
      <c r="AW249">
        <v>10</v>
      </c>
      <c r="AX249" t="str">
        <v>T40KW</v>
      </c>
      <c r="AY249">
        <v>1</v>
      </c>
      <c r="AZ249" t="str">
        <v>PRT</v>
      </c>
    </row>
    <row r="250">
      <c r="AL250" t="str">
        <v>015773-001</v>
      </c>
      <c r="AM250" t="str">
        <v>Drill Pipe</v>
      </c>
      <c r="AN250" t="str">
        <v>5½</v>
      </c>
      <c r="AP250" t="str">
        <v>4 FH</v>
      </c>
      <c r="AR250" t="str">
        <v>.361</v>
      </c>
      <c r="AS250" t="str">
        <v>20'</v>
      </c>
      <c r="AT250">
        <v>630</v>
      </c>
      <c r="AU250" t="str">
        <v>2 13/16"</v>
      </c>
      <c r="AV250" t="str">
        <v>4¼</v>
      </c>
      <c r="AW250">
        <v>10</v>
      </c>
      <c r="AX250" t="str">
        <v>T40KW</v>
      </c>
      <c r="AY250">
        <v>1</v>
      </c>
      <c r="AZ250" t="str">
        <v>PRT</v>
      </c>
    </row>
    <row r="251">
      <c r="AL251" t="str">
        <v>008835-004</v>
      </c>
      <c r="AM251" t="str">
        <v>Drill Pipe</v>
      </c>
      <c r="AN251" t="str">
        <v>5½</v>
      </c>
      <c r="AP251" t="str">
        <v>3½ API</v>
      </c>
      <c r="AR251" t="str">
        <v>.415</v>
      </c>
      <c r="AS251" t="str">
        <v>30'</v>
      </c>
      <c r="AT251">
        <v>905</v>
      </c>
      <c r="AU251" t="str">
        <v>1½"</v>
      </c>
      <c r="AV251">
        <v>3</v>
      </c>
      <c r="AW251">
        <v>4.62</v>
      </c>
      <c r="AY251">
        <v>1</v>
      </c>
      <c r="AZ251" t="str">
        <v>PRT</v>
      </c>
    </row>
    <row r="252">
      <c r="AL252" t="str">
        <v>008835-003</v>
      </c>
      <c r="AM252" t="str">
        <v>Drill Pipe</v>
      </c>
      <c r="AN252" t="str">
        <v>5½</v>
      </c>
      <c r="AP252" t="str">
        <v>3½ API</v>
      </c>
      <c r="AR252" t="str">
        <v>.415</v>
      </c>
      <c r="AS252" t="str">
        <v>35'</v>
      </c>
      <c r="AT252">
        <v>1020</v>
      </c>
      <c r="AU252" t="str">
        <v>1½"</v>
      </c>
      <c r="AV252">
        <v>3</v>
      </c>
      <c r="AW252">
        <v>4.62</v>
      </c>
      <c r="AX252" t="str">
        <v>Special C75D</v>
      </c>
      <c r="AY252">
        <v>1</v>
      </c>
      <c r="AZ252" t="str">
        <v>DRL</v>
      </c>
    </row>
    <row r="253">
      <c r="AL253" t="str">
        <v>008835-002</v>
      </c>
      <c r="AM253" t="str">
        <v>Drill Pipe</v>
      </c>
      <c r="AN253" t="str">
        <v>5½</v>
      </c>
      <c r="AP253" t="str">
        <v>3½ API</v>
      </c>
      <c r="AR253" t="str">
        <v>.415</v>
      </c>
      <c r="AS253" t="str">
        <v>25'</v>
      </c>
      <c r="AT253">
        <v>790</v>
      </c>
      <c r="AU253" t="str">
        <v>1½"</v>
      </c>
      <c r="AV253">
        <v>3</v>
      </c>
      <c r="AW253">
        <v>4.62</v>
      </c>
      <c r="AY253">
        <v>1</v>
      </c>
      <c r="AZ253" t="str">
        <v>DRL</v>
      </c>
    </row>
    <row r="254">
      <c r="AL254" t="str">
        <v>008835-001</v>
      </c>
      <c r="AM254" t="str">
        <v>Drill Pipe</v>
      </c>
      <c r="AN254" t="str">
        <v>5½</v>
      </c>
      <c r="AP254" t="str">
        <v>3½ API</v>
      </c>
      <c r="AR254" t="str">
        <v>.415</v>
      </c>
      <c r="AS254" t="str">
        <v>20'</v>
      </c>
      <c r="AT254">
        <v>657</v>
      </c>
      <c r="AU254" t="str">
        <v>1½"</v>
      </c>
      <c r="AV254">
        <v>3</v>
      </c>
      <c r="AW254">
        <v>4.62</v>
      </c>
      <c r="AY254">
        <v>1</v>
      </c>
      <c r="AZ254" t="str">
        <v>DRL</v>
      </c>
    </row>
    <row r="255">
      <c r="AL255" t="str">
        <v>003530-004</v>
      </c>
      <c r="AM255" t="str">
        <v>Drill Pipe</v>
      </c>
      <c r="AN255" t="str">
        <v>5½</v>
      </c>
      <c r="AP255" t="str">
        <v>3½ RH</v>
      </c>
      <c r="AR255" t="str">
        <v>.415</v>
      </c>
      <c r="AS255" t="str">
        <v>30'</v>
      </c>
      <c r="AT255">
        <v>900</v>
      </c>
      <c r="AU255" t="str">
        <v>1½"</v>
      </c>
      <c r="AV255">
        <v>3</v>
      </c>
      <c r="AW255">
        <v>4.625</v>
      </c>
      <c r="AY255">
        <v>1</v>
      </c>
      <c r="AZ255" t="str">
        <v>PRT</v>
      </c>
    </row>
    <row r="256">
      <c r="AL256" t="str">
        <v>003530-003</v>
      </c>
      <c r="AM256" t="str">
        <v>Drill Pipe</v>
      </c>
      <c r="AN256" t="str">
        <v>5½</v>
      </c>
      <c r="AP256" t="str">
        <v>3½ RH</v>
      </c>
      <c r="AR256" t="str">
        <v>.415</v>
      </c>
      <c r="AS256" t="str">
        <v>20'</v>
      </c>
      <c r="AT256">
        <v>680</v>
      </c>
      <c r="AU256" t="str">
        <v>1½"</v>
      </c>
      <c r="AV256">
        <v>3</v>
      </c>
      <c r="AW256">
        <v>4.625</v>
      </c>
      <c r="AY256">
        <v>1</v>
      </c>
      <c r="AZ256" t="str">
        <v>DRL</v>
      </c>
    </row>
    <row r="257">
      <c r="AL257" t="str">
        <v>003530-001</v>
      </c>
      <c r="AM257" t="str">
        <v>Drill Pipe</v>
      </c>
      <c r="AN257" t="str">
        <v>5½</v>
      </c>
      <c r="AP257" t="str">
        <v>3½ RH</v>
      </c>
      <c r="AR257" t="str">
        <v>.415</v>
      </c>
      <c r="AS257" t="str">
        <v>25'</v>
      </c>
      <c r="AT257">
        <v>790</v>
      </c>
      <c r="AU257" t="str">
        <v>1½"</v>
      </c>
      <c r="AV257">
        <v>3</v>
      </c>
      <c r="AW257">
        <v>4.625</v>
      </c>
      <c r="AY257">
        <v>1</v>
      </c>
      <c r="AZ257" t="str">
        <v>DRL</v>
      </c>
    </row>
    <row r="258">
      <c r="AL258" t="str">
        <v>002576-001</v>
      </c>
      <c r="AM258" t="str">
        <v>Drill Pipe</v>
      </c>
      <c r="AN258" t="str">
        <v>5½</v>
      </c>
      <c r="AP258" t="str">
        <v>3 RH</v>
      </c>
      <c r="AR258" t="str">
        <v>.415</v>
      </c>
      <c r="AS258" t="str">
        <v>25'</v>
      </c>
      <c r="AT258">
        <v>790</v>
      </c>
      <c r="AU258" t="str">
        <v>1½"</v>
      </c>
      <c r="AV258">
        <v>3</v>
      </c>
      <c r="AW258">
        <v>4</v>
      </c>
      <c r="AX258" t="str">
        <v>Obsolete</v>
      </c>
      <c r="AY258">
        <v>1</v>
      </c>
      <c r="AZ258" t="str">
        <v>DRL</v>
      </c>
    </row>
    <row r="259">
      <c r="AL259" t="str">
        <v>017528-001</v>
      </c>
      <c r="AM259" t="str">
        <v>Drill Pipe</v>
      </c>
      <c r="AN259" t="str">
        <v>5½</v>
      </c>
      <c r="AP259" t="str">
        <v>3½ RH</v>
      </c>
      <c r="AR259" t="str">
        <v>.42</v>
      </c>
      <c r="AS259" t="str">
        <v>30'</v>
      </c>
      <c r="AT259">
        <v>900</v>
      </c>
      <c r="AU259" t="str">
        <v>1½"</v>
      </c>
      <c r="AV259">
        <v>3</v>
      </c>
      <c r="AX259" t="str">
        <v>C45</v>
      </c>
      <c r="AY259">
        <v>1</v>
      </c>
      <c r="AZ259" t="str">
        <v>PRT</v>
      </c>
    </row>
    <row r="260">
      <c r="AL260" t="str">
        <v>022206-002</v>
      </c>
      <c r="AM260" t="str">
        <v>Drill Pipe</v>
      </c>
      <c r="AN260" t="str">
        <v>5½</v>
      </c>
      <c r="AP260" t="str">
        <v>4½ API</v>
      </c>
      <c r="AR260" t="str">
        <v>.42"</v>
      </c>
      <c r="AS260" t="str">
        <v>25'</v>
      </c>
      <c r="AT260">
        <v>900</v>
      </c>
      <c r="AU260" t="str">
        <v>2¼"</v>
      </c>
      <c r="AV260">
        <v>4</v>
      </c>
      <c r="AX260" t="str">
        <v>D560</v>
      </c>
      <c r="AY260">
        <v>1</v>
      </c>
      <c r="AZ260" t="str">
        <v>PRT</v>
      </c>
    </row>
    <row r="261">
      <c r="AL261" t="str">
        <v>022206-001</v>
      </c>
      <c r="AM261" t="str">
        <v>Drill Pipe</v>
      </c>
      <c r="AN261" t="str">
        <v>5½</v>
      </c>
      <c r="AP261" t="str">
        <v>4½ API</v>
      </c>
      <c r="AR261" t="str">
        <v>.42"</v>
      </c>
      <c r="AS261" t="str">
        <v>30'</v>
      </c>
      <c r="AT261">
        <v>950</v>
      </c>
      <c r="AU261" t="str">
        <v>2¼"</v>
      </c>
      <c r="AV261">
        <v>4</v>
      </c>
      <c r="AX261" t="str">
        <v>D560</v>
      </c>
      <c r="AY261">
        <v>1</v>
      </c>
      <c r="AZ261" t="str">
        <v>PRT</v>
      </c>
    </row>
    <row r="262">
      <c r="AL262" t="str">
        <v>013368-001</v>
      </c>
      <c r="AM262" t="str">
        <v>Drill Pipe</v>
      </c>
      <c r="AN262" t="str">
        <v>5½</v>
      </c>
      <c r="AP262" t="str">
        <v>4 FH</v>
      </c>
      <c r="AR262" t="str">
        <v>.50</v>
      </c>
      <c r="AS262" t="str">
        <v>25'</v>
      </c>
      <c r="AT262">
        <v>720</v>
      </c>
      <c r="AU262" t="str">
        <v>2"</v>
      </c>
      <c r="AV262">
        <v>3</v>
      </c>
      <c r="AW262">
        <v>4.625</v>
      </c>
      <c r="AY262">
        <v>1</v>
      </c>
      <c r="AZ262" t="str">
        <v>DRL</v>
      </c>
    </row>
    <row r="263">
      <c r="AL263" t="str">
        <v>008835-006</v>
      </c>
      <c r="AM263" t="str">
        <v>Drill Pipe</v>
      </c>
      <c r="AN263" t="str">
        <v>5½</v>
      </c>
      <c r="AP263" t="str">
        <v>3½ API</v>
      </c>
      <c r="AR263" t="str">
        <v>.75</v>
      </c>
      <c r="AS263" t="str">
        <v>30'</v>
      </c>
      <c r="AT263">
        <v>1600</v>
      </c>
      <c r="AU263" t="str">
        <v>1½"</v>
      </c>
      <c r="AV263">
        <v>3</v>
      </c>
      <c r="AW263">
        <v>4.62</v>
      </c>
      <c r="AY263">
        <v>1</v>
      </c>
      <c r="AZ263" t="str">
        <v>PRT</v>
      </c>
    </row>
    <row r="264">
      <c r="AL264" t="str">
        <v>008835-005</v>
      </c>
      <c r="AM264" t="str">
        <v>Drill Pipe</v>
      </c>
      <c r="AN264" t="str">
        <v>5½</v>
      </c>
      <c r="AP264" t="str">
        <v>3½ API</v>
      </c>
      <c r="AR264" t="str">
        <v>.75</v>
      </c>
      <c r="AS264" t="str">
        <v>35'</v>
      </c>
      <c r="AT264">
        <v>1900</v>
      </c>
      <c r="AU264" t="str">
        <v>1½"</v>
      </c>
      <c r="AV264">
        <v>3</v>
      </c>
      <c r="AW264">
        <v>4.62</v>
      </c>
      <c r="AY264">
        <v>1</v>
      </c>
      <c r="AZ264" t="str">
        <v>PRT</v>
      </c>
    </row>
    <row r="265">
      <c r="AL265" t="str">
        <v>003530-007</v>
      </c>
      <c r="AM265" t="str">
        <v>Drill Pipe</v>
      </c>
      <c r="AN265" t="str">
        <v>5½</v>
      </c>
      <c r="AP265" t="str">
        <v>3½ RH</v>
      </c>
      <c r="AR265" t="str">
        <v>.750</v>
      </c>
      <c r="AS265" t="str">
        <v>35'</v>
      </c>
      <c r="AT265">
        <v>1435</v>
      </c>
      <c r="AU265" t="str">
        <v>1½"</v>
      </c>
      <c r="AV265">
        <v>3</v>
      </c>
      <c r="AW265">
        <v>4.625</v>
      </c>
      <c r="AY265">
        <v>1</v>
      </c>
      <c r="AZ265" t="str">
        <v>PRT</v>
      </c>
    </row>
    <row r="266">
      <c r="AL266" t="str">
        <v>003530-006</v>
      </c>
      <c r="AM266" t="str">
        <v>Drill Pipe</v>
      </c>
      <c r="AN266" t="str">
        <v>5½</v>
      </c>
      <c r="AP266" t="str">
        <v>3½ RH</v>
      </c>
      <c r="AR266" t="str">
        <v>.750</v>
      </c>
      <c r="AS266" t="str">
        <v>30'</v>
      </c>
      <c r="AT266">
        <v>1250</v>
      </c>
      <c r="AU266" t="str">
        <v>1½"</v>
      </c>
      <c r="AV266">
        <v>3</v>
      </c>
      <c r="AW266">
        <v>4.625</v>
      </c>
      <c r="AY266">
        <v>1</v>
      </c>
      <c r="AZ266" t="str">
        <v>DRL</v>
      </c>
    </row>
    <row r="267">
      <c r="AL267" t="str">
        <v>003530-002</v>
      </c>
      <c r="AM267" t="str">
        <v>Drill Pipe</v>
      </c>
      <c r="AN267" t="str">
        <v>5½</v>
      </c>
      <c r="AP267" t="str">
        <v>3½ RH</v>
      </c>
      <c r="AR267" t="str">
        <v>.750</v>
      </c>
      <c r="AS267" t="str">
        <v>25'</v>
      </c>
      <c r="AT267">
        <v>1040</v>
      </c>
      <c r="AU267" t="str">
        <v>1½"</v>
      </c>
      <c r="AV267">
        <v>3</v>
      </c>
      <c r="AW267">
        <v>4.625</v>
      </c>
      <c r="AY267">
        <v>1</v>
      </c>
      <c r="AZ267" t="str">
        <v>DRL</v>
      </c>
    </row>
    <row r="268">
      <c r="AL268" t="str">
        <v>021822-001</v>
      </c>
      <c r="AM268" t="str">
        <v>Drill Pipe</v>
      </c>
      <c r="AN268" t="str">
        <v>5½</v>
      </c>
      <c r="AP268" t="str">
        <v>3½ RH</v>
      </c>
      <c r="AR268" t="str">
        <v>3/4"</v>
      </c>
      <c r="AS268" t="str">
        <v>35'</v>
      </c>
      <c r="AT268">
        <v>1050</v>
      </c>
      <c r="AU268" t="str">
        <v>1½"</v>
      </c>
      <c r="AV268">
        <v>3</v>
      </c>
      <c r="AY268">
        <v>1</v>
      </c>
      <c r="AZ268" t="str">
        <v>PRT</v>
      </c>
    </row>
    <row r="269">
      <c r="AL269" t="str">
        <v>019823-001</v>
      </c>
      <c r="AM269" t="str">
        <v>Drill Pipe</v>
      </c>
      <c r="AN269" t="str">
        <v>5½</v>
      </c>
      <c r="AO269">
        <v>5</v>
      </c>
      <c r="AP269" t="str">
        <v>3½ API</v>
      </c>
      <c r="AQ269" t="str">
        <v>3½ API</v>
      </c>
      <c r="AR269" t="str">
        <v>3/4"</v>
      </c>
      <c r="AS269" t="str">
        <v>35'</v>
      </c>
      <c r="AT269">
        <v>1180</v>
      </c>
      <c r="AU269" t="str">
        <v>1½"</v>
      </c>
      <c r="AV269">
        <v>3</v>
      </c>
      <c r="AW269" t="str">
        <v>4½</v>
      </c>
      <c r="AY269">
        <v>1</v>
      </c>
      <c r="AZ269" t="str">
        <v>PRT</v>
      </c>
    </row>
    <row r="270">
      <c r="AL270" t="str">
        <v>014468-001</v>
      </c>
      <c r="AM270" t="str">
        <v>Drill Pipe</v>
      </c>
      <c r="AN270" t="str">
        <v>5½ 3½</v>
      </c>
      <c r="AP270" t="str">
        <v>2 3/8 API</v>
      </c>
      <c r="AR270" t="str">
        <v>.500</v>
      </c>
      <c r="AS270" t="str">
        <v>30'</v>
      </c>
      <c r="AT270">
        <v>1138</v>
      </c>
      <c r="AU270" t="str">
        <v>4½"</v>
      </c>
      <c r="AV270">
        <v>3</v>
      </c>
      <c r="AW270" t="str">
        <v>3½</v>
      </c>
      <c r="AX270" t="str">
        <v>Spec. Austr.</v>
      </c>
      <c r="AY270">
        <v>1</v>
      </c>
      <c r="AZ270" t="str">
        <v>PRT</v>
      </c>
    </row>
    <row r="271">
      <c r="AL271" t="str">
        <v>001206-008</v>
      </c>
      <c r="AM271" t="str">
        <v>Drill Pipe</v>
      </c>
      <c r="AN271" t="str">
        <v>6¼</v>
      </c>
      <c r="AP271" t="str">
        <v>4½ RH</v>
      </c>
      <c r="AR271" t="str">
        <v>3/4"</v>
      </c>
      <c r="AS271" t="str">
        <v>19'</v>
      </c>
      <c r="AT271">
        <v>925</v>
      </c>
      <c r="AU271" t="str">
        <v>2½"</v>
      </c>
      <c r="AV271">
        <v>4</v>
      </c>
      <c r="AW271" t="str">
        <v>5½</v>
      </c>
      <c r="AY271">
        <v>1</v>
      </c>
      <c r="AZ271" t="str">
        <v>PRT</v>
      </c>
    </row>
    <row r="272">
      <c r="AL272" t="str">
        <v>021365-001</v>
      </c>
      <c r="AM272" t="str">
        <v>Drill Pipe</v>
      </c>
      <c r="AN272" t="str">
        <v>6½</v>
      </c>
      <c r="AP272" t="str">
        <v>4½ RH</v>
      </c>
      <c r="AR272" t="str">
        <v>½"</v>
      </c>
      <c r="AS272" t="str">
        <v>35'</v>
      </c>
      <c r="AT272">
        <v>1900</v>
      </c>
      <c r="AU272" t="str">
        <v>2½"</v>
      </c>
      <c r="AV272">
        <v>5</v>
      </c>
      <c r="AW272">
        <v>5.5</v>
      </c>
      <c r="AX272" t="str">
        <v>Gator</v>
      </c>
      <c r="AY272">
        <v>1</v>
      </c>
      <c r="AZ272" t="str">
        <v>PRT</v>
      </c>
    </row>
    <row r="273">
      <c r="AL273" t="str">
        <v>001206-009</v>
      </c>
      <c r="AM273" t="str">
        <v>Drill Pipe</v>
      </c>
      <c r="AN273" t="str">
        <v>6½</v>
      </c>
      <c r="AP273" t="str">
        <v>4½ RH</v>
      </c>
      <c r="AR273" t="str">
        <v>½"</v>
      </c>
      <c r="AS273" t="str">
        <v>30'</v>
      </c>
      <c r="AT273">
        <v>1050</v>
      </c>
      <c r="AU273" t="str">
        <v>2½"</v>
      </c>
      <c r="AV273">
        <v>4</v>
      </c>
      <c r="AW273" t="str">
        <v>5½</v>
      </c>
      <c r="AY273">
        <v>1</v>
      </c>
      <c r="AZ273" t="str">
        <v>PRT</v>
      </c>
    </row>
    <row r="274">
      <c r="AL274" t="str">
        <v>001206-007</v>
      </c>
      <c r="AM274" t="str">
        <v>Drill Pipe</v>
      </c>
      <c r="AN274" t="str">
        <v>6½</v>
      </c>
      <c r="AP274" t="str">
        <v>3½ RH</v>
      </c>
      <c r="AR274" t="str">
        <v>½"</v>
      </c>
      <c r="AS274" t="str">
        <v>25'</v>
      </c>
      <c r="AT274">
        <v>898</v>
      </c>
      <c r="AU274" t="str">
        <v>2½"</v>
      </c>
      <c r="AV274">
        <v>4</v>
      </c>
      <c r="AW274" t="str">
        <v>5½</v>
      </c>
      <c r="AY274">
        <v>1</v>
      </c>
      <c r="AZ274" t="str">
        <v>PRT</v>
      </c>
    </row>
    <row r="275">
      <c r="AL275" t="str">
        <v>001206-006</v>
      </c>
      <c r="AM275" t="str">
        <v>Drill Pipe</v>
      </c>
      <c r="AN275" t="str">
        <v>6½</v>
      </c>
      <c r="AP275" t="str">
        <v>3½ RH</v>
      </c>
      <c r="AR275" t="str">
        <v>½"</v>
      </c>
      <c r="AS275" t="str">
        <v>30'</v>
      </c>
      <c r="AT275">
        <v>1050</v>
      </c>
      <c r="AU275" t="str">
        <v>2½"</v>
      </c>
      <c r="AV275">
        <v>4</v>
      </c>
      <c r="AW275" t="str">
        <v>5½</v>
      </c>
      <c r="AY275">
        <v>1</v>
      </c>
      <c r="AZ275" t="str">
        <v>PRT</v>
      </c>
    </row>
    <row r="276">
      <c r="AL276" t="str">
        <v>001206-004</v>
      </c>
      <c r="AM276" t="str">
        <v>Drill Pipe</v>
      </c>
      <c r="AN276" t="str">
        <v>6½</v>
      </c>
      <c r="AP276" t="str">
        <v>4½ RH</v>
      </c>
      <c r="AR276" t="str">
        <v>½"</v>
      </c>
      <c r="AS276" t="str">
        <v>20'</v>
      </c>
      <c r="AT276">
        <v>730</v>
      </c>
      <c r="AU276" t="str">
        <v>2½"</v>
      </c>
      <c r="AV276">
        <v>4</v>
      </c>
      <c r="AW276" t="str">
        <v>5½</v>
      </c>
      <c r="AY276">
        <v>1</v>
      </c>
      <c r="AZ276" t="str">
        <v>DRL</v>
      </c>
    </row>
    <row r="277">
      <c r="AL277" t="str">
        <v>001206-001</v>
      </c>
      <c r="AM277" t="str">
        <v>Drill Pipe</v>
      </c>
      <c r="AN277" t="str">
        <v>6½</v>
      </c>
      <c r="AP277" t="str">
        <v>4½ RH</v>
      </c>
      <c r="AR277" t="str">
        <v>½"</v>
      </c>
      <c r="AS277" t="str">
        <v>25'</v>
      </c>
      <c r="AT277">
        <v>890</v>
      </c>
      <c r="AU277" t="str">
        <v>2½"</v>
      </c>
      <c r="AV277">
        <v>4</v>
      </c>
      <c r="AW277" t="str">
        <v>5½</v>
      </c>
      <c r="AY277">
        <v>1</v>
      </c>
      <c r="AZ277" t="str">
        <v>DRL</v>
      </c>
    </row>
    <row r="278">
      <c r="AL278" t="str">
        <v>020861-002</v>
      </c>
      <c r="AM278" t="str">
        <v>Drill Pipe</v>
      </c>
      <c r="AN278" t="str">
        <v>6½</v>
      </c>
      <c r="AP278" t="str">
        <v>4½ RH</v>
      </c>
      <c r="AR278" t="str">
        <v>1"</v>
      </c>
      <c r="AS278" t="str">
        <v>18"</v>
      </c>
      <c r="AT278">
        <v>1885</v>
      </c>
      <c r="AU278" t="str">
        <v>2½"</v>
      </c>
      <c r="AV278">
        <v>5</v>
      </c>
      <c r="AY278">
        <v>1</v>
      </c>
      <c r="AZ278" t="str">
        <v>DRL</v>
      </c>
    </row>
    <row r="279">
      <c r="AL279" t="str">
        <v>020861-001</v>
      </c>
      <c r="AM279" t="str">
        <v>Drill Pipe</v>
      </c>
      <c r="AN279" t="str">
        <v>6½</v>
      </c>
      <c r="AP279" t="str">
        <v>4½ RH</v>
      </c>
      <c r="AR279" t="str">
        <v>1"</v>
      </c>
      <c r="AS279" t="str">
        <v>30'</v>
      </c>
      <c r="AT279">
        <v>1590</v>
      </c>
      <c r="AU279" t="str">
        <v>2½"</v>
      </c>
      <c r="AV279">
        <v>5</v>
      </c>
      <c r="AY279">
        <v>1</v>
      </c>
      <c r="AZ279" t="str">
        <v>PRT</v>
      </c>
    </row>
    <row r="280">
      <c r="AL280" t="str">
        <v>001206-003</v>
      </c>
      <c r="AM280" t="str">
        <v>Drill Pipe</v>
      </c>
      <c r="AN280" t="str">
        <v>6½</v>
      </c>
      <c r="AP280" t="str">
        <v>4½ RH</v>
      </c>
      <c r="AR280" t="str">
        <v>1"</v>
      </c>
      <c r="AS280" t="str">
        <v>18'</v>
      </c>
      <c r="AT280">
        <v>1100</v>
      </c>
      <c r="AU280" t="str">
        <v>2½"</v>
      </c>
      <c r="AV280">
        <v>4</v>
      </c>
      <c r="AW280" t="str">
        <v>5½</v>
      </c>
      <c r="AX280" t="str">
        <v>Starter Pipe A100 Hammer</v>
      </c>
      <c r="AY280">
        <v>1</v>
      </c>
      <c r="AZ280" t="str">
        <v>DRL</v>
      </c>
    </row>
    <row r="281">
      <c r="AL281" t="str">
        <v>001206-002</v>
      </c>
      <c r="AM281" t="str">
        <v>Drill Pipe</v>
      </c>
      <c r="AN281" t="str">
        <v>6½</v>
      </c>
      <c r="AP281" t="str">
        <v>4½ RH</v>
      </c>
      <c r="AR281" t="str">
        <v>1"</v>
      </c>
      <c r="AS281" t="str">
        <v>25'</v>
      </c>
      <c r="AT281">
        <v>1500</v>
      </c>
      <c r="AU281" t="str">
        <v>2½"</v>
      </c>
      <c r="AV281">
        <v>4</v>
      </c>
      <c r="AW281" t="str">
        <v>5½</v>
      </c>
      <c r="AY281">
        <v>1</v>
      </c>
      <c r="AZ281" t="str">
        <v>DRL</v>
      </c>
    </row>
    <row r="282">
      <c r="AL282" t="str">
        <v>019869-001</v>
      </c>
      <c r="AM282" t="str">
        <v>Drill Pipe</v>
      </c>
      <c r="AN282" t="str">
        <v>6½</v>
      </c>
      <c r="AP282" t="str">
        <v>4½ API</v>
      </c>
      <c r="AR282" t="str">
        <v>3/4"</v>
      </c>
      <c r="AS282" t="str">
        <v>35'</v>
      </c>
      <c r="AT282">
        <v>1500</v>
      </c>
      <c r="AU282" t="str">
        <v>2½"</v>
      </c>
      <c r="AV282">
        <v>4</v>
      </c>
      <c r="AW282" t="str">
        <v>5½</v>
      </c>
      <c r="AY282">
        <v>1</v>
      </c>
      <c r="AZ282" t="str">
        <v>PRT</v>
      </c>
    </row>
    <row r="283">
      <c r="AL283" t="str">
        <v>001206-005</v>
      </c>
      <c r="AM283" t="str">
        <v>Drill Pipe</v>
      </c>
      <c r="AN283" t="str">
        <v>6½</v>
      </c>
      <c r="AP283" t="str">
        <v>4½ RH</v>
      </c>
      <c r="AR283" t="str">
        <v>3/4"</v>
      </c>
      <c r="AS283" t="str">
        <v>35'</v>
      </c>
      <c r="AT283">
        <v>1500</v>
      </c>
      <c r="AU283" t="str">
        <v>2½"</v>
      </c>
      <c r="AV283">
        <v>4</v>
      </c>
      <c r="AW283" t="str">
        <v>5½</v>
      </c>
      <c r="AY283">
        <v>1</v>
      </c>
      <c r="AZ283" t="str">
        <v>PRT</v>
      </c>
    </row>
    <row r="284">
      <c r="AL284" t="str">
        <v>019066-001</v>
      </c>
      <c r="AM284" t="str">
        <v>Drill Pipe</v>
      </c>
      <c r="AN284" t="str">
        <v>7½</v>
      </c>
      <c r="AP284" t="str">
        <v>5¼ RH</v>
      </c>
      <c r="AQ284" t="str">
        <v>5¼ RH</v>
      </c>
      <c r="AR284" t="str">
        <v>.50</v>
      </c>
      <c r="AS284" t="str">
        <v>35'</v>
      </c>
      <c r="AT284">
        <v>2400</v>
      </c>
      <c r="AU284" t="str">
        <v>3"</v>
      </c>
      <c r="AV284">
        <v>6.75</v>
      </c>
      <c r="AW284">
        <v>6.75</v>
      </c>
      <c r="AX284" t="str">
        <v>C75 Special IR Pipe</v>
      </c>
      <c r="AY284">
        <v>1</v>
      </c>
      <c r="AZ284" t="str">
        <v>PRT</v>
      </c>
    </row>
    <row r="285">
      <c r="AL285" t="str">
        <v>005844-002</v>
      </c>
      <c r="AM285" t="str">
        <v>Drill Pipe</v>
      </c>
      <c r="AN285" t="str">
        <v>9¼</v>
      </c>
      <c r="AP285" t="str">
        <v>6 RH</v>
      </c>
      <c r="AR285" t="str">
        <v>½"</v>
      </c>
      <c r="AS285" t="str">
        <v>30'</v>
      </c>
      <c r="AT285">
        <v>1745</v>
      </c>
      <c r="AU285" t="str">
        <v>3"</v>
      </c>
      <c r="AV285">
        <v>7</v>
      </c>
      <c r="AW285">
        <v>7.75</v>
      </c>
      <c r="AX285" t="str">
        <v>D80</v>
      </c>
      <c r="AY285">
        <v>1</v>
      </c>
      <c r="AZ285" t="str">
        <v>PRT</v>
      </c>
    </row>
    <row r="286">
      <c r="AL286" t="str">
        <v>005844-001</v>
      </c>
      <c r="AM286" t="str">
        <v>Drill Pipe</v>
      </c>
      <c r="AN286" t="str">
        <v>9¼</v>
      </c>
      <c r="AP286" t="str">
        <v>6 RH</v>
      </c>
      <c r="AR286" t="str">
        <v>½"</v>
      </c>
      <c r="AS286" t="str">
        <v>27'6"</v>
      </c>
      <c r="AT286">
        <v>1625</v>
      </c>
      <c r="AU286" t="str">
        <v>3"</v>
      </c>
      <c r="AV286">
        <v>7</v>
      </c>
      <c r="AW286">
        <v>7.75</v>
      </c>
      <c r="AX286" t="str">
        <v>D80</v>
      </c>
      <c r="AY286">
        <v>1</v>
      </c>
      <c r="AZ286" t="str">
        <v>PRT</v>
      </c>
    </row>
    <row r="287">
      <c r="AL287" t="str">
        <v>022726-001</v>
      </c>
      <c r="AM287" t="str">
        <v>Drill Pipe</v>
      </c>
      <c r="AN287" t="str">
        <v>9¼</v>
      </c>
      <c r="AP287" t="str">
        <v>6 RH</v>
      </c>
      <c r="AR287" t="str">
        <v>1"</v>
      </c>
      <c r="AS287" t="str">
        <v>40'</v>
      </c>
      <c r="AT287">
        <v>3050</v>
      </c>
      <c r="AU287" t="str">
        <v>3"</v>
      </c>
      <c r="AV287">
        <v>7</v>
      </c>
      <c r="AY287">
        <v>1</v>
      </c>
      <c r="AZ287" t="str">
        <v>PRT</v>
      </c>
    </row>
    <row r="288">
      <c r="AL288" t="str">
        <v>005844-003</v>
      </c>
      <c r="AM288" t="str">
        <v>Drill Pipe</v>
      </c>
      <c r="AN288" t="str">
        <v>9¼</v>
      </c>
      <c r="AP288" t="str">
        <v>6 RH</v>
      </c>
      <c r="AR288" t="str">
        <v>1"</v>
      </c>
      <c r="AS288" t="str">
        <v>30'</v>
      </c>
      <c r="AT288">
        <v>2700</v>
      </c>
      <c r="AU288" t="str">
        <v>3"</v>
      </c>
      <c r="AV288">
        <v>7</v>
      </c>
      <c r="AW288">
        <v>7.75</v>
      </c>
      <c r="AX288" t="str">
        <v>D80</v>
      </c>
      <c r="AY288">
        <v>1</v>
      </c>
      <c r="AZ288" t="str">
        <v>PRT</v>
      </c>
    </row>
    <row r="289">
      <c r="AL289" t="str">
        <v>001891-001</v>
      </c>
      <c r="AM289" t="str">
        <v>Bit Sub</v>
      </c>
      <c r="AN289">
        <v>3</v>
      </c>
      <c r="AO289">
        <v>3</v>
      </c>
      <c r="AP289" t="str">
        <v>2 3/8 API</v>
      </c>
      <c r="AQ289" t="str">
        <v>2 3/8 API</v>
      </c>
      <c r="AS289" t="str">
        <v>24"</v>
      </c>
      <c r="AT289">
        <v>42</v>
      </c>
      <c r="AU289" t="str">
        <v>1"</v>
      </c>
      <c r="AV289" t="str">
        <v>2¼</v>
      </c>
      <c r="AW289">
        <v>4</v>
      </c>
      <c r="AY289">
        <v>1</v>
      </c>
      <c r="AZ289" t="str">
        <v>DRL</v>
      </c>
    </row>
    <row r="290">
      <c r="AL290" t="str">
        <v>021518-001</v>
      </c>
      <c r="AM290" t="str">
        <v>Bit Sub</v>
      </c>
      <c r="AN290">
        <v>3</v>
      </c>
      <c r="AO290">
        <v>3</v>
      </c>
      <c r="AP290" t="str">
        <v>2 3/8 API</v>
      </c>
      <c r="AQ290" t="str">
        <v>2 3/8 API</v>
      </c>
      <c r="AS290" t="str">
        <v>24"</v>
      </c>
      <c r="AT290">
        <v>42</v>
      </c>
      <c r="AU290" t="str">
        <v>1"</v>
      </c>
      <c r="AV290" t="str">
        <v>2¼</v>
      </c>
      <c r="AW290" t="str">
        <v>4 lg</v>
      </c>
      <c r="AX290" t="str">
        <v>Gator XL 5</v>
      </c>
      <c r="AY290">
        <v>1</v>
      </c>
      <c r="AZ290" t="str">
        <v>PRT</v>
      </c>
    </row>
    <row r="291">
      <c r="AL291" t="str">
        <v>022167-001</v>
      </c>
      <c r="AM291" t="str">
        <v>Bit Sub</v>
      </c>
      <c r="AN291">
        <v>3</v>
      </c>
      <c r="AO291">
        <v>3</v>
      </c>
      <c r="AP291" t="str">
        <v>2 3/8 MJR</v>
      </c>
      <c r="AQ291" t="str">
        <v>2 3/8 API</v>
      </c>
      <c r="AS291" t="str">
        <v>24"</v>
      </c>
      <c r="AT291">
        <v>42</v>
      </c>
      <c r="AU291" t="str">
        <v>1"</v>
      </c>
      <c r="AV291" t="str">
        <v>2¼</v>
      </c>
      <c r="AX291" t="str">
        <v>Gator</v>
      </c>
      <c r="AY291">
        <v>1</v>
      </c>
      <c r="AZ291" t="str">
        <v>PRT</v>
      </c>
    </row>
    <row r="292">
      <c r="AL292" t="str">
        <v>021518-002</v>
      </c>
      <c r="AM292" t="str">
        <v>Bit Sub</v>
      </c>
      <c r="AN292">
        <v>3</v>
      </c>
      <c r="AO292" t="str">
        <v>3½</v>
      </c>
      <c r="AP292" t="str">
        <v>2 3/8 API</v>
      </c>
      <c r="AQ292" t="str">
        <v>2 7/8 API</v>
      </c>
      <c r="AS292" t="str">
        <v>24"</v>
      </c>
      <c r="AT292">
        <v>48</v>
      </c>
      <c r="AU292" t="str">
        <v>1"</v>
      </c>
      <c r="AV292" t="str">
        <v>2¼</v>
      </c>
      <c r="AW292" t="str">
        <v>4 lg</v>
      </c>
      <c r="AX292" t="str">
        <v>Gator XL 5</v>
      </c>
      <c r="AY292">
        <v>1</v>
      </c>
      <c r="AZ292" t="str">
        <v>PRT</v>
      </c>
    </row>
    <row r="293">
      <c r="AL293" t="str">
        <v>022061-001</v>
      </c>
      <c r="AM293" t="str">
        <v>Bit Sub</v>
      </c>
      <c r="AN293">
        <v>3</v>
      </c>
      <c r="AO293" t="str">
        <v>3½</v>
      </c>
      <c r="AP293" t="str">
        <v>2 3/8 MJR</v>
      </c>
      <c r="AQ293" t="str">
        <v>2 3/8 API</v>
      </c>
      <c r="AS293" t="str">
        <v>24"</v>
      </c>
      <c r="AT293">
        <v>36</v>
      </c>
      <c r="AU293" t="str">
        <v>1½"</v>
      </c>
      <c r="AV293" t="str">
        <v>2¼</v>
      </c>
      <c r="AW293" t="str">
        <v>4 lg</v>
      </c>
      <c r="AY293">
        <v>1</v>
      </c>
      <c r="AZ293" t="str">
        <v>PRT</v>
      </c>
    </row>
    <row r="294">
      <c r="AL294" t="str">
        <v>022167-002</v>
      </c>
      <c r="AM294" t="str">
        <v>Bit Sub</v>
      </c>
      <c r="AN294">
        <v>3</v>
      </c>
      <c r="AO294" t="str">
        <v>3½</v>
      </c>
      <c r="AP294" t="str">
        <v>2 3/8 MJR</v>
      </c>
      <c r="AQ294" t="str">
        <v>2 7/8 API</v>
      </c>
      <c r="AS294" t="str">
        <v>24"</v>
      </c>
      <c r="AT294">
        <v>48</v>
      </c>
      <c r="AU294" t="str">
        <v>1"</v>
      </c>
      <c r="AV294" t="str">
        <v>2¼</v>
      </c>
      <c r="AX294" t="str">
        <v>Gator</v>
      </c>
      <c r="AY294">
        <v>1</v>
      </c>
      <c r="AZ294" t="str">
        <v>PRT</v>
      </c>
    </row>
    <row r="295">
      <c r="AL295" t="str">
        <v>021518-003</v>
      </c>
      <c r="AM295" t="str">
        <v>Bit Sub</v>
      </c>
      <c r="AN295">
        <v>3</v>
      </c>
      <c r="AO295" t="str">
        <v>4½</v>
      </c>
      <c r="AP295" t="str">
        <v>2 3/8 API</v>
      </c>
      <c r="AQ295" t="str">
        <v>3½ API</v>
      </c>
      <c r="AS295" t="str">
        <v>24"</v>
      </c>
      <c r="AT295">
        <v>54</v>
      </c>
      <c r="AU295" t="str">
        <v>1"</v>
      </c>
      <c r="AV295" t="str">
        <v>2¼</v>
      </c>
      <c r="AW295" t="str">
        <v>4 lg</v>
      </c>
      <c r="AX295" t="str">
        <v>Gator XL 4</v>
      </c>
      <c r="AY295">
        <v>1</v>
      </c>
      <c r="AZ295" t="str">
        <v>PRT</v>
      </c>
    </row>
    <row r="296">
      <c r="AL296" t="str">
        <v>022167-003</v>
      </c>
      <c r="AM296" t="str">
        <v>Bit Sub</v>
      </c>
      <c r="AN296">
        <v>3</v>
      </c>
      <c r="AO296" t="str">
        <v>4½</v>
      </c>
      <c r="AP296" t="str">
        <v>2 3/8 MJR</v>
      </c>
      <c r="AQ296" t="str">
        <v>3½ API</v>
      </c>
      <c r="AS296" t="str">
        <v>24"</v>
      </c>
      <c r="AT296">
        <v>54</v>
      </c>
      <c r="AU296" t="str">
        <v>1"</v>
      </c>
      <c r="AV296" t="str">
        <v>2¼</v>
      </c>
      <c r="AX296" t="str">
        <v>Gator</v>
      </c>
      <c r="AY296">
        <v>1</v>
      </c>
      <c r="AZ296" t="str">
        <v>PRT</v>
      </c>
    </row>
    <row r="297">
      <c r="AL297" t="str">
        <v>002723-001</v>
      </c>
      <c r="AM297" t="str">
        <v>Bit Sub</v>
      </c>
      <c r="AN297">
        <v>4</v>
      </c>
      <c r="AO297">
        <v>4</v>
      </c>
      <c r="AP297" t="str">
        <v>2 3/8 IF</v>
      </c>
      <c r="AQ297" t="str">
        <v>3½ API</v>
      </c>
      <c r="AS297" t="str">
        <v>24"</v>
      </c>
      <c r="AT297">
        <v>73</v>
      </c>
      <c r="AU297" t="str">
        <v>1 3/4"</v>
      </c>
      <c r="AV297">
        <v>2.75</v>
      </c>
      <c r="AW297">
        <v>4</v>
      </c>
      <c r="AY297">
        <v>1</v>
      </c>
      <c r="AZ297" t="str">
        <v>PRT</v>
      </c>
    </row>
    <row r="298">
      <c r="AL298" t="str">
        <v>002744-001</v>
      </c>
      <c r="AM298" t="str">
        <v>Bit Sub</v>
      </c>
      <c r="AN298">
        <v>4</v>
      </c>
      <c r="AO298">
        <v>4</v>
      </c>
      <c r="AP298" t="str">
        <v>2 3/8 IF</v>
      </c>
      <c r="AQ298" t="str">
        <v>2 3/8 API</v>
      </c>
      <c r="AS298" t="str">
        <v>24"</v>
      </c>
      <c r="AT298">
        <v>73</v>
      </c>
      <c r="AU298" t="str">
        <v>1 3/4"</v>
      </c>
      <c r="AV298">
        <v>2.75</v>
      </c>
      <c r="AW298">
        <v>4</v>
      </c>
      <c r="AY298">
        <v>1</v>
      </c>
      <c r="AZ298" t="str">
        <v>END</v>
      </c>
    </row>
    <row r="299">
      <c r="AL299" t="str">
        <v>002745-001</v>
      </c>
      <c r="AM299" t="str">
        <v>Bit Sub</v>
      </c>
      <c r="AN299">
        <v>4</v>
      </c>
      <c r="AO299">
        <v>4</v>
      </c>
      <c r="AP299" t="str">
        <v>2 3/8 IF</v>
      </c>
      <c r="AQ299" t="str">
        <v>2 7/8 API</v>
      </c>
      <c r="AS299" t="str">
        <v>24"</v>
      </c>
      <c r="AT299">
        <v>73</v>
      </c>
      <c r="AU299" t="str">
        <v>1 3/4"</v>
      </c>
      <c r="AV299">
        <v>2.75</v>
      </c>
      <c r="AW299">
        <v>4</v>
      </c>
      <c r="AY299">
        <v>1</v>
      </c>
      <c r="AZ299" t="str">
        <v>DRL</v>
      </c>
    </row>
    <row r="300">
      <c r="AL300" t="str">
        <v>012154-001</v>
      </c>
      <c r="AM300" t="str">
        <v>Bit Sub</v>
      </c>
      <c r="AN300">
        <v>4</v>
      </c>
      <c r="AO300">
        <v>4</v>
      </c>
      <c r="AP300" t="str">
        <v>2 7/8 API</v>
      </c>
      <c r="AQ300" t="str">
        <v>2 7/8 API</v>
      </c>
      <c r="AS300" t="str">
        <v>24"</v>
      </c>
      <c r="AT300">
        <v>76</v>
      </c>
      <c r="AU300" t="str">
        <v>1¼"</v>
      </c>
      <c r="AV300">
        <v>2.75</v>
      </c>
      <c r="AW300">
        <v>4</v>
      </c>
      <c r="AY300">
        <v>1</v>
      </c>
      <c r="AZ300" t="str">
        <v>PRT</v>
      </c>
    </row>
    <row r="301">
      <c r="AL301" t="str">
        <v>012154-002</v>
      </c>
      <c r="AM301" t="str">
        <v>Bit Sub</v>
      </c>
      <c r="AN301">
        <v>4</v>
      </c>
      <c r="AO301">
        <v>4</v>
      </c>
      <c r="AP301" t="str">
        <v>2 7/8 API</v>
      </c>
      <c r="AQ301" t="str">
        <v>3½ API</v>
      </c>
      <c r="AS301" t="str">
        <v>24"</v>
      </c>
      <c r="AT301">
        <v>76</v>
      </c>
      <c r="AU301" t="str">
        <v>1¼"</v>
      </c>
      <c r="AV301">
        <v>2.75</v>
      </c>
      <c r="AW301">
        <v>4</v>
      </c>
      <c r="AY301">
        <v>1</v>
      </c>
      <c r="AZ301" t="str">
        <v>PRT</v>
      </c>
    </row>
    <row r="302">
      <c r="AL302" t="str">
        <v>021519-001</v>
      </c>
      <c r="AM302" t="str">
        <v>Bit Sub</v>
      </c>
      <c r="AN302">
        <v>4</v>
      </c>
      <c r="AO302">
        <v>4</v>
      </c>
      <c r="AP302" t="str">
        <v>2 7/8 API</v>
      </c>
      <c r="AQ302" t="str">
        <v>2 7/8 API</v>
      </c>
      <c r="AS302" t="str">
        <v>24"</v>
      </c>
      <c r="AT302">
        <v>77</v>
      </c>
      <c r="AU302" t="str">
        <v>1¼"</v>
      </c>
      <c r="AV302">
        <v>2.75</v>
      </c>
      <c r="AW302" t="str">
        <v>4 lg</v>
      </c>
      <c r="AX302" t="str">
        <v>Gator XL 5</v>
      </c>
      <c r="AY302">
        <v>1</v>
      </c>
      <c r="AZ302" t="str">
        <v>PRT</v>
      </c>
    </row>
    <row r="303">
      <c r="AL303" t="str">
        <v>008949-001</v>
      </c>
      <c r="AM303" t="str">
        <v>Bit Sub</v>
      </c>
      <c r="AN303">
        <v>4</v>
      </c>
      <c r="AO303">
        <v>4</v>
      </c>
      <c r="AP303" t="str">
        <v>2 3/8 IF</v>
      </c>
      <c r="AQ303" t="str">
        <v>2 7/8 API</v>
      </c>
      <c r="AS303" t="str">
        <v>54"</v>
      </c>
      <c r="AT303">
        <v>165</v>
      </c>
      <c r="AU303" t="str">
        <v>1 3/4"</v>
      </c>
      <c r="AV303">
        <v>2.75</v>
      </c>
      <c r="AW303">
        <v>4</v>
      </c>
      <c r="AY303">
        <v>1</v>
      </c>
      <c r="AZ303" t="str">
        <v>DRL</v>
      </c>
    </row>
    <row r="304">
      <c r="AL304" t="str">
        <v>002723-002</v>
      </c>
      <c r="AM304" t="str">
        <v>Bit Sub</v>
      </c>
      <c r="AN304">
        <v>4</v>
      </c>
      <c r="AP304" t="str">
        <v>2 3/8 IF</v>
      </c>
      <c r="AQ304" t="str">
        <v>3½ API</v>
      </c>
      <c r="AS304">
        <v>4</v>
      </c>
      <c r="AT304">
        <v>14</v>
      </c>
      <c r="AU304" t="str">
        <v>1 3/4"</v>
      </c>
      <c r="AV304">
        <v>2.75</v>
      </c>
      <c r="AW304" t="str">
        <v>4 lg</v>
      </c>
      <c r="AY304">
        <v>1</v>
      </c>
      <c r="AZ304" t="str">
        <v>PRT</v>
      </c>
    </row>
    <row r="305">
      <c r="AL305" t="str">
        <v>002723-003</v>
      </c>
      <c r="AM305" t="str">
        <v>Bit Sub</v>
      </c>
      <c r="AN305">
        <v>4</v>
      </c>
      <c r="AP305" t="str">
        <v>2 7/8 API</v>
      </c>
      <c r="AQ305" t="str">
        <v>3 ½ API</v>
      </c>
      <c r="AS305">
        <v>4</v>
      </c>
      <c r="AT305">
        <v>73</v>
      </c>
      <c r="AU305" t="str">
        <v>1¼"</v>
      </c>
      <c r="AV305">
        <v>2.75</v>
      </c>
      <c r="AW305" t="str">
        <v>4 lg</v>
      </c>
    </row>
    <row r="306">
      <c r="AL306" t="str">
        <v>003750-001</v>
      </c>
      <c r="AM306" t="str">
        <v>Bit Sub</v>
      </c>
      <c r="AN306">
        <v>4.625</v>
      </c>
      <c r="AO306">
        <v>4.83</v>
      </c>
      <c r="AP306" t="str">
        <v>4 1/8D131</v>
      </c>
      <c r="AQ306" t="str">
        <v>2 7/8 API</v>
      </c>
      <c r="AS306" t="str">
        <v>10"</v>
      </c>
      <c r="AT306">
        <v>34</v>
      </c>
      <c r="AU306" t="str">
        <v>2"</v>
      </c>
      <c r="AX306" t="str">
        <v>Duotube/Skirted bit sub box/box</v>
      </c>
      <c r="AY306">
        <v>1</v>
      </c>
      <c r="AZ306" t="str">
        <v>PRT</v>
      </c>
    </row>
    <row r="307">
      <c r="AL307" t="str">
        <v>001383-002</v>
      </c>
      <c r="AM307" t="str">
        <v>Bit Sub</v>
      </c>
      <c r="AN307">
        <v>5</v>
      </c>
      <c r="AO307">
        <v>5</v>
      </c>
      <c r="AP307" t="str">
        <v>3RH</v>
      </c>
      <c r="AQ307" t="str">
        <v>3½ API</v>
      </c>
      <c r="AS307" t="str">
        <v>12"</v>
      </c>
      <c r="AT307">
        <v>60</v>
      </c>
      <c r="AU307" t="str">
        <v>1½"</v>
      </c>
      <c r="AV307">
        <v>3</v>
      </c>
      <c r="AW307">
        <v>4</v>
      </c>
      <c r="AX307" t="str">
        <v>Obsolete</v>
      </c>
      <c r="AY307">
        <v>1</v>
      </c>
      <c r="AZ307" t="str">
        <v>DRL</v>
      </c>
    </row>
    <row r="308">
      <c r="AL308" t="str">
        <v>001383-001</v>
      </c>
      <c r="AM308" t="str">
        <v>Bit Sub</v>
      </c>
      <c r="AN308">
        <v>5</v>
      </c>
      <c r="AO308">
        <v>5</v>
      </c>
      <c r="AP308" t="str">
        <v>3RH Pin</v>
      </c>
      <c r="AQ308" t="str">
        <v>3½ API Box</v>
      </c>
      <c r="AS308" t="str">
        <v>24"</v>
      </c>
      <c r="AT308">
        <v>120</v>
      </c>
      <c r="AU308" t="str">
        <v>1½"</v>
      </c>
      <c r="AV308">
        <v>3</v>
      </c>
      <c r="AW308">
        <v>4</v>
      </c>
      <c r="AX308" t="str">
        <v>Obsolete</v>
      </c>
      <c r="AY308">
        <v>1</v>
      </c>
      <c r="AZ308" t="str">
        <v>DRL</v>
      </c>
    </row>
    <row r="309">
      <c r="AL309" t="str">
        <v>001428-001</v>
      </c>
      <c r="AM309" t="str">
        <v>Bit Sub</v>
      </c>
      <c r="AN309">
        <v>5</v>
      </c>
      <c r="AO309">
        <v>5</v>
      </c>
      <c r="AP309" t="str">
        <v>3½ API</v>
      </c>
      <c r="AQ309" t="str">
        <v>3½ API</v>
      </c>
      <c r="AS309" t="str">
        <v>24"</v>
      </c>
      <c r="AT309">
        <v>120</v>
      </c>
      <c r="AU309" t="str">
        <v>1½"</v>
      </c>
      <c r="AV309">
        <v>3</v>
      </c>
      <c r="AW309" t="str">
        <v>4 lg</v>
      </c>
      <c r="AY309">
        <v>1</v>
      </c>
      <c r="AZ309" t="str">
        <v>DRL</v>
      </c>
    </row>
    <row r="310">
      <c r="AL310" t="str">
        <v>001997-001</v>
      </c>
      <c r="AM310" t="str">
        <v>Bit Sub</v>
      </c>
      <c r="AN310">
        <v>5</v>
      </c>
      <c r="AO310">
        <v>5</v>
      </c>
      <c r="AP310" t="str">
        <v>3½ API</v>
      </c>
      <c r="AQ310" t="str">
        <v>3 RH Pin</v>
      </c>
      <c r="AS310" t="str">
        <v>24"</v>
      </c>
      <c r="AT310">
        <v>155</v>
      </c>
      <c r="AU310" t="str">
        <v>1½"</v>
      </c>
      <c r="AV310">
        <v>3</v>
      </c>
      <c r="AW310">
        <v>4</v>
      </c>
      <c r="AX310" t="str">
        <v>Obsolete</v>
      </c>
      <c r="AY310">
        <v>1</v>
      </c>
      <c r="AZ310" t="str">
        <v>DRL</v>
      </c>
    </row>
    <row r="311">
      <c r="AL311" t="str">
        <v>003224-001</v>
      </c>
      <c r="AM311" t="str">
        <v>Bit Sub</v>
      </c>
      <c r="AN311">
        <v>5</v>
      </c>
      <c r="AO311">
        <v>5</v>
      </c>
      <c r="AP311" t="str">
        <v>3½ IF</v>
      </c>
      <c r="AQ311" t="str">
        <v>3½ API</v>
      </c>
      <c r="AS311" t="str">
        <v>24"</v>
      </c>
      <c r="AT311">
        <v>120</v>
      </c>
      <c r="AU311" t="str">
        <v>2 7/16"</v>
      </c>
      <c r="AV311">
        <v>3.75</v>
      </c>
      <c r="AW311">
        <v>4</v>
      </c>
      <c r="AY311">
        <v>1</v>
      </c>
      <c r="AZ311" t="str">
        <v>DRL</v>
      </c>
    </row>
    <row r="312">
      <c r="AL312" t="str">
        <v>003464-001</v>
      </c>
      <c r="AM312" t="str">
        <v>Bit Sub</v>
      </c>
      <c r="AN312">
        <v>5</v>
      </c>
      <c r="AO312">
        <v>5</v>
      </c>
      <c r="AP312" t="str">
        <v>3½ RH</v>
      </c>
      <c r="AQ312" t="str">
        <v>3½ API</v>
      </c>
      <c r="AS312" t="str">
        <v>24"</v>
      </c>
      <c r="AT312">
        <v>120</v>
      </c>
      <c r="AU312" t="str">
        <v>1½"</v>
      </c>
      <c r="AV312">
        <v>3</v>
      </c>
      <c r="AW312">
        <v>4</v>
      </c>
      <c r="AY312">
        <v>1</v>
      </c>
      <c r="AZ312" t="str">
        <v>DRL</v>
      </c>
    </row>
    <row r="313">
      <c r="AL313" t="str">
        <v>017353-001</v>
      </c>
      <c r="AM313" t="str">
        <v>Bit Sub</v>
      </c>
      <c r="AN313">
        <v>5</v>
      </c>
      <c r="AO313">
        <v>5</v>
      </c>
      <c r="AP313" t="str">
        <v>3½ IF</v>
      </c>
      <c r="AQ313" t="str">
        <v>3½ IF</v>
      </c>
      <c r="AS313" t="str">
        <v>24"</v>
      </c>
      <c r="AT313">
        <v>90</v>
      </c>
      <c r="AU313" t="str">
        <v>2¼"</v>
      </c>
      <c r="AV313">
        <v>3</v>
      </c>
      <c r="AW313">
        <v>4</v>
      </c>
      <c r="AY313">
        <v>1</v>
      </c>
      <c r="AZ313" t="str">
        <v>DRL</v>
      </c>
    </row>
    <row r="314">
      <c r="AL314" t="str">
        <v>001428-002</v>
      </c>
      <c r="AM314" t="str">
        <v>Bit Sub</v>
      </c>
      <c r="AN314">
        <v>5</v>
      </c>
      <c r="AO314">
        <v>5</v>
      </c>
      <c r="AP314" t="str">
        <v>3½ API</v>
      </c>
      <c r="AQ314" t="str">
        <v>3½ API</v>
      </c>
      <c r="AS314" t="str">
        <v>32"</v>
      </c>
      <c r="AT314">
        <v>160</v>
      </c>
      <c r="AU314" t="str">
        <v>1½"</v>
      </c>
      <c r="AV314">
        <v>3</v>
      </c>
      <c r="AW314" t="str">
        <v>4 lg</v>
      </c>
      <c r="AY314">
        <v>1</v>
      </c>
      <c r="AZ314" t="str">
        <v>PRT</v>
      </c>
    </row>
    <row r="315">
      <c r="AL315" t="str">
        <v>001428-003</v>
      </c>
      <c r="AM315" t="str">
        <v>Bit Sub</v>
      </c>
      <c r="AN315">
        <v>5</v>
      </c>
      <c r="AO315">
        <v>5</v>
      </c>
      <c r="AP315" t="str">
        <v>3½ API</v>
      </c>
      <c r="AQ315" t="str">
        <v>3½ API</v>
      </c>
      <c r="AS315" t="str">
        <v>48"</v>
      </c>
      <c r="AT315">
        <v>240</v>
      </c>
      <c r="AU315" t="str">
        <v>1½"</v>
      </c>
      <c r="AV315">
        <v>3</v>
      </c>
      <c r="AW315" t="str">
        <v>4 lg</v>
      </c>
      <c r="AY315">
        <v>1</v>
      </c>
      <c r="AZ315" t="str">
        <v>DRL</v>
      </c>
    </row>
    <row r="316">
      <c r="AL316" t="str">
        <v>001428-004</v>
      </c>
      <c r="AM316" t="str">
        <v>Bit Sub</v>
      </c>
      <c r="AN316">
        <v>5</v>
      </c>
      <c r="AO316">
        <v>5</v>
      </c>
      <c r="AP316" t="str">
        <v>3½ API</v>
      </c>
      <c r="AQ316" t="str">
        <v>3½ API</v>
      </c>
      <c r="AS316" t="str">
        <v>60"</v>
      </c>
      <c r="AT316">
        <v>300</v>
      </c>
      <c r="AU316" t="str">
        <v>1½"</v>
      </c>
      <c r="AV316">
        <v>3</v>
      </c>
      <c r="AW316" t="str">
        <v>12 lg</v>
      </c>
      <c r="AY316">
        <v>1</v>
      </c>
      <c r="AZ316" t="str">
        <v>PRT</v>
      </c>
    </row>
    <row r="317">
      <c r="AL317" t="str">
        <v>001428-005</v>
      </c>
      <c r="AM317" t="str">
        <v>Bit Sub</v>
      </c>
      <c r="AN317">
        <v>5</v>
      </c>
      <c r="AO317">
        <v>5</v>
      </c>
      <c r="AP317" t="str">
        <v>3½ API</v>
      </c>
      <c r="AQ317" t="str">
        <v>3½ API</v>
      </c>
      <c r="AS317" t="str">
        <v>72"</v>
      </c>
      <c r="AT317">
        <v>360</v>
      </c>
      <c r="AU317" t="str">
        <v>1½"</v>
      </c>
      <c r="AV317">
        <v>3</v>
      </c>
      <c r="AW317" t="str">
        <v>12 lg</v>
      </c>
      <c r="AY317">
        <v>1</v>
      </c>
      <c r="AZ317" t="str">
        <v>PRT</v>
      </c>
    </row>
    <row r="318">
      <c r="AL318" t="str">
        <v>009205-001</v>
      </c>
      <c r="AM318" t="str">
        <v>Bit Sub</v>
      </c>
      <c r="AN318">
        <v>5</v>
      </c>
      <c r="AO318">
        <v>6</v>
      </c>
      <c r="AP318" t="str">
        <v>3½ API</v>
      </c>
      <c r="AQ318" t="str">
        <v>4½ API</v>
      </c>
      <c r="AS318" t="str">
        <v>24"</v>
      </c>
      <c r="AT318">
        <v>155</v>
      </c>
      <c r="AU318" t="str">
        <v>1 3/4"</v>
      </c>
      <c r="AV318">
        <v>3</v>
      </c>
      <c r="AW318">
        <v>4</v>
      </c>
      <c r="AY318">
        <v>1</v>
      </c>
      <c r="AZ318" t="str">
        <v>DRL</v>
      </c>
    </row>
    <row r="319">
      <c r="AL319" t="str">
        <v>003493-002</v>
      </c>
      <c r="AM319" t="str">
        <v>Bit Sub</v>
      </c>
      <c r="AN319">
        <v>5</v>
      </c>
      <c r="AO319" t="str">
        <v>5½</v>
      </c>
      <c r="AP319" t="str">
        <v>3½ RH</v>
      </c>
      <c r="AQ319" t="str">
        <v>4½ API</v>
      </c>
      <c r="AS319">
        <v>37</v>
      </c>
      <c r="AT319">
        <v>178</v>
      </c>
      <c r="AU319" t="str">
        <v>1½"</v>
      </c>
      <c r="AV319">
        <v>3</v>
      </c>
      <c r="AW319" t="str">
        <v>4 lg</v>
      </c>
      <c r="AY319">
        <v>1</v>
      </c>
      <c r="AZ319" t="str">
        <v>PRT</v>
      </c>
    </row>
    <row r="320">
      <c r="AL320" t="str">
        <v>001473-001</v>
      </c>
      <c r="AM320" t="str">
        <v>Bit Sub</v>
      </c>
      <c r="AN320">
        <v>5</v>
      </c>
      <c r="AO320" t="str">
        <v>5½</v>
      </c>
      <c r="AP320" t="str">
        <v>3½ API</v>
      </c>
      <c r="AQ320" t="str">
        <v>4½ API</v>
      </c>
      <c r="AS320" t="str">
        <v>24"</v>
      </c>
      <c r="AT320">
        <v>125</v>
      </c>
      <c r="AU320" t="str">
        <v>1½"</v>
      </c>
      <c r="AV320">
        <v>3</v>
      </c>
      <c r="AW320">
        <v>4</v>
      </c>
      <c r="AY320">
        <v>1</v>
      </c>
      <c r="AZ320" t="str">
        <v>DRL</v>
      </c>
    </row>
    <row r="321">
      <c r="AL321" t="str">
        <v>001836-001</v>
      </c>
      <c r="AM321" t="str">
        <v>Bit Sub</v>
      </c>
      <c r="AN321">
        <v>5</v>
      </c>
      <c r="AO321" t="str">
        <v>5½</v>
      </c>
      <c r="AP321" t="str">
        <v>3 RH Pin</v>
      </c>
      <c r="AQ321" t="str">
        <v>4½ API Box</v>
      </c>
      <c r="AS321" t="str">
        <v>24"</v>
      </c>
      <c r="AT321">
        <v>125</v>
      </c>
      <c r="AU321" t="str">
        <v>1½"</v>
      </c>
      <c r="AV321">
        <v>3</v>
      </c>
      <c r="AW321">
        <v>4</v>
      </c>
      <c r="AY321">
        <v>1</v>
      </c>
      <c r="AZ321" t="str">
        <v>DRL</v>
      </c>
    </row>
    <row r="322">
      <c r="AL322" t="str">
        <v>003493-001</v>
      </c>
      <c r="AM322" t="str">
        <v>Bit Sub</v>
      </c>
      <c r="AN322">
        <v>5</v>
      </c>
      <c r="AO322" t="str">
        <v>5½</v>
      </c>
      <c r="AP322" t="str">
        <v>3½ RH</v>
      </c>
      <c r="AQ322" t="str">
        <v>4½ API</v>
      </c>
      <c r="AS322" t="str">
        <v>24"</v>
      </c>
      <c r="AT322">
        <v>125</v>
      </c>
      <c r="AU322" t="str">
        <v>1½"</v>
      </c>
      <c r="AV322">
        <v>3</v>
      </c>
      <c r="AW322" t="str">
        <v>4 lg</v>
      </c>
      <c r="AY322">
        <v>1</v>
      </c>
      <c r="AZ322" t="str">
        <v>DRL</v>
      </c>
    </row>
    <row r="323">
      <c r="AL323" t="str">
        <v>023595-001</v>
      </c>
      <c r="AM323" t="str">
        <v>Bit Sub</v>
      </c>
      <c r="AN323">
        <v>5</v>
      </c>
      <c r="AP323" t="str">
        <v>3½ RH</v>
      </c>
      <c r="AQ323" t="str">
        <v>3½ RH</v>
      </c>
      <c r="AR323" t="str">
        <v>1 3/8</v>
      </c>
      <c r="AS323" t="str">
        <v>24"</v>
      </c>
      <c r="AU323" t="str">
        <v>2¼</v>
      </c>
      <c r="AV323">
        <v>3</v>
      </c>
      <c r="AX323" t="str">
        <v>C245</v>
      </c>
    </row>
    <row r="324">
      <c r="AL324" t="str">
        <v>003649-002</v>
      </c>
      <c r="AM324" t="str">
        <v>Bit Sub</v>
      </c>
      <c r="AN324">
        <v>6</v>
      </c>
      <c r="AO324">
        <v>6</v>
      </c>
      <c r="AP324" t="str">
        <v>4½ API</v>
      </c>
      <c r="AQ324" t="str">
        <v>4½ API</v>
      </c>
      <c r="AS324" t="str">
        <v>23"</v>
      </c>
      <c r="AT324">
        <v>162</v>
      </c>
      <c r="AU324" t="str">
        <v>2¼"</v>
      </c>
      <c r="AV324">
        <v>4</v>
      </c>
      <c r="AW324">
        <v>4</v>
      </c>
      <c r="AY324">
        <v>1</v>
      </c>
    </row>
    <row r="325">
      <c r="AL325" t="str">
        <v>003742-001</v>
      </c>
      <c r="AM325" t="str">
        <v>Bit Sub</v>
      </c>
      <c r="AN325">
        <v>6</v>
      </c>
      <c r="AO325">
        <v>6</v>
      </c>
      <c r="AP325" t="str">
        <v>4½ IF</v>
      </c>
      <c r="AQ325" t="str">
        <v>4½ IF</v>
      </c>
      <c r="AS325" t="str">
        <v>23"</v>
      </c>
      <c r="AT325">
        <v>110</v>
      </c>
      <c r="AU325" t="str">
        <v>3 7/8"</v>
      </c>
      <c r="AV325">
        <v>4.625</v>
      </c>
      <c r="AW325">
        <v>4</v>
      </c>
      <c r="AX325" t="str">
        <v>Spec. Ctr. Load</v>
      </c>
      <c r="AY325">
        <v>1</v>
      </c>
      <c r="AZ325" t="str">
        <v>DRL</v>
      </c>
    </row>
    <row r="326">
      <c r="AL326" t="str">
        <v>003743-001</v>
      </c>
      <c r="AM326" t="str">
        <v>Bit Sub</v>
      </c>
      <c r="AN326">
        <v>6</v>
      </c>
      <c r="AO326">
        <v>6</v>
      </c>
      <c r="AP326" t="str">
        <v>4½ IF</v>
      </c>
      <c r="AQ326" t="str">
        <v>3½ API</v>
      </c>
      <c r="AS326" t="str">
        <v>23"</v>
      </c>
      <c r="AT326">
        <v>180</v>
      </c>
      <c r="AU326" t="str">
        <v>1½"</v>
      </c>
      <c r="AV326">
        <v>4.625</v>
      </c>
      <c r="AW326">
        <v>4</v>
      </c>
      <c r="AX326" t="str">
        <v>Spec. Ctr. Load</v>
      </c>
      <c r="AY326">
        <v>1</v>
      </c>
      <c r="AZ326" t="str">
        <v>DRL</v>
      </c>
    </row>
    <row r="327">
      <c r="AL327" t="str">
        <v>002520-003</v>
      </c>
      <c r="AM327" t="str">
        <v>Bit Sub</v>
      </c>
      <c r="AN327">
        <v>6</v>
      </c>
      <c r="AO327">
        <v>6</v>
      </c>
      <c r="AP327" t="str">
        <v>4½ RH</v>
      </c>
      <c r="AQ327" t="str">
        <v>4½ API</v>
      </c>
      <c r="AS327" t="str">
        <v>24"</v>
      </c>
      <c r="AT327">
        <v>215</v>
      </c>
      <c r="AU327" t="str">
        <v>2½"</v>
      </c>
      <c r="AV327">
        <v>4</v>
      </c>
      <c r="AW327" t="str">
        <v>4 lg</v>
      </c>
      <c r="AY327">
        <v>1</v>
      </c>
      <c r="AZ327" t="str">
        <v>PRT</v>
      </c>
    </row>
    <row r="328">
      <c r="AL328" t="str">
        <v>002520-005</v>
      </c>
      <c r="AM328" t="str">
        <v>Bit Sub</v>
      </c>
      <c r="AN328">
        <v>6</v>
      </c>
      <c r="AO328">
        <v>6</v>
      </c>
      <c r="AP328" t="str">
        <v>4½ RH</v>
      </c>
      <c r="AQ328" t="str">
        <v>4½ API</v>
      </c>
      <c r="AS328" t="str">
        <v>24"</v>
      </c>
      <c r="AT328">
        <v>215</v>
      </c>
      <c r="AU328" t="str">
        <v>2½"</v>
      </c>
      <c r="AV328">
        <v>4</v>
      </c>
      <c r="AW328" t="str">
        <v>4 lg</v>
      </c>
      <c r="AY328">
        <v>1</v>
      </c>
      <c r="AZ328" t="str">
        <v>DRL</v>
      </c>
    </row>
    <row r="329">
      <c r="AL329" t="str">
        <v>002520-007</v>
      </c>
      <c r="AM329" t="str">
        <v>Bit Sub</v>
      </c>
      <c r="AN329">
        <v>6</v>
      </c>
      <c r="AO329">
        <v>6</v>
      </c>
      <c r="AP329" t="str">
        <v>4½ RH</v>
      </c>
      <c r="AQ329" t="str">
        <v>3½ API</v>
      </c>
      <c r="AS329" t="str">
        <v>24"</v>
      </c>
      <c r="AT329">
        <v>215</v>
      </c>
      <c r="AU329" t="str">
        <v>2½"</v>
      </c>
      <c r="AV329">
        <v>4</v>
      </c>
      <c r="AW329" t="str">
        <v>4 lg</v>
      </c>
      <c r="AY329">
        <v>1</v>
      </c>
      <c r="AZ329" t="str">
        <v>NCR</v>
      </c>
    </row>
    <row r="330">
      <c r="AL330" t="str">
        <v>009248-001</v>
      </c>
      <c r="AM330" t="str">
        <v>Bit Sub</v>
      </c>
      <c r="AN330">
        <v>6</v>
      </c>
      <c r="AO330">
        <v>6</v>
      </c>
      <c r="AP330" t="str">
        <v>4½ IF</v>
      </c>
      <c r="AQ330" t="str">
        <v>4½ API</v>
      </c>
      <c r="AS330" t="str">
        <v>24"</v>
      </c>
      <c r="AT330">
        <v>165</v>
      </c>
      <c r="AU330" t="str">
        <v>2¼"</v>
      </c>
      <c r="AV330">
        <v>5</v>
      </c>
      <c r="AW330">
        <v>4</v>
      </c>
      <c r="AY330">
        <v>1</v>
      </c>
      <c r="AZ330" t="str">
        <v>DRL</v>
      </c>
    </row>
    <row r="331">
      <c r="AL331" t="str">
        <v>009249-001</v>
      </c>
      <c r="AM331" t="str">
        <v>Bit Sub</v>
      </c>
      <c r="AN331">
        <v>6</v>
      </c>
      <c r="AO331">
        <v>6</v>
      </c>
      <c r="AP331" t="str">
        <v>4½ API</v>
      </c>
      <c r="AQ331" t="str">
        <v>3½ API</v>
      </c>
      <c r="AS331" t="str">
        <v>24"</v>
      </c>
      <c r="AT331">
        <v>175</v>
      </c>
      <c r="AU331" t="str">
        <v>1 3/4"</v>
      </c>
      <c r="AV331">
        <v>5</v>
      </c>
      <c r="AW331">
        <v>4</v>
      </c>
      <c r="AY331">
        <v>1</v>
      </c>
      <c r="AZ331" t="str">
        <v>DRL</v>
      </c>
    </row>
    <row r="332">
      <c r="AL332" t="str">
        <v>023207-001</v>
      </c>
      <c r="AM332" t="str">
        <v>Bit Sub</v>
      </c>
      <c r="AN332">
        <v>6</v>
      </c>
      <c r="AO332">
        <v>6</v>
      </c>
      <c r="AP332" t="str">
        <v>4½ RH</v>
      </c>
      <c r="AQ332" t="str">
        <v>4½ API</v>
      </c>
      <c r="AS332" t="str">
        <v>41"</v>
      </c>
      <c r="AU332" t="str">
        <v>2½"</v>
      </c>
      <c r="AV332">
        <v>4</v>
      </c>
      <c r="AW332" t="str">
        <v>6 lg</v>
      </c>
      <c r="AY332">
        <v>1</v>
      </c>
      <c r="AZ332" t="str">
        <v>PRT</v>
      </c>
    </row>
    <row r="333">
      <c r="AL333" t="str">
        <v>017843-010</v>
      </c>
      <c r="AM333" t="str">
        <v>Bit Sub</v>
      </c>
      <c r="AN333">
        <v>6</v>
      </c>
      <c r="AO333">
        <v>6</v>
      </c>
      <c r="AP333" t="str">
        <v>4½ RH</v>
      </c>
      <c r="AQ333" t="str">
        <v>4½ API</v>
      </c>
      <c r="AS333" t="str">
        <v>50"</v>
      </c>
      <c r="AU333" t="str">
        <v>2½"</v>
      </c>
      <c r="AV333">
        <v>4</v>
      </c>
      <c r="AW333" t="str">
        <v xml:space="preserve"> 4 lg</v>
      </c>
      <c r="AX333" t="str">
        <v>C55SP</v>
      </c>
      <c r="AY333">
        <v>1</v>
      </c>
      <c r="AZ333" t="str">
        <v>DRL</v>
      </c>
    </row>
    <row r="334">
      <c r="AL334" t="str">
        <v>017843-013</v>
      </c>
      <c r="AM334" t="str">
        <v>Bit Sub</v>
      </c>
      <c r="AN334">
        <v>6</v>
      </c>
      <c r="AO334">
        <v>6</v>
      </c>
      <c r="AP334" t="str">
        <v>3½ API</v>
      </c>
      <c r="AQ334" t="str">
        <v>4½ RH</v>
      </c>
      <c r="AS334" t="str">
        <v>96"</v>
      </c>
      <c r="AU334" t="str">
        <v>1.75/2.50</v>
      </c>
      <c r="AV334">
        <v>4</v>
      </c>
      <c r="AW334" t="str">
        <v>4 lg</v>
      </c>
      <c r="AX334" t="str">
        <v>C55SP</v>
      </c>
      <c r="AY334">
        <v>1</v>
      </c>
      <c r="AZ334" t="str">
        <v>SUB</v>
      </c>
    </row>
    <row r="335">
      <c r="AL335" t="str">
        <v>009283-001</v>
      </c>
      <c r="AM335" t="str">
        <v>Bit Sub</v>
      </c>
      <c r="AN335">
        <v>6</v>
      </c>
      <c r="AO335" t="str">
        <v>7½</v>
      </c>
      <c r="AP335" t="str">
        <v>4½ IF</v>
      </c>
      <c r="AQ335" t="str">
        <v>6 5/8 API</v>
      </c>
      <c r="AS335" t="str">
        <v>24"</v>
      </c>
      <c r="AT335">
        <v>200</v>
      </c>
      <c r="AU335" t="str">
        <v>3½'</v>
      </c>
      <c r="AV335">
        <v>5</v>
      </c>
      <c r="AW335">
        <v>4</v>
      </c>
      <c r="AY335">
        <v>1</v>
      </c>
      <c r="AZ335" t="str">
        <v>DRL</v>
      </c>
    </row>
    <row r="336">
      <c r="AL336" t="str">
        <v>003649-001</v>
      </c>
      <c r="AM336" t="str">
        <v>Bit Sub</v>
      </c>
      <c r="AN336">
        <v>6.625</v>
      </c>
      <c r="AO336">
        <v>6.625</v>
      </c>
      <c r="AP336" t="str">
        <v>4½ API</v>
      </c>
      <c r="AQ336" t="str">
        <v>4½ API</v>
      </c>
      <c r="AS336" t="str">
        <v>23"</v>
      </c>
      <c r="AT336">
        <v>220</v>
      </c>
      <c r="AU336" t="str">
        <v>2¼"</v>
      </c>
      <c r="AV336">
        <v>4</v>
      </c>
      <c r="AW336">
        <v>4</v>
      </c>
      <c r="AY336">
        <v>1</v>
      </c>
      <c r="AZ336" t="str">
        <v>DRL</v>
      </c>
    </row>
    <row r="337">
      <c r="AL337" t="str">
        <v>003643-001</v>
      </c>
      <c r="AM337" t="str">
        <v>Bit Sub</v>
      </c>
      <c r="AN337">
        <v>6.625</v>
      </c>
      <c r="AO337">
        <v>7.75</v>
      </c>
      <c r="AP337" t="str">
        <v>4½ API</v>
      </c>
      <c r="AQ337" t="str">
        <v>6 5/8 API</v>
      </c>
      <c r="AS337" t="str">
        <v>21"</v>
      </c>
      <c r="AT337">
        <v>197</v>
      </c>
      <c r="AU337" t="str">
        <v>2¼"</v>
      </c>
      <c r="AV337">
        <v>4</v>
      </c>
      <c r="AW337">
        <v>2</v>
      </c>
      <c r="AY337">
        <v>1</v>
      </c>
      <c r="AZ337" t="str">
        <v>DRL</v>
      </c>
    </row>
    <row r="338">
      <c r="AL338" t="str">
        <v>017843-001</v>
      </c>
      <c r="AM338" t="str">
        <v>Bit Sub</v>
      </c>
      <c r="AN338">
        <v>7</v>
      </c>
      <c r="AO338">
        <v>7</v>
      </c>
      <c r="AP338" t="str">
        <v>4½ RH Beco</v>
      </c>
      <c r="AQ338" t="str">
        <v>4½ API</v>
      </c>
      <c r="AS338" t="str">
        <v>110"</v>
      </c>
      <c r="AU338" t="str">
        <v>2½"</v>
      </c>
      <c r="AV338">
        <v>5</v>
      </c>
      <c r="AW338" t="str">
        <v>4 lg</v>
      </c>
      <c r="AX338" t="str">
        <v>C55SP</v>
      </c>
      <c r="AY338">
        <v>1</v>
      </c>
      <c r="AZ338" t="str">
        <v>PRT</v>
      </c>
    </row>
    <row r="339">
      <c r="AL339" t="str">
        <v>017843-008</v>
      </c>
      <c r="AM339" t="str">
        <v>Bit Sub</v>
      </c>
      <c r="AN339">
        <v>7</v>
      </c>
      <c r="AO339">
        <v>7</v>
      </c>
      <c r="AP339" t="str">
        <v>4½ RH</v>
      </c>
      <c r="AQ339" t="str">
        <v>4½ RH</v>
      </c>
      <c r="AS339" t="str">
        <v>12"</v>
      </c>
      <c r="AU339" t="str">
        <v>2½"</v>
      </c>
      <c r="AV339">
        <v>5</v>
      </c>
      <c r="AW339" t="str">
        <v>4 lg</v>
      </c>
      <c r="AX339" t="str">
        <v>C55SP</v>
      </c>
      <c r="AY339">
        <v>1</v>
      </c>
      <c r="AZ339" t="str">
        <v>PRT</v>
      </c>
    </row>
    <row r="340">
      <c r="AL340" t="str">
        <v>017843-011</v>
      </c>
      <c r="AM340" t="str">
        <v>Bit Sub</v>
      </c>
      <c r="AN340">
        <v>7</v>
      </c>
      <c r="AO340">
        <v>7</v>
      </c>
      <c r="AP340" t="str">
        <v>4½ RH</v>
      </c>
      <c r="AQ340" t="str">
        <v>4½ API</v>
      </c>
      <c r="AS340" t="str">
        <v>142"</v>
      </c>
      <c r="AU340" t="str">
        <v>2½"</v>
      </c>
      <c r="AV340">
        <v>5</v>
      </c>
      <c r="AW340" t="str">
        <v>4 lg</v>
      </c>
      <c r="AX340" t="str">
        <v>C55SP</v>
      </c>
      <c r="AY340">
        <v>1</v>
      </c>
      <c r="AZ340" t="str">
        <v>DRL</v>
      </c>
    </row>
    <row r="341">
      <c r="AL341" t="str">
        <v>002520-001</v>
      </c>
      <c r="AM341" t="str">
        <v>Bit Sub</v>
      </c>
      <c r="AN341">
        <v>7</v>
      </c>
      <c r="AO341">
        <v>7</v>
      </c>
      <c r="AP341" t="str">
        <v>4½ RH</v>
      </c>
      <c r="AQ341" t="str">
        <v>4½ API</v>
      </c>
      <c r="AS341" t="str">
        <v>24"</v>
      </c>
      <c r="AT341">
        <v>245</v>
      </c>
      <c r="AU341" t="str">
        <v>2½"</v>
      </c>
      <c r="AV341">
        <v>4</v>
      </c>
      <c r="AW341" t="str">
        <v>4 lg</v>
      </c>
      <c r="AY341">
        <v>1</v>
      </c>
      <c r="AZ341" t="str">
        <v>DRL</v>
      </c>
    </row>
    <row r="342">
      <c r="AL342" t="str">
        <v>002520-002</v>
      </c>
      <c r="AM342" t="str">
        <v>Bit Sub</v>
      </c>
      <c r="AN342">
        <v>7</v>
      </c>
      <c r="AO342">
        <v>7</v>
      </c>
      <c r="AP342" t="str">
        <v>4½ RH</v>
      </c>
      <c r="AQ342" t="str">
        <v>4½ API</v>
      </c>
      <c r="AS342" t="str">
        <v>24"</v>
      </c>
      <c r="AT342">
        <v>245</v>
      </c>
      <c r="AU342" t="str">
        <v>2½"</v>
      </c>
      <c r="AV342">
        <v>5</v>
      </c>
      <c r="AW342" t="str">
        <v>4 lg</v>
      </c>
      <c r="AY342">
        <v>1</v>
      </c>
      <c r="AZ342" t="str">
        <v>DRL</v>
      </c>
    </row>
    <row r="343">
      <c r="AL343" t="str">
        <v>002520-004</v>
      </c>
      <c r="AM343" t="str">
        <v>Bit Sub</v>
      </c>
      <c r="AN343">
        <v>7</v>
      </c>
      <c r="AO343">
        <v>7</v>
      </c>
      <c r="AP343" t="str">
        <v>3½ RH</v>
      </c>
      <c r="AQ343" t="str">
        <v>4½ API</v>
      </c>
      <c r="AS343" t="str">
        <v>24"</v>
      </c>
      <c r="AT343">
        <v>230</v>
      </c>
      <c r="AU343" t="str">
        <v>1½"</v>
      </c>
      <c r="AV343">
        <v>4</v>
      </c>
      <c r="AW343" t="str">
        <v>4 lg</v>
      </c>
      <c r="AY343">
        <v>1</v>
      </c>
      <c r="AZ343" t="str">
        <v>DRL</v>
      </c>
    </row>
    <row r="344">
      <c r="AL344" t="str">
        <v>008841-001</v>
      </c>
      <c r="AM344" t="str">
        <v>Bit Sub</v>
      </c>
      <c r="AN344">
        <v>7</v>
      </c>
      <c r="AO344">
        <v>7</v>
      </c>
      <c r="AP344" t="str">
        <v>3½ RH</v>
      </c>
      <c r="AQ344" t="str">
        <v>4½ API</v>
      </c>
      <c r="AS344" t="str">
        <v>24"</v>
      </c>
      <c r="AT344">
        <v>245</v>
      </c>
      <c r="AU344" t="str">
        <v>1½"</v>
      </c>
      <c r="AV344">
        <v>4</v>
      </c>
      <c r="AW344" t="str">
        <v>4 lg</v>
      </c>
      <c r="AY344">
        <v>1</v>
      </c>
      <c r="AZ344" t="str">
        <v>DRL</v>
      </c>
    </row>
    <row r="345">
      <c r="AL345" t="str">
        <v>008841-003</v>
      </c>
      <c r="AM345" t="str">
        <v>Bit Sub</v>
      </c>
      <c r="AN345">
        <v>7</v>
      </c>
      <c r="AO345">
        <v>7</v>
      </c>
      <c r="AP345" t="str">
        <v>3½ RH</v>
      </c>
      <c r="AQ345" t="str">
        <v>4½ API</v>
      </c>
      <c r="AS345" t="str">
        <v>24"</v>
      </c>
      <c r="AT345">
        <v>245</v>
      </c>
      <c r="AU345" t="str">
        <v>1½"</v>
      </c>
      <c r="AV345">
        <v>5</v>
      </c>
      <c r="AW345" t="str">
        <v>4 lg</v>
      </c>
      <c r="AY345">
        <v>1</v>
      </c>
      <c r="AZ345" t="str">
        <v>PRT</v>
      </c>
    </row>
    <row r="346">
      <c r="AL346" t="str">
        <v>013371-001</v>
      </c>
      <c r="AM346" t="str">
        <v>Bit Sub</v>
      </c>
      <c r="AN346">
        <v>7</v>
      </c>
      <c r="AO346">
        <v>7</v>
      </c>
      <c r="AP346" t="str">
        <v>4 FH</v>
      </c>
      <c r="AQ346" t="str">
        <v>4½ API</v>
      </c>
      <c r="AS346" t="str">
        <v>24"</v>
      </c>
      <c r="AT346">
        <v>200</v>
      </c>
      <c r="AU346" t="str">
        <v>2"</v>
      </c>
      <c r="AV346">
        <v>4</v>
      </c>
      <c r="AW346">
        <v>4</v>
      </c>
      <c r="AY346">
        <v>1</v>
      </c>
      <c r="AZ346" t="str">
        <v>DRL</v>
      </c>
    </row>
    <row r="347">
      <c r="AL347" t="str">
        <v>008841-002</v>
      </c>
      <c r="AM347" t="str">
        <v>Bit Sub</v>
      </c>
      <c r="AN347">
        <v>7</v>
      </c>
      <c r="AO347">
        <v>7</v>
      </c>
      <c r="AP347" t="str">
        <v>4½ RH</v>
      </c>
      <c r="AQ347" t="str">
        <v>4½ API</v>
      </c>
      <c r="AS347" t="str">
        <v>28"</v>
      </c>
      <c r="AT347">
        <v>250</v>
      </c>
      <c r="AU347" t="str">
        <v>1½"</v>
      </c>
      <c r="AV347">
        <v>4</v>
      </c>
      <c r="AW347" t="str">
        <v>4 lg</v>
      </c>
      <c r="AY347">
        <v>1</v>
      </c>
      <c r="AZ347" t="str">
        <v>DRL</v>
      </c>
    </row>
    <row r="348">
      <c r="AL348" t="str">
        <v>002520-006</v>
      </c>
      <c r="AM348" t="str">
        <v>Bit Sub</v>
      </c>
      <c r="AN348">
        <v>7</v>
      </c>
      <c r="AO348">
        <v>7</v>
      </c>
      <c r="AP348" t="str">
        <v>4½ RH</v>
      </c>
      <c r="AQ348" t="str">
        <v>4½ API</v>
      </c>
      <c r="AS348" t="str">
        <v>30"</v>
      </c>
      <c r="AT348">
        <v>307</v>
      </c>
      <c r="AU348" t="str">
        <v>2½"</v>
      </c>
      <c r="AV348">
        <v>5</v>
      </c>
      <c r="AW348" t="str">
        <v>4 lg</v>
      </c>
      <c r="AY348">
        <v>1</v>
      </c>
      <c r="AZ348" t="str">
        <v>DRL</v>
      </c>
    </row>
    <row r="349">
      <c r="AL349" t="str">
        <v>002520-008</v>
      </c>
      <c r="AM349" t="str">
        <v>Bit Sub</v>
      </c>
      <c r="AN349">
        <v>7</v>
      </c>
      <c r="AO349">
        <v>7</v>
      </c>
      <c r="AP349" t="str">
        <v>4½ RH</v>
      </c>
      <c r="AQ349" t="str">
        <v>4½ API</v>
      </c>
      <c r="AS349" t="str">
        <v>36"</v>
      </c>
      <c r="AT349">
        <v>365</v>
      </c>
      <c r="AU349" t="str">
        <v>2½"</v>
      </c>
      <c r="AV349">
        <v>4</v>
      </c>
      <c r="AW349" t="str">
        <v>4 lg</v>
      </c>
      <c r="AY349">
        <v>1</v>
      </c>
      <c r="AZ349" t="str">
        <v>SUB</v>
      </c>
    </row>
    <row r="350">
      <c r="AL350" t="str">
        <v>017843-003</v>
      </c>
      <c r="AM350" t="str">
        <v>Bit Sub</v>
      </c>
      <c r="AN350">
        <v>7</v>
      </c>
      <c r="AO350">
        <v>7</v>
      </c>
      <c r="AP350" t="str">
        <v>4½ RH Beco</v>
      </c>
      <c r="AQ350" t="str">
        <v>4½ API</v>
      </c>
      <c r="AS350" t="str">
        <v>65"</v>
      </c>
      <c r="AU350" t="str">
        <v>2½"</v>
      </c>
      <c r="AV350">
        <v>5</v>
      </c>
      <c r="AW350" t="str">
        <v>4 lg</v>
      </c>
      <c r="AX350" t="str">
        <v>C55SP</v>
      </c>
      <c r="AY350">
        <v>1</v>
      </c>
      <c r="AZ350" t="str">
        <v>PRT</v>
      </c>
    </row>
    <row r="351">
      <c r="AL351" t="str">
        <v>017843-005</v>
      </c>
      <c r="AM351" t="str">
        <v>Bit Sub</v>
      </c>
      <c r="AN351">
        <v>7</v>
      </c>
      <c r="AO351">
        <v>7</v>
      </c>
      <c r="AP351" t="str">
        <v xml:space="preserve">4½ RH  </v>
      </c>
      <c r="AQ351" t="str">
        <v>4½ RH</v>
      </c>
      <c r="AS351" t="str">
        <v>86"</v>
      </c>
      <c r="AU351" t="str">
        <v>2½"</v>
      </c>
      <c r="AV351">
        <v>5</v>
      </c>
      <c r="AW351" t="str">
        <v>4 lg</v>
      </c>
      <c r="AX351" t="str">
        <v>C55SP</v>
      </c>
      <c r="AY351">
        <v>1</v>
      </c>
      <c r="AZ351" t="str">
        <v>PRT</v>
      </c>
    </row>
    <row r="352">
      <c r="AL352" t="str">
        <v>017843-012</v>
      </c>
      <c r="AM352" t="str">
        <v>Bit Sub</v>
      </c>
      <c r="AN352">
        <v>7</v>
      </c>
      <c r="AO352">
        <v>7</v>
      </c>
      <c r="AP352" t="str">
        <v>3½ API</v>
      </c>
      <c r="AQ352" t="str">
        <v>4½ RH</v>
      </c>
      <c r="AS352" t="str">
        <v>96"</v>
      </c>
      <c r="AU352" t="str">
        <v>1.75/2.50</v>
      </c>
      <c r="AV352">
        <v>5</v>
      </c>
      <c r="AW352" t="str">
        <v>4 lg</v>
      </c>
      <c r="AX352" t="str">
        <v>C55SP</v>
      </c>
      <c r="AY352">
        <v>1</v>
      </c>
      <c r="AZ352" t="str">
        <v>PRT</v>
      </c>
    </row>
    <row r="353">
      <c r="AL353" t="str">
        <v>003585-002</v>
      </c>
      <c r="AM353" t="str">
        <v>Bit Sub</v>
      </c>
      <c r="AN353">
        <v>7</v>
      </c>
      <c r="AO353">
        <v>7.75</v>
      </c>
      <c r="AP353" t="str">
        <v>4½ EH</v>
      </c>
      <c r="AQ353" t="str">
        <v>6 5/8 API</v>
      </c>
      <c r="AS353" t="str">
        <v>110"</v>
      </c>
      <c r="AT353">
        <v>825</v>
      </c>
      <c r="AU353" t="str">
        <v>2½"</v>
      </c>
      <c r="AV353">
        <v>5</v>
      </c>
      <c r="AW353" t="str">
        <v>4 lg</v>
      </c>
      <c r="AY353">
        <v>1</v>
      </c>
      <c r="AZ353" t="str">
        <v>PRT</v>
      </c>
    </row>
    <row r="354">
      <c r="AL354" t="str">
        <v>003585-003</v>
      </c>
      <c r="AM354" t="str">
        <v>Bit Sub</v>
      </c>
      <c r="AN354">
        <v>7</v>
      </c>
      <c r="AO354">
        <v>7.75</v>
      </c>
      <c r="AP354" t="str">
        <v>4½ RH</v>
      </c>
      <c r="AQ354" t="str">
        <v>6 5/8 API</v>
      </c>
      <c r="AS354" t="str">
        <v>24"</v>
      </c>
      <c r="AT354">
        <v>185</v>
      </c>
      <c r="AU354" t="str">
        <v>2½"</v>
      </c>
      <c r="AV354">
        <v>4</v>
      </c>
      <c r="AW354" t="str">
        <v>4 lg</v>
      </c>
      <c r="AY354">
        <v>1</v>
      </c>
      <c r="AZ354" t="str">
        <v>PRT</v>
      </c>
    </row>
    <row r="355">
      <c r="AL355" t="str">
        <v>005652-002</v>
      </c>
      <c r="AM355" t="str">
        <v>Bit Sub</v>
      </c>
      <c r="AN355">
        <v>7</v>
      </c>
      <c r="AO355">
        <v>7.75</v>
      </c>
      <c r="AP355" t="str">
        <v>4½ RH</v>
      </c>
      <c r="AQ355" t="str">
        <v>6 5/8 API</v>
      </c>
      <c r="AS355" t="str">
        <v>24"</v>
      </c>
      <c r="AT355">
        <v>215</v>
      </c>
      <c r="AU355" t="str">
        <v>2¼"</v>
      </c>
      <c r="AV355">
        <v>5</v>
      </c>
      <c r="AW355" t="str">
        <v>4 lg</v>
      </c>
      <c r="AY355">
        <v>1</v>
      </c>
      <c r="AZ355" t="str">
        <v>PRT</v>
      </c>
    </row>
    <row r="356">
      <c r="AL356" t="str">
        <v>003585-004</v>
      </c>
      <c r="AM356" t="str">
        <v>Bit Sub</v>
      </c>
      <c r="AN356">
        <v>7</v>
      </c>
      <c r="AO356">
        <v>7.75</v>
      </c>
      <c r="AP356" t="str">
        <v>4½ RH</v>
      </c>
      <c r="AQ356" t="str">
        <v>6 5/8 API</v>
      </c>
      <c r="AS356" t="str">
        <v>36"</v>
      </c>
      <c r="AT356">
        <v>275</v>
      </c>
      <c r="AU356" t="str">
        <v>2½"</v>
      </c>
      <c r="AV356">
        <v>5</v>
      </c>
      <c r="AW356" t="str">
        <v>4 lg</v>
      </c>
      <c r="AY356">
        <v>1</v>
      </c>
      <c r="AZ356" t="str">
        <v>SUB</v>
      </c>
    </row>
    <row r="357">
      <c r="AL357" t="str">
        <v>023522-001</v>
      </c>
      <c r="AM357" t="str">
        <v>Bit Sub</v>
      </c>
      <c r="AN357">
        <v>7</v>
      </c>
      <c r="AP357" t="str">
        <v>4½ RH</v>
      </c>
      <c r="AQ357" t="str">
        <v>4½ API</v>
      </c>
      <c r="AR357" t="str">
        <v>2¼</v>
      </c>
      <c r="AS357">
        <v>45.75</v>
      </c>
      <c r="AU357" t="str">
        <v>2½</v>
      </c>
      <c r="AV357">
        <v>5</v>
      </c>
    </row>
    <row r="358">
      <c r="AL358" t="str">
        <v>017843-002</v>
      </c>
      <c r="AM358" t="str">
        <v>Bit Sub</v>
      </c>
      <c r="AN358">
        <v>7.625</v>
      </c>
      <c r="AO358">
        <v>7.625</v>
      </c>
      <c r="AP358" t="str">
        <v xml:space="preserve">6 RH  </v>
      </c>
      <c r="AQ358" t="str">
        <v>4½ API</v>
      </c>
      <c r="AS358" t="str">
        <v>110"</v>
      </c>
      <c r="AU358" t="str">
        <v>2 3/4"</v>
      </c>
      <c r="AV358">
        <v>6</v>
      </c>
      <c r="AW358" t="str">
        <v>4 lg</v>
      </c>
      <c r="AX358" t="str">
        <v>C55SP</v>
      </c>
      <c r="AY358">
        <v>1</v>
      </c>
      <c r="AZ358" t="str">
        <v>PRT</v>
      </c>
    </row>
    <row r="359">
      <c r="AL359" t="str">
        <v>017843-014</v>
      </c>
      <c r="AM359" t="str">
        <v>Bit Sub</v>
      </c>
      <c r="AN359">
        <v>7.625</v>
      </c>
      <c r="AO359">
        <v>7.625</v>
      </c>
      <c r="AP359" t="str">
        <v>6 RH</v>
      </c>
      <c r="AQ359" t="str">
        <v>6 5/8 API</v>
      </c>
      <c r="AS359" t="str">
        <v>110"</v>
      </c>
      <c r="AU359" t="str">
        <v>2 3/4"</v>
      </c>
      <c r="AV359">
        <v>5</v>
      </c>
      <c r="AW359" t="str">
        <v>4 lg</v>
      </c>
      <c r="AX359" t="str">
        <v>C55SP</v>
      </c>
      <c r="AY359">
        <v>1</v>
      </c>
      <c r="AZ359" t="str">
        <v>PRT</v>
      </c>
    </row>
    <row r="360">
      <c r="AL360" t="str">
        <v>003416-002</v>
      </c>
      <c r="AM360" t="str">
        <v>Bit Sub</v>
      </c>
      <c r="AN360">
        <v>7.625</v>
      </c>
      <c r="AO360">
        <v>7.625</v>
      </c>
      <c r="AP360" t="str">
        <v>6 RH</v>
      </c>
      <c r="AQ360" t="str">
        <v>6 5/8 API</v>
      </c>
      <c r="AS360" t="str">
        <v>24"</v>
      </c>
      <c r="AT360">
        <v>265</v>
      </c>
      <c r="AU360" t="str">
        <v>3"</v>
      </c>
      <c r="AV360">
        <v>6</v>
      </c>
      <c r="AW360">
        <v>4</v>
      </c>
      <c r="AY360">
        <v>1</v>
      </c>
      <c r="AZ360" t="str">
        <v>NCR</v>
      </c>
    </row>
    <row r="361">
      <c r="AL361" t="str">
        <v>003416-003</v>
      </c>
      <c r="AM361" t="str">
        <v>Bit Sub</v>
      </c>
      <c r="AN361">
        <v>7.625</v>
      </c>
      <c r="AO361">
        <v>7.625</v>
      </c>
      <c r="AP361" t="str">
        <v>6 RH</v>
      </c>
      <c r="AQ361" t="str">
        <v>4½ API</v>
      </c>
      <c r="AS361" t="str">
        <v>24"</v>
      </c>
      <c r="AT361">
        <v>265</v>
      </c>
      <c r="AU361" t="str">
        <v>3"</v>
      </c>
      <c r="AV361">
        <v>6</v>
      </c>
      <c r="AW361">
        <v>4</v>
      </c>
      <c r="AY361">
        <v>1</v>
      </c>
      <c r="AZ361" t="str">
        <v>DRL</v>
      </c>
    </row>
    <row r="362">
      <c r="AL362" t="str">
        <v>003416-004</v>
      </c>
      <c r="AM362" t="str">
        <v>Bit Sub</v>
      </c>
      <c r="AN362">
        <v>7.625</v>
      </c>
      <c r="AO362">
        <v>7.625</v>
      </c>
      <c r="AP362" t="str">
        <v>6 RH</v>
      </c>
      <c r="AQ362" t="str">
        <v>6 5/8 API</v>
      </c>
      <c r="AS362" t="str">
        <v>30"</v>
      </c>
      <c r="AT362">
        <v>310</v>
      </c>
      <c r="AU362" t="str">
        <v>3"</v>
      </c>
      <c r="AV362">
        <v>6</v>
      </c>
      <c r="AW362">
        <v>6</v>
      </c>
      <c r="AY362">
        <v>1</v>
      </c>
      <c r="AZ362" t="str">
        <v>PRT</v>
      </c>
    </row>
    <row r="363">
      <c r="AL363" t="str">
        <v>003416-001</v>
      </c>
      <c r="AM363" t="str">
        <v>Bit Sub</v>
      </c>
      <c r="AN363">
        <v>7.625</v>
      </c>
      <c r="AO363">
        <v>7.625</v>
      </c>
      <c r="AP363" t="str">
        <v>6 RH</v>
      </c>
      <c r="AQ363" t="str">
        <v>6 5/8 API</v>
      </c>
      <c r="AS363" t="str">
        <v>36"</v>
      </c>
      <c r="AT363">
        <v>395</v>
      </c>
      <c r="AU363" t="str">
        <v>3"</v>
      </c>
      <c r="AV363">
        <v>6</v>
      </c>
      <c r="AW363">
        <v>6</v>
      </c>
      <c r="AY363">
        <v>1</v>
      </c>
      <c r="AZ363" t="str">
        <v>DRL</v>
      </c>
    </row>
    <row r="364">
      <c r="AL364" t="str">
        <v>017843-009</v>
      </c>
      <c r="AM364" t="str">
        <v>Bit Sub</v>
      </c>
      <c r="AN364">
        <v>7.625</v>
      </c>
      <c r="AO364">
        <v>7.625</v>
      </c>
      <c r="AP364" t="str">
        <v>6 RH</v>
      </c>
      <c r="AQ364" t="str">
        <v>6 5/8 API</v>
      </c>
      <c r="AS364" t="str">
        <v>50"</v>
      </c>
      <c r="AU364" t="str">
        <v>2½"</v>
      </c>
      <c r="AV364">
        <v>5</v>
      </c>
      <c r="AW364" t="str">
        <v xml:space="preserve"> 4 lg</v>
      </c>
      <c r="AX364" t="str">
        <v>C55SP</v>
      </c>
      <c r="AY364">
        <v>1</v>
      </c>
      <c r="AZ364" t="str">
        <v>DRL</v>
      </c>
    </row>
    <row r="365">
      <c r="AL365" t="str">
        <v>017843-004</v>
      </c>
      <c r="AM365" t="str">
        <v>Bit Sub</v>
      </c>
      <c r="AN365">
        <v>7.625</v>
      </c>
      <c r="AO365">
        <v>7.625</v>
      </c>
      <c r="AP365" t="str">
        <v>6 RH</v>
      </c>
      <c r="AQ365" t="str">
        <v>4½ API</v>
      </c>
      <c r="AS365" t="str">
        <v>65"</v>
      </c>
      <c r="AU365" t="str">
        <v>2 3/4"</v>
      </c>
      <c r="AV365">
        <v>6</v>
      </c>
      <c r="AW365" t="str">
        <v>4 lg</v>
      </c>
      <c r="AX365" t="str">
        <v>C55SP</v>
      </c>
      <c r="AY365">
        <v>1</v>
      </c>
      <c r="AZ365" t="str">
        <v>PRT</v>
      </c>
    </row>
    <row r="366">
      <c r="AL366" t="str">
        <v>017843-006</v>
      </c>
      <c r="AM366" t="str">
        <v>Bit Sub</v>
      </c>
      <c r="AN366">
        <v>7.625</v>
      </c>
      <c r="AO366">
        <v>7.625</v>
      </c>
      <c r="AP366" t="str">
        <v>6 RH</v>
      </c>
      <c r="AQ366" t="str">
        <v>4½ RH</v>
      </c>
      <c r="AS366" t="str">
        <v>65"</v>
      </c>
      <c r="AU366" t="str">
        <v>2 3/4"</v>
      </c>
      <c r="AV366">
        <v>5</v>
      </c>
      <c r="AW366" t="str">
        <v>4 lg</v>
      </c>
      <c r="AX366" t="str">
        <v>C55SP</v>
      </c>
      <c r="AY366">
        <v>1</v>
      </c>
      <c r="AZ366" t="str">
        <v>PRT</v>
      </c>
    </row>
    <row r="367">
      <c r="AL367" t="str">
        <v>007979-001</v>
      </c>
      <c r="AM367" t="str">
        <v>Bit Sub</v>
      </c>
      <c r="AN367">
        <v>7.75</v>
      </c>
      <c r="AO367">
        <v>7.75</v>
      </c>
      <c r="AP367" t="str">
        <v>6 5/8 API</v>
      </c>
      <c r="AQ367" t="str">
        <v>6 5/8 API</v>
      </c>
      <c r="AS367" t="str">
        <v>12"</v>
      </c>
      <c r="AT367">
        <v>125</v>
      </c>
      <c r="AU367" t="str">
        <v>3½"</v>
      </c>
      <c r="AV367">
        <v>6</v>
      </c>
      <c r="AW367" t="str">
        <v>6 lg</v>
      </c>
      <c r="AY367">
        <v>1</v>
      </c>
      <c r="AZ367" t="str">
        <v>DRL</v>
      </c>
    </row>
    <row r="368">
      <c r="AL368" t="str">
        <v>003651-001</v>
      </c>
      <c r="AM368" t="str">
        <v>Bit Sub</v>
      </c>
      <c r="AN368">
        <v>7.75</v>
      </c>
      <c r="AO368">
        <v>7.75</v>
      </c>
      <c r="AP368" t="str">
        <v>6 5/8 API</v>
      </c>
      <c r="AQ368" t="str">
        <v>6 5/8 API</v>
      </c>
      <c r="AS368" t="str">
        <v>23"</v>
      </c>
      <c r="AT368">
        <v>270</v>
      </c>
      <c r="AU368" t="str">
        <v>3"</v>
      </c>
      <c r="AV368">
        <v>6</v>
      </c>
      <c r="AW368">
        <v>4</v>
      </c>
      <c r="AY368">
        <v>1</v>
      </c>
    </row>
    <row r="369">
      <c r="AL369" t="str">
        <v>004476-001</v>
      </c>
      <c r="AM369" t="str">
        <v>Bit Sub</v>
      </c>
      <c r="AN369">
        <v>7.75</v>
      </c>
      <c r="AO369">
        <v>7.75</v>
      </c>
      <c r="AP369" t="str">
        <v>6 5/8 API</v>
      </c>
      <c r="AQ369" t="str">
        <v>4½ API</v>
      </c>
      <c r="AS369" t="str">
        <v>23"</v>
      </c>
      <c r="AT369">
        <v>280</v>
      </c>
      <c r="AU369" t="str">
        <v>2½"</v>
      </c>
      <c r="AV369">
        <v>6</v>
      </c>
      <c r="AW369">
        <v>4</v>
      </c>
      <c r="AY369">
        <v>1</v>
      </c>
      <c r="AZ369" t="str">
        <v>PRT</v>
      </c>
    </row>
    <row r="370">
      <c r="AL370" t="str">
        <v>007979-002</v>
      </c>
      <c r="AM370" t="str">
        <v>Bit Sub</v>
      </c>
      <c r="AN370">
        <v>7.75</v>
      </c>
      <c r="AO370">
        <v>7.75</v>
      </c>
      <c r="AP370" t="str">
        <v>6 5/8 API</v>
      </c>
      <c r="AQ370" t="str">
        <v>6 5/8 API</v>
      </c>
      <c r="AS370" t="str">
        <v>24"</v>
      </c>
      <c r="AT370">
        <v>250</v>
      </c>
      <c r="AU370" t="str">
        <v>3½"</v>
      </c>
      <c r="AV370">
        <v>6</v>
      </c>
      <c r="AW370" t="str">
        <v>6 lg</v>
      </c>
      <c r="AY370">
        <v>1</v>
      </c>
      <c r="AZ370" t="str">
        <v>DRL</v>
      </c>
    </row>
    <row r="371">
      <c r="AL371" t="str">
        <v>023205-001</v>
      </c>
      <c r="AM371" t="str">
        <v>Bit Sub</v>
      </c>
      <c r="AN371">
        <v>7.875</v>
      </c>
      <c r="AO371">
        <v>7.875</v>
      </c>
      <c r="AP371" t="str">
        <v>6 RH</v>
      </c>
      <c r="AQ371" t="str">
        <v>6 5/8 API</v>
      </c>
      <c r="AS371" t="str">
        <v>30"</v>
      </c>
      <c r="AT371">
        <v>342</v>
      </c>
      <c r="AU371" t="str">
        <v>3"</v>
      </c>
      <c r="AV371">
        <v>6</v>
      </c>
      <c r="AW371" t="str">
        <v>6 lg</v>
      </c>
      <c r="AY371">
        <v>1</v>
      </c>
      <c r="AZ371" t="str">
        <v>PRT</v>
      </c>
    </row>
    <row r="372">
      <c r="AL372" t="str">
        <v>003651-002</v>
      </c>
      <c r="AM372" t="str">
        <v>Bit Sub</v>
      </c>
      <c r="AN372">
        <v>8</v>
      </c>
      <c r="AO372">
        <v>8</v>
      </c>
      <c r="AP372" t="str">
        <v>6 5/8 API</v>
      </c>
      <c r="AQ372" t="str">
        <v>6 5/8 API</v>
      </c>
      <c r="AS372" t="str">
        <v>23"</v>
      </c>
      <c r="AT372">
        <v>330</v>
      </c>
      <c r="AU372" t="str">
        <v>3"</v>
      </c>
      <c r="AV372">
        <v>6</v>
      </c>
      <c r="AW372">
        <v>4</v>
      </c>
      <c r="AY372">
        <v>1</v>
      </c>
      <c r="AZ372" t="str">
        <v>DRL</v>
      </c>
    </row>
    <row r="373">
      <c r="AL373" t="str">
        <v>012711-001</v>
      </c>
      <c r="AM373" t="str">
        <v>Bit Sub</v>
      </c>
      <c r="AN373">
        <v>8</v>
      </c>
      <c r="AO373">
        <v>8</v>
      </c>
      <c r="AP373" t="str">
        <v>6 RH</v>
      </c>
      <c r="AQ373" t="str">
        <v>6 5/8 API</v>
      </c>
      <c r="AS373" t="str">
        <v>30"</v>
      </c>
      <c r="AT373">
        <v>564</v>
      </c>
      <c r="AU373" t="str">
        <v>3"</v>
      </c>
      <c r="AV373">
        <v>6</v>
      </c>
      <c r="AW373">
        <v>6</v>
      </c>
      <c r="AX373" t="str">
        <v>C75D</v>
      </c>
      <c r="AY373">
        <v>1</v>
      </c>
      <c r="AZ373" t="str">
        <v>DRL</v>
      </c>
    </row>
    <row r="374">
      <c r="AL374" t="str">
        <v>006982-001</v>
      </c>
      <c r="AM374" t="str">
        <v>Bit Sub</v>
      </c>
      <c r="AN374">
        <v>8</v>
      </c>
      <c r="AO374">
        <v>9</v>
      </c>
      <c r="AP374" t="str">
        <v>6 5/8 API</v>
      </c>
      <c r="AQ374" t="str">
        <v>7 5/8 API</v>
      </c>
      <c r="AS374" t="str">
        <v>23"</v>
      </c>
      <c r="AT374">
        <v>300</v>
      </c>
      <c r="AU374" t="str">
        <v>3"</v>
      </c>
      <c r="AV374">
        <v>6</v>
      </c>
      <c r="AW374">
        <v>4</v>
      </c>
      <c r="AY374">
        <v>1</v>
      </c>
      <c r="AZ374" t="str">
        <v>DRL</v>
      </c>
    </row>
    <row r="375">
      <c r="AL375" t="str">
        <v>003557-003</v>
      </c>
      <c r="AM375" t="str">
        <v>Bit Sub</v>
      </c>
      <c r="AN375">
        <v>8.625</v>
      </c>
      <c r="AO375">
        <v>8.625</v>
      </c>
      <c r="AP375" t="str">
        <v>6 RH</v>
      </c>
      <c r="AQ375" t="str">
        <v>6 5/8 API</v>
      </c>
      <c r="AS375" t="str">
        <v>18"</v>
      </c>
      <c r="AT375">
        <v>264</v>
      </c>
      <c r="AU375" t="str">
        <v>3"</v>
      </c>
      <c r="AV375">
        <v>7</v>
      </c>
      <c r="AW375" t="str">
        <v>4 lg</v>
      </c>
      <c r="AY375">
        <v>1</v>
      </c>
      <c r="AZ375" t="str">
        <v>DRL</v>
      </c>
    </row>
    <row r="376">
      <c r="AL376" t="str">
        <v>003557-002</v>
      </c>
      <c r="AM376" t="str">
        <v>Bit Sub</v>
      </c>
      <c r="AN376">
        <v>8.625</v>
      </c>
      <c r="AO376">
        <v>8.625</v>
      </c>
      <c r="AP376" t="str">
        <v>6 RH</v>
      </c>
      <c r="AQ376" t="str">
        <v>6 5/8 API</v>
      </c>
      <c r="AS376" t="str">
        <v>24"</v>
      </c>
      <c r="AT376">
        <v>350</v>
      </c>
      <c r="AU376" t="str">
        <v>3"</v>
      </c>
      <c r="AV376">
        <v>7</v>
      </c>
      <c r="AW376" t="str">
        <v>4 lg</v>
      </c>
      <c r="AY376">
        <v>1</v>
      </c>
      <c r="AZ376" t="str">
        <v>DRL</v>
      </c>
    </row>
    <row r="377">
      <c r="AL377" t="str">
        <v>003557-004</v>
      </c>
      <c r="AM377" t="str">
        <v>Bit Sub</v>
      </c>
      <c r="AN377">
        <v>8.625</v>
      </c>
      <c r="AO377">
        <v>8.625</v>
      </c>
      <c r="AP377" t="str">
        <v>6 RH</v>
      </c>
      <c r="AQ377" t="str">
        <v>6 5/8 API</v>
      </c>
      <c r="AS377" t="str">
        <v>30"</v>
      </c>
      <c r="AT377">
        <v>440</v>
      </c>
      <c r="AU377" t="str">
        <v>3"</v>
      </c>
      <c r="AV377">
        <v>7</v>
      </c>
      <c r="AW377" t="str">
        <v>4 lg</v>
      </c>
      <c r="AY377">
        <v>1</v>
      </c>
      <c r="AZ377" t="str">
        <v>PRT</v>
      </c>
    </row>
    <row r="378">
      <c r="AL378" t="str">
        <v>003557-001</v>
      </c>
      <c r="AM378" t="str">
        <v>Bit Sub</v>
      </c>
      <c r="AN378">
        <v>8.625</v>
      </c>
      <c r="AO378">
        <v>8.625</v>
      </c>
      <c r="AP378" t="str">
        <v>6 RH</v>
      </c>
      <c r="AQ378" t="str">
        <v>6 5/8 API</v>
      </c>
      <c r="AS378" t="str">
        <v>36"</v>
      </c>
      <c r="AT378">
        <v>523</v>
      </c>
      <c r="AU378" t="str">
        <v>3"</v>
      </c>
      <c r="AV378">
        <v>7</v>
      </c>
      <c r="AW378" t="str">
        <v>6 lg</v>
      </c>
      <c r="AY378">
        <v>1</v>
      </c>
      <c r="AZ378" t="str">
        <v>DRL</v>
      </c>
    </row>
    <row r="379">
      <c r="AL379" t="str">
        <v>003557-005</v>
      </c>
      <c r="AM379" t="str">
        <v>Bit Sub</v>
      </c>
      <c r="AN379">
        <v>8.625</v>
      </c>
      <c r="AO379">
        <v>8.625</v>
      </c>
      <c r="AP379" t="str">
        <v>6 RH</v>
      </c>
      <c r="AQ379" t="str">
        <v>6 5/8 API</v>
      </c>
      <c r="AS379" t="str">
        <v>42"</v>
      </c>
      <c r="AT379">
        <v>616</v>
      </c>
      <c r="AU379" t="str">
        <v>3"</v>
      </c>
      <c r="AV379">
        <v>7</v>
      </c>
      <c r="AW379" t="str">
        <v>6 lg</v>
      </c>
      <c r="AY379">
        <v>1</v>
      </c>
      <c r="AZ379" t="str">
        <v>PRT</v>
      </c>
    </row>
    <row r="380">
      <c r="AL380" t="str">
        <v>003557-006</v>
      </c>
      <c r="AM380" t="str">
        <v>Bit Sub</v>
      </c>
      <c r="AN380">
        <v>8.625</v>
      </c>
      <c r="AO380">
        <v>8.625</v>
      </c>
      <c r="AP380" t="str">
        <v>6 RH</v>
      </c>
      <c r="AQ380" t="str">
        <v>6 5/8 API</v>
      </c>
      <c r="AS380" t="str">
        <v>68"</v>
      </c>
      <c r="AT380">
        <v>990</v>
      </c>
      <c r="AU380" t="str">
        <v>3"</v>
      </c>
      <c r="AV380">
        <v>7</v>
      </c>
      <c r="AW380" t="str">
        <v>4 lg</v>
      </c>
      <c r="AY380">
        <v>1</v>
      </c>
      <c r="AZ380" t="str">
        <v>PRT</v>
      </c>
    </row>
    <row r="381">
      <c r="AL381" t="str">
        <v>012569-001</v>
      </c>
      <c r="AM381" t="str">
        <v>Bit Sub</v>
      </c>
      <c r="AN381">
        <v>9</v>
      </c>
      <c r="AO381">
        <v>9</v>
      </c>
      <c r="AP381" t="str">
        <v>6 RH</v>
      </c>
      <c r="AQ381" t="str">
        <v>6 5/8 API</v>
      </c>
      <c r="AS381" t="str">
        <v>30"</v>
      </c>
      <c r="AT381">
        <v>564</v>
      </c>
      <c r="AU381" t="str">
        <v>3"</v>
      </c>
      <c r="AV381">
        <v>7</v>
      </c>
      <c r="AW381">
        <v>4</v>
      </c>
      <c r="AX381" t="str">
        <v>C75D</v>
      </c>
      <c r="AY381">
        <v>1</v>
      </c>
      <c r="AZ381" t="str">
        <v>DRL</v>
      </c>
    </row>
    <row r="382">
      <c r="AL382" t="str">
        <v>005846-002</v>
      </c>
      <c r="AM382" t="str">
        <v>Bit Sub</v>
      </c>
      <c r="AN382">
        <v>9.625</v>
      </c>
      <c r="AO382">
        <v>9.625</v>
      </c>
      <c r="AP382" t="str">
        <v>6 RH</v>
      </c>
      <c r="AQ382" t="str">
        <v>6 5/8 API</v>
      </c>
      <c r="AS382" t="str">
        <v>30"</v>
      </c>
      <c r="AT382">
        <v>572</v>
      </c>
      <c r="AU382" t="str">
        <v>3"</v>
      </c>
      <c r="AV382">
        <v>7</v>
      </c>
      <c r="AW382" t="str">
        <v>6 lg</v>
      </c>
      <c r="AX382" t="str">
        <v>C75D</v>
      </c>
      <c r="AY382">
        <v>1</v>
      </c>
      <c r="AZ382" t="str">
        <v>PRT</v>
      </c>
    </row>
    <row r="383">
      <c r="AL383" t="str">
        <v>014869-001</v>
      </c>
      <c r="AM383" t="str">
        <v>Bit Sub</v>
      </c>
      <c r="AN383">
        <v>9.625</v>
      </c>
      <c r="AO383">
        <v>9.625</v>
      </c>
      <c r="AP383" t="str">
        <v>8 RH</v>
      </c>
      <c r="AQ383" t="str">
        <v>6 5/8 API</v>
      </c>
      <c r="AS383" t="str">
        <v>42"</v>
      </c>
      <c r="AT383">
        <v>783</v>
      </c>
      <c r="AU383" t="str">
        <v>5"</v>
      </c>
      <c r="AV383">
        <v>8</v>
      </c>
      <c r="AW383">
        <v>6</v>
      </c>
      <c r="AX383" t="str">
        <v>C90KD</v>
      </c>
      <c r="AY383">
        <v>1</v>
      </c>
      <c r="AZ383" t="str">
        <v>PRT</v>
      </c>
    </row>
    <row r="384">
      <c r="AL384" t="str">
        <v>014868-001</v>
      </c>
      <c r="AM384" t="str">
        <v>Bit Sub</v>
      </c>
      <c r="AN384">
        <v>10</v>
      </c>
      <c r="AO384">
        <v>10</v>
      </c>
      <c r="AP384" t="str">
        <v>8 RH</v>
      </c>
      <c r="AQ384" t="str">
        <v>6 5/8 API</v>
      </c>
      <c r="AS384" t="str">
        <v>42"</v>
      </c>
      <c r="AT384">
        <v>852</v>
      </c>
      <c r="AU384" t="str">
        <v>5"</v>
      </c>
      <c r="AV384">
        <v>8</v>
      </c>
      <c r="AW384">
        <v>6</v>
      </c>
      <c r="AX384" t="str">
        <v>C90KD</v>
      </c>
      <c r="AY384">
        <v>1</v>
      </c>
      <c r="AZ384" t="str">
        <v>PRT</v>
      </c>
    </row>
    <row r="385">
      <c r="AL385" t="str">
        <v>018270-001</v>
      </c>
      <c r="AM385" t="str">
        <v>Bit Sub</v>
      </c>
      <c r="AN385">
        <v>10.25</v>
      </c>
      <c r="AO385">
        <v>12.125</v>
      </c>
      <c r="AP385" t="str">
        <v>8 RH</v>
      </c>
      <c r="AQ385" t="str">
        <v>6 5/8 API</v>
      </c>
      <c r="AS385">
        <v>42</v>
      </c>
      <c r="AT385">
        <v>860</v>
      </c>
      <c r="AU385" t="str">
        <v>3"</v>
      </c>
      <c r="AV385">
        <v>8</v>
      </c>
      <c r="AW385" t="str">
        <v>6 lg</v>
      </c>
      <c r="AX385" t="str">
        <v>Special, D90K</v>
      </c>
      <c r="AY385">
        <v>1</v>
      </c>
      <c r="AZ385" t="str">
        <v>PRT</v>
      </c>
    </row>
    <row r="386">
      <c r="AL386" t="str">
        <v>004800-003</v>
      </c>
      <c r="AM386" t="str">
        <v>Bit Sub</v>
      </c>
      <c r="AN386">
        <v>10.75</v>
      </c>
      <c r="AO386">
        <v>10.75</v>
      </c>
      <c r="AP386" t="str">
        <v>8 RH</v>
      </c>
      <c r="AQ386" t="str">
        <v>6 5/8 API</v>
      </c>
      <c r="AS386" t="str">
        <v>30"</v>
      </c>
      <c r="AT386">
        <v>692</v>
      </c>
      <c r="AU386" t="str">
        <v>4 3/4"</v>
      </c>
      <c r="AV386">
        <v>8</v>
      </c>
      <c r="AW386" t="str">
        <v>6 lg</v>
      </c>
      <c r="AY386">
        <v>1</v>
      </c>
      <c r="AZ386" t="str">
        <v>PRT</v>
      </c>
    </row>
    <row r="387">
      <c r="AL387" t="str">
        <v>004800-001</v>
      </c>
      <c r="AM387" t="str">
        <v>Bit Sub</v>
      </c>
      <c r="AN387">
        <v>10.75</v>
      </c>
      <c r="AO387">
        <v>10.75</v>
      </c>
      <c r="AP387" t="str">
        <v>8 RH</v>
      </c>
      <c r="AQ387" t="str">
        <v>6 5/8 API</v>
      </c>
      <c r="AS387" t="str">
        <v>36"</v>
      </c>
      <c r="AT387">
        <v>830</v>
      </c>
      <c r="AU387" t="str">
        <v>4 3/4"</v>
      </c>
      <c r="AV387">
        <v>8</v>
      </c>
      <c r="AW387" t="str">
        <v>6 lg</v>
      </c>
      <c r="AY387">
        <v>1</v>
      </c>
      <c r="AZ387" t="str">
        <v>DRL</v>
      </c>
    </row>
    <row r="388">
      <c r="AL388" t="str">
        <v>004800-002</v>
      </c>
      <c r="AM388" t="str">
        <v>Bit Sub</v>
      </c>
      <c r="AN388">
        <v>10.75</v>
      </c>
      <c r="AO388">
        <v>10.75</v>
      </c>
      <c r="AP388" t="str">
        <v>8 RH</v>
      </c>
      <c r="AQ388" t="str">
        <v>6 5/8 API</v>
      </c>
      <c r="AS388" t="str">
        <v>42"</v>
      </c>
      <c r="AT388">
        <v>968</v>
      </c>
      <c r="AU388" t="str">
        <v>4 3/4"</v>
      </c>
      <c r="AV388">
        <v>8</v>
      </c>
      <c r="AW388" t="str">
        <v>6 lg</v>
      </c>
      <c r="AY388">
        <v>1</v>
      </c>
      <c r="AZ388" t="str">
        <v>DRL</v>
      </c>
    </row>
    <row r="389">
      <c r="AL389" t="str">
        <v>017074-001</v>
      </c>
      <c r="AM389" t="str">
        <v>Bit Sub</v>
      </c>
      <c r="AN389" t="str">
        <v>10¼</v>
      </c>
      <c r="AO389" t="str">
        <v>10¼</v>
      </c>
      <c r="AP389" t="str">
        <v>8 RH</v>
      </c>
      <c r="AQ389" t="str">
        <v>6 5/8 API</v>
      </c>
      <c r="AS389" t="str">
        <v>42"</v>
      </c>
      <c r="AT389">
        <v>860</v>
      </c>
      <c r="AU389" t="str">
        <v>3"</v>
      </c>
      <c r="AV389">
        <v>8</v>
      </c>
      <c r="AW389">
        <v>6</v>
      </c>
      <c r="AX389" t="str">
        <v>C90SP</v>
      </c>
      <c r="AY389">
        <v>1</v>
      </c>
      <c r="AZ389" t="str">
        <v>PRT</v>
      </c>
    </row>
    <row r="390">
      <c r="AL390" t="str">
        <v>021149-001</v>
      </c>
      <c r="AM390" t="str">
        <v>Bit Sub</v>
      </c>
      <c r="AN390" t="str">
        <v>12¼</v>
      </c>
      <c r="AO390" t="str">
        <v>12¼</v>
      </c>
      <c r="AP390" t="str">
        <v>8 RH BOX</v>
      </c>
      <c r="AQ390" t="str">
        <v>7 5/8 API</v>
      </c>
      <c r="AS390" t="str">
        <v>42"</v>
      </c>
      <c r="AT390">
        <v>860</v>
      </c>
      <c r="AU390" t="str">
        <v>4 3/4"</v>
      </c>
      <c r="AV390">
        <v>9</v>
      </c>
      <c r="AW390" t="str">
        <v>6 lg</v>
      </c>
      <c r="AX390" t="str">
        <v>D90K</v>
      </c>
      <c r="AY390">
        <v>1</v>
      </c>
      <c r="AZ390" t="str">
        <v>PRT</v>
      </c>
    </row>
    <row r="391">
      <c r="AL391" t="str">
        <v>020859-001</v>
      </c>
      <c r="AM391" t="str">
        <v>Bit Sub</v>
      </c>
      <c r="AN391" t="str">
        <v>3½</v>
      </c>
      <c r="AO391">
        <v>4.375</v>
      </c>
      <c r="AP391" t="str">
        <v>2 3/8 IF</v>
      </c>
      <c r="AQ391" t="str">
        <v>3½ API</v>
      </c>
      <c r="AS391" t="str">
        <v>25'</v>
      </c>
      <c r="AT391">
        <v>87</v>
      </c>
      <c r="AU391" t="str">
        <v>1½"</v>
      </c>
      <c r="AV391">
        <v>2.75</v>
      </c>
      <c r="AW391" t="str">
        <v>4 lg</v>
      </c>
      <c r="AY391">
        <v>1</v>
      </c>
      <c r="AZ391" t="str">
        <v>PRT</v>
      </c>
    </row>
    <row r="392">
      <c r="AL392" t="str">
        <v>020495-005</v>
      </c>
      <c r="AM392" t="str">
        <v>Bit Sub</v>
      </c>
      <c r="AN392" t="str">
        <v>3½</v>
      </c>
      <c r="AO392">
        <v>4.75</v>
      </c>
      <c r="AP392" t="str">
        <v>2 7/8 API</v>
      </c>
      <c r="AQ392" t="str">
        <v>3½ API</v>
      </c>
      <c r="AS392" t="str">
        <v>24"</v>
      </c>
      <c r="AT392">
        <v>80</v>
      </c>
      <c r="AU392" t="str">
        <v>1¼"</v>
      </c>
      <c r="AV392">
        <v>2.75</v>
      </c>
      <c r="AW392" t="str">
        <v>4 lg</v>
      </c>
      <c r="AX392" t="str">
        <v>Gator</v>
      </c>
      <c r="AY392">
        <v>1</v>
      </c>
      <c r="AZ392" t="str">
        <v>PRT</v>
      </c>
    </row>
    <row r="393">
      <c r="AL393" t="str">
        <v>020495-002</v>
      </c>
      <c r="AM393" t="str">
        <v>Bit Sub</v>
      </c>
      <c r="AN393" t="str">
        <v>3½</v>
      </c>
      <c r="AO393">
        <v>5</v>
      </c>
      <c r="AP393" t="str">
        <v>2 7/8 API</v>
      </c>
      <c r="AQ393" t="str">
        <v>3½ API</v>
      </c>
      <c r="AS393" t="str">
        <v>14"</v>
      </c>
      <c r="AT393">
        <v>67</v>
      </c>
      <c r="AU393" t="str">
        <v>1¼"</v>
      </c>
      <c r="AV393">
        <v>2.75</v>
      </c>
      <c r="AW393" t="str">
        <v>4 lg</v>
      </c>
      <c r="AX393" t="str">
        <v>Gator</v>
      </c>
      <c r="AY393">
        <v>1</v>
      </c>
      <c r="AZ393" t="str">
        <v>PRT</v>
      </c>
    </row>
    <row r="394">
      <c r="AL394" t="str">
        <v>020495-006</v>
      </c>
      <c r="AM394" t="str">
        <v>Bit Sub</v>
      </c>
      <c r="AN394" t="str">
        <v>3½</v>
      </c>
      <c r="AO394">
        <v>5</v>
      </c>
      <c r="AP394" t="str">
        <v>2 7/8 API</v>
      </c>
      <c r="AQ394" t="str">
        <v>3½ API</v>
      </c>
      <c r="AS394" t="str">
        <v>14"</v>
      </c>
      <c r="AT394">
        <v>67</v>
      </c>
      <c r="AU394" t="str">
        <v>1¼"</v>
      </c>
      <c r="AV394">
        <v>2.75</v>
      </c>
      <c r="AW394" t="str">
        <v>4 lg</v>
      </c>
      <c r="AX394" t="str">
        <v>Gator</v>
      </c>
      <c r="AY394">
        <v>1</v>
      </c>
      <c r="AZ394" t="str">
        <v>PRT</v>
      </c>
    </row>
    <row r="395">
      <c r="AL395" t="str">
        <v>009521-001</v>
      </c>
      <c r="AM395" t="str">
        <v>Bit Sub</v>
      </c>
      <c r="AN395" t="str">
        <v>3½</v>
      </c>
      <c r="AO395">
        <v>7.75</v>
      </c>
      <c r="AP395" t="str">
        <v>2 3/8 IF</v>
      </c>
      <c r="AQ395" t="str">
        <v>6 5/8 API</v>
      </c>
      <c r="AS395" t="str">
        <v>24"</v>
      </c>
      <c r="AT395">
        <v>100</v>
      </c>
      <c r="AU395" t="str">
        <v>1 3/4"</v>
      </c>
      <c r="AV395">
        <v>2.75</v>
      </c>
      <c r="AW395">
        <v>4</v>
      </c>
      <c r="AY395">
        <v>1</v>
      </c>
      <c r="AZ395" t="str">
        <v>PRT</v>
      </c>
    </row>
    <row r="396">
      <c r="AL396" t="str">
        <v>004687-001</v>
      </c>
      <c r="AM396" t="str">
        <v>Bit Sub</v>
      </c>
      <c r="AN396" t="str">
        <v>3½</v>
      </c>
      <c r="AO396" t="str">
        <v>3½</v>
      </c>
      <c r="AP396" t="str">
        <v>2 3/8 IF</v>
      </c>
      <c r="AQ396" t="str">
        <v>2 3/8 API</v>
      </c>
      <c r="AS396" t="str">
        <v>23"</v>
      </c>
      <c r="AT396">
        <v>45</v>
      </c>
      <c r="AU396" t="str">
        <v>1 3/4"</v>
      </c>
      <c r="AV396">
        <v>2.75</v>
      </c>
      <c r="AW396">
        <v>4</v>
      </c>
      <c r="AY396">
        <v>1</v>
      </c>
      <c r="AZ396" t="str">
        <v>DRL</v>
      </c>
    </row>
    <row r="397">
      <c r="AL397" t="str">
        <v>004687-002</v>
      </c>
      <c r="AM397" t="str">
        <v>Bit Sub</v>
      </c>
      <c r="AN397" t="str">
        <v>3½</v>
      </c>
      <c r="AO397" t="str">
        <v>3½</v>
      </c>
      <c r="AP397" t="str">
        <v>2 3/8 IF</v>
      </c>
      <c r="AQ397" t="str">
        <v>2 7/8 API</v>
      </c>
      <c r="AS397" t="str">
        <v>23"</v>
      </c>
      <c r="AT397">
        <v>45</v>
      </c>
      <c r="AU397" t="str">
        <v>1 3/4"</v>
      </c>
      <c r="AV397">
        <v>2.75</v>
      </c>
      <c r="AW397">
        <v>4</v>
      </c>
      <c r="AY397">
        <v>1</v>
      </c>
      <c r="AZ397" t="str">
        <v>DRL</v>
      </c>
    </row>
    <row r="398">
      <c r="AL398" t="str">
        <v>004687-003</v>
      </c>
      <c r="AM398" t="str">
        <v>Bit Sub</v>
      </c>
      <c r="AN398" t="str">
        <v>3½</v>
      </c>
      <c r="AO398" t="str">
        <v>3½</v>
      </c>
      <c r="AP398" t="str">
        <v>2 3/8 IF</v>
      </c>
      <c r="AQ398" t="str">
        <v>2 3/8 IF</v>
      </c>
      <c r="AS398" t="str">
        <v>23"</v>
      </c>
      <c r="AT398">
        <v>45</v>
      </c>
      <c r="AU398" t="str">
        <v>1 3/4"</v>
      </c>
      <c r="AV398">
        <v>2.75</v>
      </c>
      <c r="AW398">
        <v>4</v>
      </c>
      <c r="AY398">
        <v>1</v>
      </c>
      <c r="AZ398" t="str">
        <v>DRL</v>
      </c>
    </row>
    <row r="399">
      <c r="AL399" t="str">
        <v>008720-001</v>
      </c>
      <c r="AM399" t="str">
        <v>Bit Sub</v>
      </c>
      <c r="AN399" t="str">
        <v>3½</v>
      </c>
      <c r="AO399" t="str">
        <v>3½</v>
      </c>
      <c r="AP399" t="str">
        <v>2 3/8 IF</v>
      </c>
      <c r="AQ399" t="str">
        <v>2 3/8 API Pin</v>
      </c>
      <c r="AS399" t="str">
        <v>24"</v>
      </c>
      <c r="AT399">
        <v>70</v>
      </c>
      <c r="AU399" t="str">
        <v>1"</v>
      </c>
      <c r="AV399">
        <v>2.75</v>
      </c>
      <c r="AW399">
        <v>4</v>
      </c>
      <c r="AX399" t="str">
        <v>Pin/Pin</v>
      </c>
      <c r="AY399">
        <v>1</v>
      </c>
      <c r="AZ399" t="str">
        <v>DRL</v>
      </c>
    </row>
    <row r="400">
      <c r="AL400" t="str">
        <v>002685-001</v>
      </c>
      <c r="AM400" t="str">
        <v>Bit Sub</v>
      </c>
      <c r="AN400" t="str">
        <v>3½</v>
      </c>
      <c r="AO400" t="str">
        <v>3½</v>
      </c>
      <c r="AP400" t="str">
        <v>2 3/8 API</v>
      </c>
      <c r="AQ400" t="str">
        <v>2 7/8 API</v>
      </c>
      <c r="AS400" t="str">
        <v>30"</v>
      </c>
      <c r="AT400">
        <v>73</v>
      </c>
      <c r="AU400" t="str">
        <v>1"</v>
      </c>
      <c r="AV400">
        <v>3</v>
      </c>
      <c r="AW400">
        <v>4</v>
      </c>
      <c r="AY400">
        <v>1</v>
      </c>
      <c r="AZ400" t="str">
        <v>DRL</v>
      </c>
    </row>
    <row r="401">
      <c r="AL401" t="str">
        <v>010010-001</v>
      </c>
      <c r="AM401" t="str">
        <v>Bit Sub</v>
      </c>
      <c r="AN401" t="str">
        <v>3½</v>
      </c>
      <c r="AO401" t="str">
        <v>4½</v>
      </c>
      <c r="AP401" t="str">
        <v>2 3/8 IF</v>
      </c>
      <c r="AQ401" t="str">
        <v>3½ API</v>
      </c>
      <c r="AS401" t="str">
        <v>24"</v>
      </c>
      <c r="AT401">
        <v>87</v>
      </c>
      <c r="AU401" t="str">
        <v>1½"</v>
      </c>
      <c r="AV401">
        <v>2.75</v>
      </c>
      <c r="AW401">
        <v>4</v>
      </c>
      <c r="AY401">
        <v>1</v>
      </c>
      <c r="AZ401" t="str">
        <v>PRT</v>
      </c>
    </row>
    <row r="402">
      <c r="AL402" t="str">
        <v>019627-001</v>
      </c>
      <c r="AM402" t="str">
        <v>Bit Sub</v>
      </c>
      <c r="AN402" t="str">
        <v>3½</v>
      </c>
      <c r="AO402" t="str">
        <v>4½</v>
      </c>
      <c r="AP402" t="str">
        <v>2 7/8 API</v>
      </c>
      <c r="AQ402" t="str">
        <v>3½ API</v>
      </c>
      <c r="AS402" t="str">
        <v>24"</v>
      </c>
      <c r="AT402">
        <v>65</v>
      </c>
      <c r="AU402" t="str">
        <v>1½"</v>
      </c>
      <c r="AV402">
        <v>2.75</v>
      </c>
      <c r="AW402" t="str">
        <v>4 lg</v>
      </c>
      <c r="AY402">
        <v>1</v>
      </c>
      <c r="AZ402" t="str">
        <v>PRT</v>
      </c>
    </row>
    <row r="403">
      <c r="AL403" t="str">
        <v>023202-001</v>
      </c>
      <c r="AM403" t="str">
        <v>Bit Sub</v>
      </c>
      <c r="AN403" t="str">
        <v>3½</v>
      </c>
      <c r="AO403" t="str">
        <v>4½</v>
      </c>
      <c r="AP403" t="str">
        <v>2 3/8 IF</v>
      </c>
      <c r="AQ403" t="str">
        <v>3½ API</v>
      </c>
      <c r="AS403" t="str">
        <v>33"</v>
      </c>
      <c r="AT403">
        <v>77</v>
      </c>
      <c r="AU403" t="str">
        <v>1½"</v>
      </c>
      <c r="AV403">
        <v>3</v>
      </c>
      <c r="AW403" t="str">
        <v>4 lg</v>
      </c>
      <c r="AX403" t="str">
        <v>Special Peabody D245</v>
      </c>
      <c r="AY403">
        <v>1</v>
      </c>
      <c r="AZ403" t="str">
        <v>PRT</v>
      </c>
    </row>
    <row r="404">
      <c r="AL404" t="str">
        <v>009520-001</v>
      </c>
      <c r="AM404" t="str">
        <v>Bit Sub</v>
      </c>
      <c r="AN404" t="str">
        <v>3½</v>
      </c>
      <c r="AO404" t="str">
        <v>5½</v>
      </c>
      <c r="AP404" t="str">
        <v>2 3/8 IF</v>
      </c>
      <c r="AQ404" t="str">
        <v>4½ API Pin</v>
      </c>
      <c r="AS404" t="str">
        <v>24"</v>
      </c>
      <c r="AT404">
        <v>94</v>
      </c>
      <c r="AU404" t="str">
        <v>1 3/4"</v>
      </c>
      <c r="AV404">
        <v>2.75</v>
      </c>
      <c r="AW404">
        <v>4</v>
      </c>
      <c r="AX404" t="str">
        <v>Pin/Pin</v>
      </c>
      <c r="AY404">
        <v>1</v>
      </c>
      <c r="AZ404" t="str">
        <v>PRT</v>
      </c>
    </row>
    <row r="405">
      <c r="AL405" t="str">
        <v>009521-002</v>
      </c>
      <c r="AM405" t="str">
        <v>Bit Sub</v>
      </c>
      <c r="AN405" t="str">
        <v>3½</v>
      </c>
      <c r="AO405" t="str">
        <v>5½</v>
      </c>
      <c r="AP405" t="str">
        <v>2 3/8 IF</v>
      </c>
      <c r="AQ405" t="str">
        <v>4½ IF</v>
      </c>
      <c r="AS405" t="str">
        <v>24"</v>
      </c>
      <c r="AT405">
        <v>85</v>
      </c>
      <c r="AU405" t="str">
        <v>1 3/4"</v>
      </c>
      <c r="AV405">
        <v>2.75</v>
      </c>
      <c r="AW405">
        <v>4</v>
      </c>
      <c r="AY405">
        <v>1</v>
      </c>
      <c r="AZ405" t="str">
        <v>PRT</v>
      </c>
    </row>
    <row r="406">
      <c r="AL406" t="str">
        <v>020495-001</v>
      </c>
      <c r="AM406" t="str">
        <v>Bit Sub</v>
      </c>
      <c r="AN406" t="str">
        <v>3½</v>
      </c>
      <c r="AP406" t="str">
        <v>2 7/8 API</v>
      </c>
      <c r="AQ406" t="str">
        <v>2 7/8 API</v>
      </c>
      <c r="AS406" t="str">
        <v>12"</v>
      </c>
      <c r="AT406">
        <v>40</v>
      </c>
      <c r="AU406" t="str">
        <v>1¼"</v>
      </c>
      <c r="AV406">
        <v>2.75</v>
      </c>
      <c r="AW406" t="str">
        <v>4 lg</v>
      </c>
      <c r="AX406" t="str">
        <v>Gator</v>
      </c>
      <c r="AY406">
        <v>1</v>
      </c>
      <c r="AZ406" t="str">
        <v>PRT</v>
      </c>
    </row>
    <row r="407">
      <c r="AL407" t="str">
        <v>020495-003</v>
      </c>
      <c r="AM407" t="str">
        <v>Bit Sub</v>
      </c>
      <c r="AN407" t="str">
        <v>3½</v>
      </c>
      <c r="AP407" t="str">
        <v>2 7/8 API</v>
      </c>
      <c r="AQ407" t="str">
        <v>2 7/8 API</v>
      </c>
      <c r="AS407" t="str">
        <v>24"</v>
      </c>
      <c r="AT407">
        <v>80</v>
      </c>
      <c r="AU407" t="str">
        <v>1¼"</v>
      </c>
      <c r="AV407">
        <v>2.75</v>
      </c>
      <c r="AW407" t="str">
        <v>4 lg</v>
      </c>
      <c r="AX407" t="str">
        <v>Gator</v>
      </c>
      <c r="AY407">
        <v>1</v>
      </c>
      <c r="AZ407" t="str">
        <v>PRT</v>
      </c>
    </row>
    <row r="408">
      <c r="AL408" t="str">
        <v>020495-004</v>
      </c>
      <c r="AM408" t="str">
        <v>Bit Sub</v>
      </c>
      <c r="AN408" t="str">
        <v>3½</v>
      </c>
      <c r="AP408" t="str">
        <v>2 7/8 API</v>
      </c>
      <c r="AQ408" t="str">
        <v>2 3/8 API</v>
      </c>
      <c r="AS408" t="str">
        <v>24"</v>
      </c>
      <c r="AT408">
        <v>80</v>
      </c>
      <c r="AU408" t="str">
        <v>1¼"</v>
      </c>
      <c r="AV408">
        <v>2.75</v>
      </c>
      <c r="AW408" t="str">
        <v>4 lg</v>
      </c>
      <c r="AX408" t="str">
        <v>Gator</v>
      </c>
      <c r="AY408">
        <v>1</v>
      </c>
      <c r="AZ408" t="str">
        <v>PRT</v>
      </c>
    </row>
    <row r="409">
      <c r="AL409" t="str">
        <v>002689-002</v>
      </c>
      <c r="AM409" t="str">
        <v>Bit Sub</v>
      </c>
      <c r="AN409" t="str">
        <v>4½</v>
      </c>
      <c r="AO409">
        <v>6</v>
      </c>
      <c r="AP409" t="str">
        <v>2 7/8 IF</v>
      </c>
      <c r="AQ409" t="str">
        <v>4½ API</v>
      </c>
      <c r="AS409" t="str">
        <v>24"</v>
      </c>
      <c r="AT409">
        <v>155</v>
      </c>
      <c r="AU409" t="str">
        <v>2"</v>
      </c>
      <c r="AV409">
        <v>3</v>
      </c>
      <c r="AW409">
        <v>4</v>
      </c>
      <c r="AY409">
        <v>1</v>
      </c>
      <c r="AZ409" t="str">
        <v>DRL</v>
      </c>
    </row>
    <row r="410">
      <c r="AL410" t="str">
        <v>009282-001</v>
      </c>
      <c r="AM410" t="str">
        <v>Bit Sub</v>
      </c>
      <c r="AN410" t="str">
        <v>4½</v>
      </c>
      <c r="AO410">
        <v>6</v>
      </c>
      <c r="AP410" t="str">
        <v>2 7/8 IF</v>
      </c>
      <c r="AQ410" t="str">
        <v>4½ IF</v>
      </c>
      <c r="AS410" t="str">
        <v>24"</v>
      </c>
      <c r="AT410">
        <v>150</v>
      </c>
      <c r="AU410" t="str">
        <v>2'</v>
      </c>
      <c r="AV410">
        <v>3</v>
      </c>
      <c r="AW410">
        <v>4</v>
      </c>
      <c r="AY410">
        <v>1</v>
      </c>
      <c r="AZ410" t="str">
        <v>DRL</v>
      </c>
    </row>
    <row r="411">
      <c r="AL411" t="str">
        <v>014133-002</v>
      </c>
      <c r="AM411" t="str">
        <v>Bit Sub</v>
      </c>
      <c r="AN411" t="str">
        <v>4½</v>
      </c>
      <c r="AO411">
        <v>6</v>
      </c>
      <c r="AP411" t="str">
        <v>NC 35</v>
      </c>
      <c r="AQ411" t="str">
        <v>4½ API</v>
      </c>
      <c r="AS411" t="str">
        <v>24"</v>
      </c>
      <c r="AT411">
        <v>130</v>
      </c>
      <c r="AU411" t="str">
        <v>1½"</v>
      </c>
      <c r="AV411">
        <v>3</v>
      </c>
      <c r="AW411">
        <v>4</v>
      </c>
      <c r="AY411">
        <v>1</v>
      </c>
      <c r="AZ411" t="str">
        <v>DRL</v>
      </c>
    </row>
    <row r="412">
      <c r="AL412" t="str">
        <v>002689-001</v>
      </c>
      <c r="AM412" t="str">
        <v>Bit Sub</v>
      </c>
      <c r="AN412" t="str">
        <v>4½</v>
      </c>
      <c r="AO412">
        <v>6</v>
      </c>
      <c r="AP412" t="str">
        <v>2 7/8 IF</v>
      </c>
      <c r="AQ412" t="str">
        <v>4½ API</v>
      </c>
      <c r="AS412" t="str">
        <v>30"</v>
      </c>
      <c r="AT412">
        <v>130</v>
      </c>
      <c r="AU412" t="str">
        <v>2"</v>
      </c>
      <c r="AV412">
        <v>3</v>
      </c>
      <c r="AW412">
        <v>4</v>
      </c>
      <c r="AY412">
        <v>1</v>
      </c>
      <c r="AZ412" t="str">
        <v>NCR</v>
      </c>
    </row>
    <row r="413">
      <c r="AL413" t="str">
        <v>014133-001</v>
      </c>
      <c r="AM413" t="str">
        <v>Bit Sub</v>
      </c>
      <c r="AN413" t="str">
        <v>4½</v>
      </c>
      <c r="AO413">
        <v>6</v>
      </c>
      <c r="AP413" t="str">
        <v>NC 35</v>
      </c>
      <c r="AQ413" t="str">
        <v>4½ API</v>
      </c>
      <c r="AS413" t="str">
        <v>30"</v>
      </c>
      <c r="AT413">
        <v>155</v>
      </c>
      <c r="AU413" t="str">
        <v>1½"</v>
      </c>
      <c r="AV413">
        <v>3</v>
      </c>
      <c r="AW413">
        <v>4</v>
      </c>
      <c r="AY413">
        <v>1</v>
      </c>
      <c r="AZ413" t="str">
        <v>DRL</v>
      </c>
    </row>
    <row r="414">
      <c r="AL414" t="str">
        <v>020863-001</v>
      </c>
      <c r="AM414" t="str">
        <v>Bit Sub</v>
      </c>
      <c r="AN414" t="str">
        <v>4½</v>
      </c>
      <c r="AO414">
        <v>7.75</v>
      </c>
      <c r="AP414" t="str">
        <v>3½ API</v>
      </c>
      <c r="AQ414" t="str">
        <v>6 5/8 API</v>
      </c>
      <c r="AS414" t="str">
        <v>21.5"</v>
      </c>
      <c r="AU414" t="str">
        <v>1 3/4"</v>
      </c>
      <c r="AV414">
        <v>3</v>
      </c>
      <c r="AW414" t="str">
        <v>4 lg</v>
      </c>
      <c r="AX414" t="str">
        <v>Bored for SF-6R Float Valve</v>
      </c>
      <c r="AY414">
        <v>1</v>
      </c>
      <c r="AZ414" t="str">
        <v>PRT</v>
      </c>
    </row>
    <row r="415">
      <c r="AL415" t="str">
        <v>002262-001</v>
      </c>
      <c r="AM415" t="str">
        <v>Bit Sub</v>
      </c>
      <c r="AN415" t="str">
        <v>4½</v>
      </c>
      <c r="AO415">
        <v>7.75</v>
      </c>
      <c r="AP415" t="str">
        <v>3½ API</v>
      </c>
      <c r="AQ415" t="str">
        <v>6 5/8 API</v>
      </c>
      <c r="AS415" t="str">
        <v>30"</v>
      </c>
      <c r="AT415">
        <v>175</v>
      </c>
      <c r="AU415" t="str">
        <v>1 3/4"</v>
      </c>
      <c r="AV415">
        <v>3</v>
      </c>
      <c r="AW415">
        <v>4</v>
      </c>
      <c r="AY415">
        <v>1</v>
      </c>
      <c r="AZ415" t="str">
        <v>DRL</v>
      </c>
    </row>
    <row r="416">
      <c r="AL416" t="str">
        <v>004263-001</v>
      </c>
      <c r="AM416" t="str">
        <v>Bit Sub</v>
      </c>
      <c r="AN416" t="str">
        <v>4½</v>
      </c>
      <c r="AO416">
        <v>7.75</v>
      </c>
      <c r="AP416" t="str">
        <v>3½ API</v>
      </c>
      <c r="AQ416" t="str">
        <v>6 5/8 API</v>
      </c>
      <c r="AS416" t="str">
        <v>40"</v>
      </c>
      <c r="AT416">
        <v>280</v>
      </c>
      <c r="AU416" t="str">
        <v>1 3/4"</v>
      </c>
      <c r="AV416">
        <v>3</v>
      </c>
      <c r="AW416" t="str">
        <v>1½</v>
      </c>
      <c r="AY416">
        <v>1</v>
      </c>
      <c r="AZ416" t="str">
        <v>PRT</v>
      </c>
    </row>
    <row r="417">
      <c r="AL417" t="str">
        <v>002262-004</v>
      </c>
      <c r="AM417" t="str">
        <v>Bit Sub</v>
      </c>
      <c r="AN417" t="str">
        <v>4½</v>
      </c>
      <c r="AO417">
        <v>8</v>
      </c>
      <c r="AP417" t="str">
        <v>2 7/8 IF</v>
      </c>
      <c r="AQ417" t="str">
        <v>6 5/8 API</v>
      </c>
      <c r="AS417" t="str">
        <v>24"</v>
      </c>
      <c r="AT417">
        <v>145</v>
      </c>
      <c r="AU417" t="str">
        <v>2"</v>
      </c>
      <c r="AV417">
        <v>3</v>
      </c>
      <c r="AW417">
        <v>4</v>
      </c>
      <c r="AY417">
        <v>1</v>
      </c>
      <c r="AZ417" t="str">
        <v>DRL</v>
      </c>
    </row>
    <row r="418">
      <c r="AL418" t="str">
        <v>002262-003</v>
      </c>
      <c r="AM418" t="str">
        <v>Bit Sub</v>
      </c>
      <c r="AN418" t="str">
        <v>4½</v>
      </c>
      <c r="AO418">
        <v>8</v>
      </c>
      <c r="AP418" t="str">
        <v>2 7/8 IF</v>
      </c>
      <c r="AQ418" t="str">
        <v>6 5/8 API</v>
      </c>
      <c r="AS418" t="str">
        <v>30"</v>
      </c>
      <c r="AT418">
        <v>165</v>
      </c>
      <c r="AU418" t="str">
        <v>2"</v>
      </c>
      <c r="AV418">
        <v>3</v>
      </c>
      <c r="AW418">
        <v>4</v>
      </c>
      <c r="AY418">
        <v>1</v>
      </c>
      <c r="AZ418" t="str">
        <v>DRL</v>
      </c>
    </row>
    <row r="419">
      <c r="AL419" t="str">
        <v>002262-002</v>
      </c>
      <c r="AM419" t="str">
        <v>Bit Sub</v>
      </c>
      <c r="AN419" t="str">
        <v>4½</v>
      </c>
      <c r="AO419">
        <v>8.875</v>
      </c>
      <c r="AP419" t="str">
        <v>3½ API</v>
      </c>
      <c r="AQ419" t="str">
        <v>7 5/8 API</v>
      </c>
      <c r="AS419" t="str">
        <v>30"</v>
      </c>
      <c r="AT419">
        <v>195</v>
      </c>
      <c r="AU419" t="str">
        <v>1 3/4"</v>
      </c>
      <c r="AV419">
        <v>3</v>
      </c>
      <c r="AW419">
        <v>4</v>
      </c>
      <c r="AY419">
        <v>1</v>
      </c>
      <c r="AZ419" t="str">
        <v>DRL</v>
      </c>
    </row>
    <row r="420">
      <c r="AL420" t="str">
        <v>005498-001</v>
      </c>
      <c r="AM420" t="str">
        <v>Bit Sub</v>
      </c>
      <c r="AN420" t="str">
        <v>4½</v>
      </c>
      <c r="AO420">
        <v>10</v>
      </c>
      <c r="AP420" t="str">
        <v>3½ API</v>
      </c>
      <c r="AQ420" t="str">
        <v>6 5/8 API</v>
      </c>
      <c r="AS420" t="str">
        <v>20"</v>
      </c>
      <c r="AT420">
        <v>202</v>
      </c>
      <c r="AU420" t="str">
        <v>1 3/4"</v>
      </c>
      <c r="AV420">
        <v>3</v>
      </c>
      <c r="AW420" t="str">
        <v>1½</v>
      </c>
      <c r="AY420">
        <v>2</v>
      </c>
      <c r="AZ420" t="str">
        <v>FAB</v>
      </c>
    </row>
    <row r="421">
      <c r="AL421" t="str">
        <v>005497-001</v>
      </c>
      <c r="AM421" t="str">
        <v>Bit Sub</v>
      </c>
      <c r="AN421" t="str">
        <v>4½</v>
      </c>
      <c r="AO421">
        <v>10</v>
      </c>
      <c r="AP421" t="str">
        <v>3½ API</v>
      </c>
      <c r="AQ421" t="str">
        <v>6 5/8 API</v>
      </c>
      <c r="AS421" t="str">
        <v>6'4"</v>
      </c>
      <c r="AT421">
        <v>430</v>
      </c>
      <c r="AU421" t="str">
        <v>1 3/4"</v>
      </c>
      <c r="AV421">
        <v>3</v>
      </c>
      <c r="AW421" t="str">
        <v>1½</v>
      </c>
      <c r="AY421">
        <v>1</v>
      </c>
      <c r="AZ421" t="str">
        <v>DRL</v>
      </c>
    </row>
    <row r="422">
      <c r="AL422" t="str">
        <v>005497-002</v>
      </c>
      <c r="AM422" t="str">
        <v>Bit Sub</v>
      </c>
      <c r="AN422" t="str">
        <v>4½</v>
      </c>
      <c r="AO422">
        <v>12</v>
      </c>
      <c r="AP422" t="str">
        <v>3½ API</v>
      </c>
      <c r="AQ422" t="str">
        <v>6 5/8 API</v>
      </c>
      <c r="AS422" t="str">
        <v>6'4"</v>
      </c>
      <c r="AT422">
        <v>490</v>
      </c>
      <c r="AU422" t="str">
        <v>1 3/4"</v>
      </c>
      <c r="AV422">
        <v>3</v>
      </c>
      <c r="AW422" t="str">
        <v>1½</v>
      </c>
      <c r="AY422">
        <v>1</v>
      </c>
      <c r="AZ422" t="str">
        <v>DRL</v>
      </c>
    </row>
    <row r="423">
      <c r="AL423" t="str">
        <v>001631-004</v>
      </c>
      <c r="AM423" t="str">
        <v>Bit Sub</v>
      </c>
      <c r="AN423" t="str">
        <v>4½</v>
      </c>
      <c r="AO423" t="str">
        <v>4½</v>
      </c>
      <c r="AP423" t="str">
        <v>3½ API</v>
      </c>
      <c r="AQ423" t="str">
        <v>3½ API</v>
      </c>
      <c r="AS423" t="str">
        <v>125"</v>
      </c>
      <c r="AT423">
        <v>500</v>
      </c>
      <c r="AV423">
        <v>3</v>
      </c>
      <c r="AW423" t="str">
        <v>4 lg</v>
      </c>
      <c r="AY423">
        <v>1</v>
      </c>
      <c r="AZ423" t="str">
        <v>DRL</v>
      </c>
    </row>
    <row r="424">
      <c r="AL424" t="str">
        <v>021520-002</v>
      </c>
      <c r="AM424" t="str">
        <v>Bit Sub</v>
      </c>
      <c r="AN424" t="str">
        <v>4½</v>
      </c>
      <c r="AO424" t="str">
        <v>4½</v>
      </c>
      <c r="AP424" t="str">
        <v>3½ API</v>
      </c>
      <c r="AQ424" t="str">
        <v>3½ API</v>
      </c>
      <c r="AS424" t="str">
        <v>14 3/4"</v>
      </c>
      <c r="AT424">
        <v>59</v>
      </c>
      <c r="AU424" t="str">
        <v>1½"</v>
      </c>
      <c r="AV424">
        <v>3</v>
      </c>
      <c r="AW424" t="str">
        <v>4 lg</v>
      </c>
      <c r="AX424" t="str">
        <v>Gator XL 6</v>
      </c>
      <c r="AY424">
        <v>1</v>
      </c>
    </row>
    <row r="425">
      <c r="AL425" t="str">
        <v>002945-002</v>
      </c>
      <c r="AM425" t="str">
        <v>Bit Sub</v>
      </c>
      <c r="AN425" t="str">
        <v>4½</v>
      </c>
      <c r="AO425" t="str">
        <v>4½</v>
      </c>
      <c r="AP425" t="str">
        <v>3½ API</v>
      </c>
      <c r="AQ425" t="str">
        <v>3½ API</v>
      </c>
      <c r="AS425" t="str">
        <v>18"</v>
      </c>
      <c r="AT425">
        <v>70</v>
      </c>
      <c r="AU425" t="str">
        <v>1½"</v>
      </c>
      <c r="AV425">
        <v>3</v>
      </c>
      <c r="AW425">
        <v>4</v>
      </c>
      <c r="AY425">
        <v>1</v>
      </c>
      <c r="AZ425" t="str">
        <v>DRL</v>
      </c>
    </row>
    <row r="426">
      <c r="AL426" t="str">
        <v>004597-001</v>
      </c>
      <c r="AM426" t="str">
        <v>Bit Sub</v>
      </c>
      <c r="AN426" t="str">
        <v>4½</v>
      </c>
      <c r="AO426" t="str">
        <v>4½</v>
      </c>
      <c r="AP426" t="str">
        <v>2 7/8 IF</v>
      </c>
      <c r="AQ426" t="str">
        <v>2 7/8 IF</v>
      </c>
      <c r="AS426" t="str">
        <v>18"</v>
      </c>
      <c r="AT426">
        <v>70</v>
      </c>
      <c r="AU426" t="str">
        <v>2"</v>
      </c>
      <c r="AV426">
        <v>3</v>
      </c>
      <c r="AW426">
        <v>4</v>
      </c>
      <c r="AY426">
        <v>1</v>
      </c>
      <c r="AZ426" t="str">
        <v>DRL</v>
      </c>
    </row>
    <row r="427">
      <c r="AL427" t="str">
        <v>002256-001</v>
      </c>
      <c r="AM427" t="str">
        <v>Bit Sub</v>
      </c>
      <c r="AN427" t="str">
        <v>4½</v>
      </c>
      <c r="AO427" t="str">
        <v>4½</v>
      </c>
      <c r="AP427" t="str">
        <v>3½ API</v>
      </c>
      <c r="AQ427" t="str">
        <v>Blank</v>
      </c>
      <c r="AS427" t="str">
        <v>22"</v>
      </c>
      <c r="AT427">
        <v>88</v>
      </c>
      <c r="AU427" t="str">
        <v>1 3/4"</v>
      </c>
      <c r="AV427">
        <v>3</v>
      </c>
      <c r="AW427" t="str">
        <v>1½</v>
      </c>
      <c r="AY427">
        <v>1</v>
      </c>
      <c r="AZ427" t="str">
        <v>DRL</v>
      </c>
    </row>
    <row r="428">
      <c r="AL428" t="str">
        <v>001631-001</v>
      </c>
      <c r="AM428" t="str">
        <v>Bit Sub</v>
      </c>
      <c r="AN428" t="str">
        <v>4½</v>
      </c>
      <c r="AO428" t="str">
        <v>4½</v>
      </c>
      <c r="AP428" t="str">
        <v>3½ API</v>
      </c>
      <c r="AQ428" t="str">
        <v>3½ API</v>
      </c>
      <c r="AS428" t="str">
        <v>24"</v>
      </c>
      <c r="AT428">
        <v>96</v>
      </c>
      <c r="AU428" t="str">
        <v>1½"</v>
      </c>
      <c r="AV428">
        <v>3</v>
      </c>
      <c r="AW428" t="str">
        <v>4 lg</v>
      </c>
      <c r="AY428">
        <v>1</v>
      </c>
      <c r="AZ428" t="str">
        <v>DRL</v>
      </c>
    </row>
    <row r="429">
      <c r="AL429" t="str">
        <v>001841-001</v>
      </c>
      <c r="AM429" t="str">
        <v>Bit Sub</v>
      </c>
      <c r="AN429" t="str">
        <v>4½</v>
      </c>
      <c r="AO429" t="str">
        <v>4½</v>
      </c>
      <c r="AP429" t="str">
        <v>3 RH</v>
      </c>
      <c r="AQ429" t="str">
        <v>3½ API</v>
      </c>
      <c r="AS429" t="str">
        <v>24"</v>
      </c>
      <c r="AT429">
        <v>96</v>
      </c>
      <c r="AU429" t="str">
        <v>1½"</v>
      </c>
      <c r="AV429">
        <v>3</v>
      </c>
      <c r="AW429">
        <v>4</v>
      </c>
      <c r="AY429">
        <v>1</v>
      </c>
      <c r="AZ429" t="str">
        <v>DRL</v>
      </c>
    </row>
    <row r="430">
      <c r="AL430" t="str">
        <v>001997-002</v>
      </c>
      <c r="AM430" t="str">
        <v>Bit Sub</v>
      </c>
      <c r="AN430" t="str">
        <v>4½</v>
      </c>
      <c r="AO430" t="str">
        <v>4½</v>
      </c>
      <c r="AP430" t="str">
        <v>3½ API</v>
      </c>
      <c r="AQ430" t="str">
        <v>3 RH Pin</v>
      </c>
      <c r="AS430" t="str">
        <v>24"</v>
      </c>
      <c r="AT430">
        <v>127</v>
      </c>
      <c r="AU430" t="str">
        <v>1½"</v>
      </c>
      <c r="AV430">
        <v>3</v>
      </c>
      <c r="AW430">
        <v>4</v>
      </c>
      <c r="AX430" t="str">
        <v>Obsolete</v>
      </c>
      <c r="AY430">
        <v>1</v>
      </c>
      <c r="AZ430" t="str">
        <v>DRL</v>
      </c>
    </row>
    <row r="431">
      <c r="AL431" t="str">
        <v>002066-001</v>
      </c>
      <c r="AM431" t="str">
        <v>Bit Sub</v>
      </c>
      <c r="AN431" t="str">
        <v>4½</v>
      </c>
      <c r="AO431" t="str">
        <v>4½</v>
      </c>
      <c r="AP431" t="str">
        <v>3½ API</v>
      </c>
      <c r="AQ431" t="str">
        <v>3½ API Pin</v>
      </c>
      <c r="AS431" t="str">
        <v>24"</v>
      </c>
      <c r="AT431">
        <v>127</v>
      </c>
      <c r="AU431" t="str">
        <v>1½"</v>
      </c>
      <c r="AV431">
        <v>3</v>
      </c>
      <c r="AW431">
        <v>4</v>
      </c>
      <c r="AX431" t="str">
        <v>Pin/Pin</v>
      </c>
      <c r="AY431">
        <v>1</v>
      </c>
      <c r="AZ431" t="str">
        <v>DRL</v>
      </c>
    </row>
    <row r="432">
      <c r="AL432" t="str">
        <v>002688-001</v>
      </c>
      <c r="AM432" t="str">
        <v>Bit Sub</v>
      </c>
      <c r="AN432" t="str">
        <v>4½</v>
      </c>
      <c r="AO432" t="str">
        <v>4½</v>
      </c>
      <c r="AP432" t="str">
        <v>2 7/8 IF</v>
      </c>
      <c r="AQ432" t="str">
        <v>3½ API</v>
      </c>
      <c r="AS432" t="str">
        <v>24"</v>
      </c>
      <c r="AT432">
        <v>96</v>
      </c>
      <c r="AU432" t="str">
        <v>2"</v>
      </c>
      <c r="AV432">
        <v>3</v>
      </c>
      <c r="AW432">
        <v>4</v>
      </c>
      <c r="AY432">
        <v>1</v>
      </c>
      <c r="AZ432" t="str">
        <v>DRL</v>
      </c>
    </row>
    <row r="433">
      <c r="AL433" t="str">
        <v>002945-001</v>
      </c>
      <c r="AM433" t="str">
        <v>Bit Sub</v>
      </c>
      <c r="AN433" t="str">
        <v>4½</v>
      </c>
      <c r="AO433" t="str">
        <v>4½</v>
      </c>
      <c r="AP433" t="str">
        <v>3½ API</v>
      </c>
      <c r="AQ433" t="str">
        <v>3½ API</v>
      </c>
      <c r="AS433" t="str">
        <v>24"</v>
      </c>
      <c r="AT433">
        <v>93</v>
      </c>
      <c r="AU433" t="str">
        <v>1½"</v>
      </c>
      <c r="AV433">
        <v>3</v>
      </c>
      <c r="AW433">
        <v>4</v>
      </c>
      <c r="AY433">
        <v>2</v>
      </c>
      <c r="AZ433" t="str">
        <v>PRW</v>
      </c>
    </row>
    <row r="434">
      <c r="AL434" t="str">
        <v>014132-001</v>
      </c>
      <c r="AM434" t="str">
        <v>Bit Sub</v>
      </c>
      <c r="AN434" t="str">
        <v>4½</v>
      </c>
      <c r="AO434" t="str">
        <v>4½</v>
      </c>
      <c r="AP434" t="str">
        <v>NC 35</v>
      </c>
      <c r="AQ434" t="str">
        <v>4½ API</v>
      </c>
      <c r="AS434" t="str">
        <v>24"</v>
      </c>
      <c r="AT434">
        <v>96</v>
      </c>
      <c r="AU434" t="str">
        <v>1½"</v>
      </c>
      <c r="AV434">
        <v>3</v>
      </c>
      <c r="AW434">
        <v>4</v>
      </c>
      <c r="AY434">
        <v>1</v>
      </c>
      <c r="AZ434" t="str">
        <v>DRL</v>
      </c>
    </row>
    <row r="435">
      <c r="AL435" t="str">
        <v>021520-001</v>
      </c>
      <c r="AM435" t="str">
        <v>Bit Sub</v>
      </c>
      <c r="AN435" t="str">
        <v>4½</v>
      </c>
      <c r="AO435" t="str">
        <v>4½</v>
      </c>
      <c r="AP435" t="str">
        <v>3½ API</v>
      </c>
      <c r="AQ435" t="str">
        <v>3½ API</v>
      </c>
      <c r="AS435" t="str">
        <v>24"</v>
      </c>
      <c r="AT435">
        <v>96</v>
      </c>
      <c r="AU435" t="str">
        <v>1½"</v>
      </c>
      <c r="AV435">
        <v>3</v>
      </c>
      <c r="AW435" t="str">
        <v>4 lg</v>
      </c>
      <c r="AX435" t="str">
        <v>Gator XL 5</v>
      </c>
      <c r="AY435">
        <v>1</v>
      </c>
      <c r="AZ435" t="str">
        <v>PRT</v>
      </c>
    </row>
    <row r="436">
      <c r="AL436" t="str">
        <v>023174-001</v>
      </c>
      <c r="AM436" t="str">
        <v>Bit Sub</v>
      </c>
      <c r="AN436" t="str">
        <v>4½</v>
      </c>
      <c r="AO436" t="str">
        <v>4½</v>
      </c>
      <c r="AP436" t="str">
        <v>3½ DIBH</v>
      </c>
      <c r="AQ436" t="str">
        <v>3½ API</v>
      </c>
      <c r="AS436" t="str">
        <v>24"</v>
      </c>
      <c r="AT436">
        <v>91</v>
      </c>
      <c r="AU436" t="str">
        <v>1½"</v>
      </c>
      <c r="AV436">
        <v>3</v>
      </c>
      <c r="AW436" t="str">
        <v>4 lg</v>
      </c>
      <c r="AY436">
        <v>1</v>
      </c>
      <c r="AZ436" t="str">
        <v>PRT</v>
      </c>
    </row>
    <row r="437">
      <c r="AL437" t="str">
        <v>020862-001</v>
      </c>
      <c r="AM437" t="str">
        <v>Bit Sub</v>
      </c>
      <c r="AN437" t="str">
        <v>4½</v>
      </c>
      <c r="AO437" t="str">
        <v>4½</v>
      </c>
      <c r="AP437" t="str">
        <v>3½ API</v>
      </c>
      <c r="AQ437" t="str">
        <v>3½ API</v>
      </c>
      <c r="AS437" t="str">
        <v>27"</v>
      </c>
      <c r="AU437" t="str">
        <v>1 3/4" - 2 7/16"</v>
      </c>
      <c r="AV437">
        <v>3</v>
      </c>
      <c r="AW437" t="str">
        <v>4 lg</v>
      </c>
      <c r="AX437" t="str">
        <v>Bored for 2F-3R Float Valve</v>
      </c>
      <c r="AY437">
        <v>1</v>
      </c>
      <c r="AZ437" t="str">
        <v>PRT</v>
      </c>
    </row>
    <row r="438">
      <c r="AL438" t="str">
        <v>001841-003</v>
      </c>
      <c r="AM438" t="str">
        <v>Bit Sub</v>
      </c>
      <c r="AN438" t="str">
        <v>4½</v>
      </c>
      <c r="AO438" t="str">
        <v>4½</v>
      </c>
      <c r="AP438" t="str">
        <v>3 RH</v>
      </c>
      <c r="AQ438" t="str">
        <v>3½ API</v>
      </c>
      <c r="AS438" t="str">
        <v>30"</v>
      </c>
      <c r="AT438">
        <v>115</v>
      </c>
      <c r="AU438" t="str">
        <v>1½"</v>
      </c>
      <c r="AV438">
        <v>3</v>
      </c>
      <c r="AW438">
        <v>4</v>
      </c>
      <c r="AY438">
        <v>1</v>
      </c>
      <c r="AZ438" t="str">
        <v>DRL</v>
      </c>
    </row>
    <row r="439">
      <c r="AL439" t="str">
        <v>021520-003</v>
      </c>
      <c r="AM439" t="str">
        <v>Bit Sub</v>
      </c>
      <c r="AN439" t="str">
        <v>4½</v>
      </c>
      <c r="AO439" t="str">
        <v>4½</v>
      </c>
      <c r="AP439" t="str">
        <v>3½ API</v>
      </c>
      <c r="AQ439" t="str">
        <v>3½ API</v>
      </c>
      <c r="AS439" t="str">
        <v>32"</v>
      </c>
      <c r="AT439">
        <v>128</v>
      </c>
      <c r="AU439" t="str">
        <v>1½"</v>
      </c>
      <c r="AV439">
        <v>3</v>
      </c>
      <c r="AW439" t="str">
        <v>4 lg</v>
      </c>
      <c r="AY439">
        <v>1</v>
      </c>
    </row>
    <row r="440">
      <c r="AL440" t="str">
        <v>023202-002</v>
      </c>
      <c r="AM440" t="str">
        <v>Bit Sub</v>
      </c>
      <c r="AN440" t="str">
        <v>4½</v>
      </c>
      <c r="AO440" t="str">
        <v>4½</v>
      </c>
      <c r="AP440" t="str">
        <v>2 7/8 API</v>
      </c>
      <c r="AQ440" t="str">
        <v>3½ API</v>
      </c>
      <c r="AS440" t="str">
        <v>33"</v>
      </c>
      <c r="AT440">
        <v>77</v>
      </c>
      <c r="AU440" t="str">
        <v>1½"</v>
      </c>
      <c r="AV440">
        <v>3</v>
      </c>
      <c r="AX440" t="str">
        <v>C245</v>
      </c>
    </row>
    <row r="441">
      <c r="AL441" t="str">
        <v>001841-002</v>
      </c>
      <c r="AM441" t="str">
        <v>Bit Sub</v>
      </c>
      <c r="AN441" t="str">
        <v>4½</v>
      </c>
      <c r="AO441" t="str">
        <v>4½</v>
      </c>
      <c r="AP441" t="str">
        <v>3 RH</v>
      </c>
      <c r="AQ441" t="str">
        <v>3½ API</v>
      </c>
      <c r="AS441" t="str">
        <v>36"</v>
      </c>
      <c r="AT441">
        <v>140</v>
      </c>
      <c r="AU441" t="str">
        <v>1½"</v>
      </c>
      <c r="AV441">
        <v>3</v>
      </c>
      <c r="AW441">
        <v>4</v>
      </c>
      <c r="AY441">
        <v>1</v>
      </c>
      <c r="AZ441" t="str">
        <v>PRT</v>
      </c>
    </row>
    <row r="442">
      <c r="AL442" t="str">
        <v>001631-002</v>
      </c>
      <c r="AM442" t="str">
        <v>Bit Sub</v>
      </c>
      <c r="AN442" t="str">
        <v>4½</v>
      </c>
      <c r="AO442" t="str">
        <v>4½</v>
      </c>
      <c r="AP442" t="str">
        <v>3½ API</v>
      </c>
      <c r="AQ442" t="str">
        <v>3½ API</v>
      </c>
      <c r="AS442" t="str">
        <v>66"</v>
      </c>
      <c r="AT442">
        <v>264</v>
      </c>
      <c r="AV442">
        <v>3</v>
      </c>
      <c r="AW442" t="str">
        <v>4 lg</v>
      </c>
      <c r="AY442">
        <v>1</v>
      </c>
      <c r="AZ442" t="str">
        <v>DRL</v>
      </c>
    </row>
    <row r="443">
      <c r="AL443" t="str">
        <v>001631-003</v>
      </c>
      <c r="AM443" t="str">
        <v>Bit Sub</v>
      </c>
      <c r="AN443" t="str">
        <v>4½</v>
      </c>
      <c r="AO443" t="str">
        <v>4½</v>
      </c>
      <c r="AP443" t="str">
        <v>3½ API</v>
      </c>
      <c r="AQ443" t="str">
        <v>3½ API</v>
      </c>
      <c r="AS443" t="str">
        <v>84"</v>
      </c>
      <c r="AT443">
        <v>336</v>
      </c>
      <c r="AV443">
        <v>3</v>
      </c>
      <c r="AW443" t="str">
        <v>4 lg</v>
      </c>
      <c r="AY443">
        <v>1</v>
      </c>
      <c r="AZ443" t="str">
        <v>DRL</v>
      </c>
    </row>
    <row r="444">
      <c r="AL444" t="str">
        <v>002203-001</v>
      </c>
      <c r="AM444" t="str">
        <v>Bit Sub</v>
      </c>
      <c r="AN444" t="str">
        <v>4½</v>
      </c>
      <c r="AO444" t="str">
        <v>5½</v>
      </c>
      <c r="AP444" t="str">
        <v>3½ API</v>
      </c>
      <c r="AQ444" t="str">
        <v>4½ API</v>
      </c>
      <c r="AS444" t="str">
        <v>24</v>
      </c>
      <c r="AT444">
        <v>105</v>
      </c>
      <c r="AU444" t="str">
        <v>1 3/4"</v>
      </c>
      <c r="AV444">
        <v>3</v>
      </c>
      <c r="AW444">
        <v>4</v>
      </c>
      <c r="AY444">
        <v>1</v>
      </c>
      <c r="AZ444" t="str">
        <v>DRL</v>
      </c>
    </row>
    <row r="445">
      <c r="AL445" t="str">
        <v>004031-001</v>
      </c>
      <c r="AM445" t="str">
        <v>Bit Sub</v>
      </c>
      <c r="AN445" t="str">
        <v>4½</v>
      </c>
      <c r="AO445" t="str">
        <v>5½</v>
      </c>
      <c r="AP445" t="str">
        <v>3½ API</v>
      </c>
      <c r="AQ445" t="str">
        <v>4½ API</v>
      </c>
      <c r="AS445" t="str">
        <v>24"</v>
      </c>
      <c r="AT445">
        <v>100</v>
      </c>
      <c r="AU445" t="str">
        <v>1 3/4"</v>
      </c>
      <c r="AV445">
        <v>3</v>
      </c>
      <c r="AW445">
        <v>4</v>
      </c>
      <c r="AY445">
        <v>2</v>
      </c>
      <c r="AZ445" t="str">
        <v>DRL</v>
      </c>
    </row>
    <row r="446">
      <c r="AL446" t="str">
        <v>020884-001</v>
      </c>
      <c r="AM446" t="str">
        <v>Bit Sub</v>
      </c>
      <c r="AN446" t="str">
        <v>4½</v>
      </c>
      <c r="AO446" t="str">
        <v>5½</v>
      </c>
      <c r="AP446" t="str">
        <v>3½ API</v>
      </c>
      <c r="AQ446" t="str">
        <v>4½ API</v>
      </c>
      <c r="AU446" t="str">
        <v>1 3/4"</v>
      </c>
      <c r="AV446">
        <v>3</v>
      </c>
      <c r="AW446" t="str">
        <v>4 lg</v>
      </c>
      <c r="AX446" t="str">
        <v>Bored for 4R Float Valve</v>
      </c>
      <c r="AY446">
        <v>1</v>
      </c>
      <c r="AZ446" t="str">
        <v>PRT</v>
      </c>
    </row>
    <row r="447">
      <c r="AL447" t="str">
        <v>004263-002</v>
      </c>
      <c r="AM447" t="str">
        <v>Bit Sub</v>
      </c>
      <c r="AN447" t="str">
        <v xml:space="preserve">4½ </v>
      </c>
      <c r="AO447">
        <v>8.875</v>
      </c>
      <c r="AP447" t="str">
        <v>3½ API</v>
      </c>
      <c r="AQ447" t="str">
        <v>7 5/8API</v>
      </c>
      <c r="AS447" t="str">
        <v>40"</v>
      </c>
      <c r="AT447">
        <v>380</v>
      </c>
      <c r="AU447" t="str">
        <v>1 3/4"</v>
      </c>
      <c r="AV447">
        <v>3</v>
      </c>
      <c r="AW447" t="str">
        <v>1½</v>
      </c>
      <c r="AY447">
        <v>1</v>
      </c>
      <c r="AZ447" t="str">
        <v>DRL</v>
      </c>
    </row>
    <row r="448">
      <c r="AL448" t="str">
        <v>015787-001</v>
      </c>
      <c r="AM448" t="str">
        <v>Bit Sub</v>
      </c>
      <c r="AN448" t="str">
        <v>5½</v>
      </c>
      <c r="AO448">
        <v>6</v>
      </c>
      <c r="AP448" t="str">
        <v>4 API</v>
      </c>
      <c r="AQ448" t="str">
        <v>4½ API</v>
      </c>
      <c r="AS448" t="str">
        <v>24"</v>
      </c>
      <c r="AT448">
        <v>155</v>
      </c>
      <c r="AU448" t="str">
        <v>2¼"</v>
      </c>
      <c r="AV448" t="str">
        <v>4¼</v>
      </c>
      <c r="AW448">
        <v>4</v>
      </c>
      <c r="AX448" t="str">
        <v>Float Valve</v>
      </c>
      <c r="AY448">
        <v>1</v>
      </c>
      <c r="AZ448" t="str">
        <v>DRL</v>
      </c>
    </row>
    <row r="449">
      <c r="AL449" t="str">
        <v>015788-001</v>
      </c>
      <c r="AM449" t="str">
        <v>Bit Sub</v>
      </c>
      <c r="AN449" t="str">
        <v>5½</v>
      </c>
      <c r="AO449">
        <v>8</v>
      </c>
      <c r="AP449" t="str">
        <v>4 API</v>
      </c>
      <c r="AQ449" t="str">
        <v>6 5/8 API</v>
      </c>
      <c r="AS449" t="str">
        <v>24"</v>
      </c>
      <c r="AT449">
        <v>175</v>
      </c>
      <c r="AU449" t="str">
        <v>2¼"</v>
      </c>
      <c r="AV449" t="str">
        <v>4¼</v>
      </c>
      <c r="AW449">
        <v>4</v>
      </c>
      <c r="AX449" t="str">
        <v>Float Valve</v>
      </c>
      <c r="AY449">
        <v>1</v>
      </c>
      <c r="AZ449" t="str">
        <v>DRL</v>
      </c>
    </row>
    <row r="450">
      <c r="AL450" t="str">
        <v>003533-004</v>
      </c>
      <c r="AM450" t="str">
        <v>Bit Sub</v>
      </c>
      <c r="AN450" t="str">
        <v>5½</v>
      </c>
      <c r="AO450" t="str">
        <v>5½</v>
      </c>
      <c r="AP450" t="str">
        <v>3½ RH</v>
      </c>
      <c r="AQ450" t="str">
        <v>4½ API</v>
      </c>
      <c r="AS450">
        <v>28</v>
      </c>
      <c r="AT450">
        <v>169</v>
      </c>
      <c r="AU450" t="str">
        <v>1½"</v>
      </c>
      <c r="AV450">
        <v>3</v>
      </c>
      <c r="AW450" t="str">
        <v>4 lg</v>
      </c>
      <c r="AY450">
        <v>1</v>
      </c>
      <c r="AZ450" t="str">
        <v>DRL</v>
      </c>
    </row>
    <row r="451">
      <c r="AL451" t="str">
        <v>003533-005</v>
      </c>
      <c r="AM451" t="str">
        <v>Bit Sub</v>
      </c>
      <c r="AN451" t="str">
        <v>5½</v>
      </c>
      <c r="AO451" t="str">
        <v>5½</v>
      </c>
      <c r="AP451" t="str">
        <v>3½ RH</v>
      </c>
      <c r="AQ451" t="str">
        <v>3½ API</v>
      </c>
      <c r="AS451">
        <v>28</v>
      </c>
      <c r="AT451">
        <v>169</v>
      </c>
      <c r="AU451" t="str">
        <v>1½"</v>
      </c>
      <c r="AV451">
        <v>3</v>
      </c>
      <c r="AW451" t="str">
        <v>4 lg</v>
      </c>
      <c r="AY451">
        <v>1</v>
      </c>
      <c r="AZ451" t="str">
        <v>DRL</v>
      </c>
    </row>
    <row r="452">
      <c r="AL452" t="str">
        <v>003533-007</v>
      </c>
      <c r="AM452" t="str">
        <v>Bit Sub</v>
      </c>
      <c r="AN452" t="str">
        <v>5½</v>
      </c>
      <c r="AO452" t="str">
        <v>5½</v>
      </c>
      <c r="AP452" t="str">
        <v>3½ RH</v>
      </c>
      <c r="AQ452" t="str">
        <v>3½ API</v>
      </c>
      <c r="AS452">
        <v>36</v>
      </c>
      <c r="AT452">
        <v>215</v>
      </c>
      <c r="AU452" t="str">
        <v>1½"</v>
      </c>
      <c r="AV452">
        <v>3</v>
      </c>
      <c r="AW452" t="str">
        <v>4 lg</v>
      </c>
      <c r="AY452">
        <v>1</v>
      </c>
      <c r="AZ452" t="str">
        <v>PRT</v>
      </c>
    </row>
    <row r="453">
      <c r="AL453" t="str">
        <v>003533-006</v>
      </c>
      <c r="AM453" t="str">
        <v>Bit Sub</v>
      </c>
      <c r="AN453" t="str">
        <v>5½</v>
      </c>
      <c r="AO453" t="str">
        <v>5½</v>
      </c>
      <c r="AP453" t="str">
        <v>3½ RH</v>
      </c>
      <c r="AQ453" t="str">
        <v>3½ API</v>
      </c>
      <c r="AS453">
        <v>136</v>
      </c>
      <c r="AT453">
        <v>822</v>
      </c>
      <c r="AU453" t="str">
        <v>1½"</v>
      </c>
      <c r="AV453">
        <v>3</v>
      </c>
      <c r="AW453" t="str">
        <v>4 lg</v>
      </c>
      <c r="AY453">
        <v>1</v>
      </c>
      <c r="AZ453" t="str">
        <v>PRT</v>
      </c>
    </row>
    <row r="454">
      <c r="AL454" t="str">
        <v>003533-003</v>
      </c>
      <c r="AM454" t="str">
        <v>Bit Sub</v>
      </c>
      <c r="AN454" t="str">
        <v>5½</v>
      </c>
      <c r="AO454" t="str">
        <v>5½</v>
      </c>
      <c r="AP454" t="str">
        <v>3½ RH</v>
      </c>
      <c r="AQ454" t="str">
        <v>3½ API</v>
      </c>
      <c r="AS454" t="str">
        <v>18"</v>
      </c>
      <c r="AT454">
        <v>109</v>
      </c>
      <c r="AU454" t="str">
        <v>1½"</v>
      </c>
      <c r="AV454">
        <v>3</v>
      </c>
      <c r="AW454" t="str">
        <v>4 lg</v>
      </c>
      <c r="AY454">
        <v>1</v>
      </c>
      <c r="AZ454" t="str">
        <v>PRT</v>
      </c>
    </row>
    <row r="455">
      <c r="AL455" t="str">
        <v>002577-001</v>
      </c>
      <c r="AM455" t="str">
        <v>Bit Sub</v>
      </c>
      <c r="AN455" t="str">
        <v>5½</v>
      </c>
      <c r="AO455" t="str">
        <v>5½</v>
      </c>
      <c r="AP455" t="str">
        <v>3 RH</v>
      </c>
      <c r="AQ455" t="str">
        <v>3½ API</v>
      </c>
      <c r="AS455" t="str">
        <v>24"</v>
      </c>
      <c r="AT455">
        <v>145</v>
      </c>
      <c r="AU455" t="str">
        <v>1½"</v>
      </c>
      <c r="AV455">
        <v>3</v>
      </c>
      <c r="AW455">
        <v>4</v>
      </c>
      <c r="AX455" t="str">
        <v>Obsolete</v>
      </c>
      <c r="AY455">
        <v>1</v>
      </c>
      <c r="AZ455" t="str">
        <v>DRL</v>
      </c>
    </row>
    <row r="456">
      <c r="AL456" t="str">
        <v>003533-001</v>
      </c>
      <c r="AM456" t="str">
        <v>Bit Sub</v>
      </c>
      <c r="AN456" t="str">
        <v>5½</v>
      </c>
      <c r="AO456" t="str">
        <v>5½</v>
      </c>
      <c r="AP456" t="str">
        <v>3½ RH</v>
      </c>
      <c r="AQ456" t="str">
        <v>3½ API</v>
      </c>
      <c r="AS456" t="str">
        <v>24"</v>
      </c>
      <c r="AT456">
        <v>145</v>
      </c>
      <c r="AU456" t="str">
        <v>1½"</v>
      </c>
      <c r="AV456">
        <v>3</v>
      </c>
      <c r="AW456" t="str">
        <v>4 lg</v>
      </c>
      <c r="AY456">
        <v>1</v>
      </c>
      <c r="AZ456" t="str">
        <v>DRL</v>
      </c>
    </row>
    <row r="457">
      <c r="AL457" t="str">
        <v>003533-002</v>
      </c>
      <c r="AM457" t="str">
        <v>Bit Sub</v>
      </c>
      <c r="AN457" t="str">
        <v>5½</v>
      </c>
      <c r="AO457" t="str">
        <v>5½</v>
      </c>
      <c r="AP457" t="str">
        <v>3½ RH</v>
      </c>
      <c r="AQ457" t="str">
        <v>4½ API</v>
      </c>
      <c r="AS457" t="str">
        <v>24"</v>
      </c>
      <c r="AT457">
        <v>145</v>
      </c>
      <c r="AU457" t="str">
        <v>1½"</v>
      </c>
      <c r="AV457">
        <v>3</v>
      </c>
      <c r="AW457" t="str">
        <v>4 lg</v>
      </c>
      <c r="AY457">
        <v>1</v>
      </c>
      <c r="AZ457" t="str">
        <v>DRL</v>
      </c>
    </row>
    <row r="458">
      <c r="AL458" t="str">
        <v>006483-001</v>
      </c>
      <c r="AM458" t="str">
        <v>Bit Sub</v>
      </c>
      <c r="AN458" t="str">
        <v>5½</v>
      </c>
      <c r="AO458" t="str">
        <v>5½</v>
      </c>
      <c r="AP458" t="str">
        <v>3½ API</v>
      </c>
      <c r="AQ458" t="str">
        <v>3½ API</v>
      </c>
      <c r="AS458" t="str">
        <v>24"</v>
      </c>
      <c r="AT458">
        <v>145</v>
      </c>
      <c r="AU458" t="str">
        <v>1½"</v>
      </c>
      <c r="AV458">
        <v>3</v>
      </c>
      <c r="AW458">
        <v>4</v>
      </c>
      <c r="AY458">
        <v>1</v>
      </c>
      <c r="AZ458" t="str">
        <v>PRT</v>
      </c>
    </row>
    <row r="459">
      <c r="AL459" t="str">
        <v>006483-002</v>
      </c>
      <c r="AM459" t="str">
        <v>Bit Sub</v>
      </c>
      <c r="AN459" t="str">
        <v>5½</v>
      </c>
      <c r="AO459" t="str">
        <v>5½</v>
      </c>
      <c r="AP459" t="str">
        <v>3½ API</v>
      </c>
      <c r="AQ459" t="str">
        <v>4½ API</v>
      </c>
      <c r="AS459" t="str">
        <v>24"</v>
      </c>
      <c r="AT459">
        <v>145</v>
      </c>
      <c r="AU459" t="str">
        <v>1½"</v>
      </c>
      <c r="AV459">
        <v>3</v>
      </c>
      <c r="AW459">
        <v>4</v>
      </c>
      <c r="AY459">
        <v>1</v>
      </c>
      <c r="AZ459" t="str">
        <v>DRL</v>
      </c>
    </row>
    <row r="460">
      <c r="AL460" t="str">
        <v>009821-001</v>
      </c>
      <c r="AM460" t="str">
        <v>Bit Sub</v>
      </c>
      <c r="AN460" t="str">
        <v>5½</v>
      </c>
      <c r="AO460" t="str">
        <v>5½</v>
      </c>
      <c r="AP460" t="str">
        <v>4½ API</v>
      </c>
      <c r="AQ460" t="str">
        <v>3½ API</v>
      </c>
      <c r="AS460" t="str">
        <v>24"</v>
      </c>
      <c r="AT460">
        <v>145</v>
      </c>
      <c r="AU460" t="str">
        <v>1 3/4"</v>
      </c>
      <c r="AV460">
        <v>4</v>
      </c>
      <c r="AW460" t="str">
        <v>4 lg</v>
      </c>
      <c r="AY460">
        <v>1</v>
      </c>
      <c r="AZ460" t="str">
        <v>NCR</v>
      </c>
    </row>
    <row r="461">
      <c r="AL461" t="str">
        <v>009821-002</v>
      </c>
      <c r="AM461" t="str">
        <v>Bit Sub</v>
      </c>
      <c r="AN461" t="str">
        <v>5½</v>
      </c>
      <c r="AO461" t="str">
        <v>5½</v>
      </c>
      <c r="AP461" t="str">
        <v>4½ API</v>
      </c>
      <c r="AQ461" t="str">
        <v>4½ API</v>
      </c>
      <c r="AS461" t="str">
        <v>24"</v>
      </c>
      <c r="AT461">
        <v>145</v>
      </c>
      <c r="AU461" t="str">
        <v>1 3/4"</v>
      </c>
      <c r="AV461">
        <v>4</v>
      </c>
      <c r="AW461" t="str">
        <v>4 lg</v>
      </c>
      <c r="AY461">
        <v>1</v>
      </c>
      <c r="AZ461" t="str">
        <v>PRT</v>
      </c>
    </row>
    <row r="462">
      <c r="AL462" t="str">
        <v>012308-001</v>
      </c>
      <c r="AM462" t="str">
        <v>Bit Sub</v>
      </c>
      <c r="AN462" t="str">
        <v>5½</v>
      </c>
      <c r="AO462" t="str">
        <v>5½</v>
      </c>
      <c r="AP462" t="str">
        <v>3½ API</v>
      </c>
      <c r="AQ462" t="str">
        <v>3½ API</v>
      </c>
      <c r="AS462" t="str">
        <v>24"</v>
      </c>
      <c r="AT462">
        <v>145</v>
      </c>
      <c r="AU462" t="str">
        <v>1½"</v>
      </c>
      <c r="AV462">
        <v>3</v>
      </c>
      <c r="AW462">
        <v>4</v>
      </c>
      <c r="AX462" t="str">
        <v>Spec. C75D</v>
      </c>
      <c r="AY462">
        <v>1</v>
      </c>
      <c r="AZ462" t="str">
        <v>DRL</v>
      </c>
    </row>
    <row r="463">
      <c r="AL463" t="str">
        <v>013370-001</v>
      </c>
      <c r="AM463" t="str">
        <v>Bit Sub</v>
      </c>
      <c r="AN463" t="str">
        <v>5½</v>
      </c>
      <c r="AO463" t="str">
        <v>5½</v>
      </c>
      <c r="AP463" t="str">
        <v>4 FH</v>
      </c>
      <c r="AQ463" t="str">
        <v>3½ API</v>
      </c>
      <c r="AS463" t="str">
        <v>24"</v>
      </c>
      <c r="AT463">
        <v>142</v>
      </c>
      <c r="AU463" t="str">
        <v>1 3/4"</v>
      </c>
      <c r="AV463">
        <v>3</v>
      </c>
      <c r="AW463">
        <v>4</v>
      </c>
      <c r="AY463">
        <v>1</v>
      </c>
      <c r="AZ463" t="str">
        <v>DRL</v>
      </c>
    </row>
    <row r="464">
      <c r="AL464" t="str">
        <v>015786-001</v>
      </c>
      <c r="AM464" t="str">
        <v>Bit Sub</v>
      </c>
      <c r="AN464" t="str">
        <v>5½</v>
      </c>
      <c r="AO464" t="str">
        <v>5½</v>
      </c>
      <c r="AP464" t="str">
        <v>4 API</v>
      </c>
      <c r="AQ464" t="str">
        <v>3½ API</v>
      </c>
      <c r="AS464" t="str">
        <v>24"</v>
      </c>
      <c r="AT464">
        <v>145</v>
      </c>
      <c r="AU464" t="str">
        <v>1 3/4"</v>
      </c>
      <c r="AV464" t="str">
        <v>4¼</v>
      </c>
      <c r="AW464">
        <v>4</v>
      </c>
      <c r="AX464" t="str">
        <v>Float Valve</v>
      </c>
      <c r="AY464">
        <v>1</v>
      </c>
      <c r="AZ464" t="str">
        <v>DRL</v>
      </c>
    </row>
    <row r="465">
      <c r="AL465" t="str">
        <v>019824-001</v>
      </c>
      <c r="AM465" t="str">
        <v>Bit Sub</v>
      </c>
      <c r="AN465" t="str">
        <v>5½</v>
      </c>
      <c r="AP465" t="str">
        <v>3½ API</v>
      </c>
      <c r="AQ465" t="str">
        <v>3½ API</v>
      </c>
      <c r="AS465" t="str">
        <v>24"</v>
      </c>
      <c r="AT465">
        <v>145</v>
      </c>
      <c r="AU465" t="str">
        <v>1½"</v>
      </c>
      <c r="AV465">
        <v>3</v>
      </c>
      <c r="AW465" t="str">
        <v>4 lg</v>
      </c>
      <c r="AY465">
        <v>1</v>
      </c>
      <c r="AZ465" t="str">
        <v>PRT</v>
      </c>
    </row>
    <row r="466">
      <c r="AL466" t="str">
        <v>023069-001</v>
      </c>
      <c r="AM466" t="str">
        <v>Bit Sub</v>
      </c>
      <c r="AN466" t="str">
        <v>5½</v>
      </c>
      <c r="AP466" t="str">
        <v>4½ API</v>
      </c>
      <c r="AQ466" t="str">
        <v>3½ API</v>
      </c>
      <c r="AS466" t="str">
        <v>36"</v>
      </c>
      <c r="AU466" t="str">
        <v>1½"</v>
      </c>
      <c r="AV466">
        <v>4</v>
      </c>
      <c r="AW466" t="str">
        <v>4 lg</v>
      </c>
      <c r="AX466" t="str">
        <v>D560</v>
      </c>
      <c r="AY466">
        <v>1</v>
      </c>
      <c r="AZ466" t="str">
        <v>PRT</v>
      </c>
    </row>
    <row r="467">
      <c r="AL467" t="str">
        <v>001431-003</v>
      </c>
      <c r="AM467" t="str">
        <v>Bit Sub</v>
      </c>
      <c r="AN467" t="str">
        <v>6¼</v>
      </c>
      <c r="AO467" t="str">
        <v>6¼</v>
      </c>
      <c r="AP467" t="str">
        <v>4½ RH</v>
      </c>
      <c r="AQ467" t="str">
        <v>4½ API</v>
      </c>
      <c r="AS467" t="str">
        <v>24"</v>
      </c>
      <c r="AT467">
        <v>161</v>
      </c>
      <c r="AU467" t="str">
        <v>2½"</v>
      </c>
      <c r="AV467">
        <v>4</v>
      </c>
      <c r="AW467" t="str">
        <v>4 lg</v>
      </c>
      <c r="AY467">
        <v>1</v>
      </c>
      <c r="AZ467" t="str">
        <v>PRT</v>
      </c>
    </row>
    <row r="468">
      <c r="AL468" t="str">
        <v>023525-001</v>
      </c>
      <c r="AM468" t="str">
        <v>Bit Sub</v>
      </c>
      <c r="AN468" t="str">
        <v>6¼</v>
      </c>
      <c r="AP468" t="str">
        <v>4½ RH</v>
      </c>
      <c r="AQ468" t="str">
        <v>4½ API</v>
      </c>
      <c r="AR468">
        <v>1.375</v>
      </c>
      <c r="AS468">
        <v>30</v>
      </c>
      <c r="AU468" t="str">
        <v>2½</v>
      </c>
      <c r="AV468">
        <v>5</v>
      </c>
    </row>
    <row r="469">
      <c r="AL469" t="str">
        <v>005652-001</v>
      </c>
      <c r="AM469" t="str">
        <v>Bit Sub</v>
      </c>
      <c r="AN469" t="str">
        <v>6½</v>
      </c>
      <c r="AO469">
        <v>7.75</v>
      </c>
      <c r="AP469" t="str">
        <v>4½ RH</v>
      </c>
      <c r="AQ469" t="str">
        <v>6 5/8 API</v>
      </c>
      <c r="AS469" t="str">
        <v>21"</v>
      </c>
      <c r="AT469">
        <v>195</v>
      </c>
      <c r="AU469" t="str">
        <v>2¼"</v>
      </c>
      <c r="AV469">
        <v>4</v>
      </c>
      <c r="AW469" t="str">
        <v>2 lg</v>
      </c>
      <c r="AY469">
        <v>1</v>
      </c>
      <c r="AZ469" t="str">
        <v>PRT</v>
      </c>
    </row>
    <row r="470">
      <c r="AL470" t="str">
        <v>003585-001</v>
      </c>
      <c r="AM470" t="str">
        <v>Bit Sub</v>
      </c>
      <c r="AN470" t="str">
        <v>6½</v>
      </c>
      <c r="AO470">
        <v>7.75</v>
      </c>
      <c r="AP470" t="str">
        <v>4½ RH</v>
      </c>
      <c r="AQ470" t="str">
        <v>6 5/8 API</v>
      </c>
      <c r="AS470" t="str">
        <v>24"</v>
      </c>
      <c r="AT470">
        <v>175</v>
      </c>
      <c r="AU470" t="str">
        <v>2½"</v>
      </c>
      <c r="AV470">
        <v>4</v>
      </c>
      <c r="AW470" t="str">
        <v>4 lg</v>
      </c>
      <c r="AY470">
        <v>1</v>
      </c>
      <c r="AZ470" t="str">
        <v>DRL</v>
      </c>
    </row>
    <row r="471">
      <c r="AL471" t="str">
        <v>005498-002</v>
      </c>
      <c r="AM471" t="str">
        <v>Bit Sub</v>
      </c>
      <c r="AN471" t="str">
        <v>6½</v>
      </c>
      <c r="AO471">
        <v>10</v>
      </c>
      <c r="AP471" t="str">
        <v>4½ RH</v>
      </c>
      <c r="AQ471" t="str">
        <v>6 5/8 API</v>
      </c>
      <c r="AS471" t="str">
        <v>21"</v>
      </c>
      <c r="AT471">
        <v>255</v>
      </c>
      <c r="AU471" t="str">
        <v>2¼"</v>
      </c>
      <c r="AV471">
        <v>4</v>
      </c>
      <c r="AW471">
        <v>2</v>
      </c>
      <c r="AY471">
        <v>2</v>
      </c>
      <c r="AZ471" t="str">
        <v>FAB</v>
      </c>
    </row>
    <row r="472">
      <c r="AL472" t="str">
        <v>017843-007</v>
      </c>
      <c r="AM472" t="str">
        <v>Bit Sub</v>
      </c>
      <c r="AN472" t="str">
        <v>6½</v>
      </c>
      <c r="AO472" t="str">
        <v>6½</v>
      </c>
      <c r="AP472" t="str">
        <v>4½ RH</v>
      </c>
      <c r="AQ472" t="str">
        <v>4½ RH</v>
      </c>
      <c r="AS472" t="str">
        <v>110"</v>
      </c>
      <c r="AU472" t="str">
        <v>2½ "</v>
      </c>
      <c r="AV472">
        <v>5</v>
      </c>
      <c r="AW472" t="str">
        <v>4 lg</v>
      </c>
      <c r="AX472" t="str">
        <v>C55SP</v>
      </c>
      <c r="AY472">
        <v>1</v>
      </c>
      <c r="AZ472" t="str">
        <v>PRT</v>
      </c>
    </row>
    <row r="473">
      <c r="AL473" t="str">
        <v>001431-001</v>
      </c>
      <c r="AM473" t="str">
        <v>Bit Sub</v>
      </c>
      <c r="AN473" t="str">
        <v>6½</v>
      </c>
      <c r="AO473" t="str">
        <v>6½</v>
      </c>
      <c r="AP473" t="str">
        <v>4½ RH</v>
      </c>
      <c r="AQ473" t="str">
        <v>4½ API</v>
      </c>
      <c r="AS473" t="str">
        <v>24"</v>
      </c>
      <c r="AT473">
        <v>161</v>
      </c>
      <c r="AU473" t="str">
        <v>2½"</v>
      </c>
      <c r="AV473">
        <v>4</v>
      </c>
      <c r="AW473" t="str">
        <v>4 lg</v>
      </c>
      <c r="AY473">
        <v>1</v>
      </c>
      <c r="AZ473" t="str">
        <v>PRT</v>
      </c>
    </row>
    <row r="474">
      <c r="AL474" t="str">
        <v>001431-002</v>
      </c>
      <c r="AM474" t="str">
        <v>Bit Sub</v>
      </c>
      <c r="AN474" t="str">
        <v>6½</v>
      </c>
      <c r="AO474" t="str">
        <v>6½</v>
      </c>
      <c r="AP474" t="str">
        <v>3½ RH</v>
      </c>
      <c r="AQ474" t="str">
        <v>4½ API</v>
      </c>
      <c r="AS474" t="str">
        <v>24"</v>
      </c>
      <c r="AT474">
        <v>161</v>
      </c>
      <c r="AU474" t="str">
        <v>1½"</v>
      </c>
      <c r="AV474">
        <v>4</v>
      </c>
      <c r="AW474" t="str">
        <v>4 lg</v>
      </c>
      <c r="AY474">
        <v>1</v>
      </c>
      <c r="AZ474" t="str">
        <v>DRL</v>
      </c>
    </row>
    <row r="475">
      <c r="AL475" t="str">
        <v>021771-001</v>
      </c>
      <c r="AM475" t="str">
        <v>Bit Sub</v>
      </c>
      <c r="AN475" t="str">
        <v>7½</v>
      </c>
      <c r="AO475" t="str">
        <v>7½.</v>
      </c>
      <c r="AP475" t="str">
        <v>4½ RH</v>
      </c>
      <c r="AQ475" t="str">
        <v>6 5/8 API</v>
      </c>
      <c r="AS475" t="str">
        <v>11"</v>
      </c>
      <c r="AT475">
        <v>122</v>
      </c>
      <c r="AU475" t="str">
        <v>2½"</v>
      </c>
      <c r="AV475">
        <v>6</v>
      </c>
      <c r="AW475" t="str">
        <v>4 lg</v>
      </c>
      <c r="AY475">
        <v>1</v>
      </c>
      <c r="AZ475" t="str">
        <v>PRT</v>
      </c>
    </row>
    <row r="476">
      <c r="AL476" t="str">
        <v>005846-001</v>
      </c>
      <c r="AM476" t="str">
        <v>Bit Sub</v>
      </c>
      <c r="AN476" t="str">
        <v>9¼</v>
      </c>
      <c r="AO476" t="str">
        <v>9¼</v>
      </c>
      <c r="AP476" t="str">
        <v>6 RH</v>
      </c>
      <c r="AQ476" t="str">
        <v>6 5/8 API</v>
      </c>
      <c r="AS476" t="str">
        <v>36"</v>
      </c>
      <c r="AT476">
        <v>590</v>
      </c>
      <c r="AU476" t="str">
        <v>3"</v>
      </c>
      <c r="AV476">
        <v>7</v>
      </c>
      <c r="AW476" t="str">
        <v>6 lg</v>
      </c>
      <c r="AX476" t="str">
        <v>D80</v>
      </c>
      <c r="AY476">
        <v>1</v>
      </c>
      <c r="AZ476" t="str">
        <v>PRT</v>
      </c>
    </row>
    <row r="477">
      <c r="AL477" t="str">
        <v>005846-003</v>
      </c>
      <c r="AM477" t="str">
        <v>Bit Sub</v>
      </c>
      <c r="AN477" t="str">
        <v>9¼</v>
      </c>
      <c r="AO477" t="str">
        <v>9¼</v>
      </c>
      <c r="AP477" t="str">
        <v>6 RH</v>
      </c>
      <c r="AQ477" t="str">
        <v>6 5/8 API</v>
      </c>
      <c r="AS477" t="str">
        <v>42"</v>
      </c>
      <c r="AV477">
        <v>7</v>
      </c>
      <c r="AW477" t="str">
        <v>4 lg</v>
      </c>
      <c r="AX477" t="str">
        <v>D90</v>
      </c>
      <c r="AY477">
        <v>1</v>
      </c>
      <c r="AZ477" t="str">
        <v>PRT</v>
      </c>
    </row>
    <row r="478">
      <c r="AL478" t="str">
        <v>017578-001</v>
      </c>
      <c r="AM478" t="str">
        <v>Bit Sub</v>
      </c>
      <c r="AS478" t="str">
        <v>42"</v>
      </c>
      <c r="AT478">
        <v>539</v>
      </c>
      <c r="AU478" t="str">
        <v>3"</v>
      </c>
      <c r="AV478">
        <v>6</v>
      </c>
      <c r="AW478" t="str">
        <v>6 lg</v>
      </c>
      <c r="AX478" t="str">
        <v>C90KD</v>
      </c>
      <c r="AY478">
        <v>1</v>
      </c>
      <c r="AZ478" t="str">
        <v>DRL</v>
      </c>
    </row>
    <row r="479">
      <c r="AL479" t="str">
        <v>013580-001</v>
      </c>
      <c r="AM479" t="str">
        <v>Sub Crossover</v>
      </c>
      <c r="AN479">
        <v>3.125</v>
      </c>
      <c r="AO479">
        <v>3.125</v>
      </c>
      <c r="AP479" t="str">
        <v>BQ</v>
      </c>
      <c r="AQ479" t="str">
        <v>2 3/8 FEDP</v>
      </c>
      <c r="AS479">
        <v>30</v>
      </c>
      <c r="AT479">
        <v>66</v>
      </c>
      <c r="AU479" t="str">
        <v>1½"</v>
      </c>
      <c r="AX479" t="str">
        <v>Coring Head</v>
      </c>
      <c r="AY479">
        <v>1</v>
      </c>
      <c r="AZ479" t="str">
        <v>DRL</v>
      </c>
    </row>
    <row r="480">
      <c r="AL480" t="str">
        <v>003749-001</v>
      </c>
      <c r="AM480" t="str">
        <v>Sub Crossover</v>
      </c>
      <c r="AN480">
        <v>4.625</v>
      </c>
      <c r="AO480">
        <v>4.625</v>
      </c>
      <c r="AP480" t="str">
        <v>4 1/8D131</v>
      </c>
      <c r="AQ480" t="str">
        <v>4 1/8D131</v>
      </c>
      <c r="AS480">
        <v>4</v>
      </c>
      <c r="AT480">
        <v>30</v>
      </c>
      <c r="AU480" t="str">
        <v>2¼"</v>
      </c>
      <c r="AV480">
        <v>4</v>
      </c>
      <c r="AW480">
        <v>2</v>
      </c>
      <c r="AX480" t="str">
        <v>Duotube</v>
      </c>
      <c r="AY480">
        <v>1</v>
      </c>
      <c r="AZ480" t="str">
        <v>PRT</v>
      </c>
    </row>
    <row r="481">
      <c r="AL481" t="str">
        <v>003729-002</v>
      </c>
      <c r="AM481" t="str">
        <v>Sub Crossover</v>
      </c>
      <c r="AN481">
        <v>4.75</v>
      </c>
      <c r="AO481">
        <v>4.75</v>
      </c>
      <c r="AP481" t="str">
        <v>4 1/8D131</v>
      </c>
      <c r="AQ481" t="str">
        <v>4 1/8D131</v>
      </c>
      <c r="AS481" t="str">
        <v>45½</v>
      </c>
      <c r="AT481">
        <v>125</v>
      </c>
      <c r="AU481" t="str">
        <v>1 3/4"</v>
      </c>
      <c r="AV481">
        <v>4</v>
      </c>
      <c r="AW481">
        <v>2</v>
      </c>
      <c r="AX481" t="str">
        <v>Duotube</v>
      </c>
      <c r="AY481">
        <v>1</v>
      </c>
      <c r="AZ481" t="str">
        <v>DRL</v>
      </c>
    </row>
    <row r="482">
      <c r="AL482" t="str">
        <v>003729-001</v>
      </c>
      <c r="AM482" t="str">
        <v>Sub Crossover</v>
      </c>
      <c r="AN482">
        <v>4.75</v>
      </c>
      <c r="AO482">
        <v>4.75</v>
      </c>
      <c r="AP482" t="str">
        <v>4 1/8D131</v>
      </c>
      <c r="AQ482" t="str">
        <v>4 1/8D131</v>
      </c>
      <c r="AS482" t="str">
        <v>9½</v>
      </c>
      <c r="AT482">
        <v>25</v>
      </c>
      <c r="AU482" t="str">
        <v>1 3/4"</v>
      </c>
      <c r="AV482">
        <v>4</v>
      </c>
      <c r="AW482">
        <v>2</v>
      </c>
      <c r="AX482" t="str">
        <v>Duotube</v>
      </c>
      <c r="AY482">
        <v>1</v>
      </c>
      <c r="AZ482" t="str">
        <v>PRT</v>
      </c>
    </row>
    <row r="483">
      <c r="AL483" t="str">
        <v>017312-001</v>
      </c>
      <c r="AM483" t="str">
        <v>Sub Crossover</v>
      </c>
      <c r="AN483">
        <v>5</v>
      </c>
      <c r="AO483">
        <v>5</v>
      </c>
      <c r="AP483" t="str">
        <v>3½ RH</v>
      </c>
      <c r="AQ483" t="str">
        <v>2 3/8 IF</v>
      </c>
      <c r="AS483">
        <v>6</v>
      </c>
      <c r="AT483">
        <v>24</v>
      </c>
      <c r="AU483" t="str">
        <v>1½"</v>
      </c>
      <c r="AX483" t="str">
        <v>C25K5</v>
      </c>
    </row>
    <row r="484">
      <c r="AL484" t="str">
        <v>003445-001</v>
      </c>
      <c r="AM484" t="str">
        <v>Sub Crossover</v>
      </c>
      <c r="AN484">
        <v>5</v>
      </c>
      <c r="AO484">
        <v>5</v>
      </c>
      <c r="AP484" t="str">
        <v>4 1/8D131</v>
      </c>
      <c r="AQ484" t="str">
        <v>3½ RH</v>
      </c>
      <c r="AS484" t="str">
        <v>9½</v>
      </c>
      <c r="AT484">
        <v>25</v>
      </c>
      <c r="AU484" t="str">
        <v>1 3/4"</v>
      </c>
      <c r="AV484">
        <v>4</v>
      </c>
      <c r="AW484">
        <v>2</v>
      </c>
      <c r="AX484" t="str">
        <v>Duotube</v>
      </c>
      <c r="AY484">
        <v>1</v>
      </c>
      <c r="AZ484" t="str">
        <v>DRL</v>
      </c>
    </row>
    <row r="485">
      <c r="AL485" t="str">
        <v>017352-001</v>
      </c>
      <c r="AM485" t="str">
        <v>Sub Crossover</v>
      </c>
      <c r="AN485">
        <v>5</v>
      </c>
      <c r="AO485" t="str">
        <v>5½</v>
      </c>
      <c r="AP485" t="str">
        <v>3½ IF</v>
      </c>
      <c r="AQ485" t="str">
        <v>4½ REG</v>
      </c>
      <c r="AS485">
        <v>24</v>
      </c>
      <c r="AT485">
        <v>125</v>
      </c>
      <c r="AV485">
        <v>3</v>
      </c>
      <c r="AW485">
        <v>4</v>
      </c>
    </row>
    <row r="486">
      <c r="AL486" t="str">
        <v>002654-001</v>
      </c>
      <c r="AM486" t="str">
        <v>Sub Crossover</v>
      </c>
      <c r="AN486">
        <v>6</v>
      </c>
      <c r="AO486">
        <v>6</v>
      </c>
      <c r="AP486" t="str">
        <v>4½ RH</v>
      </c>
      <c r="AQ486" t="str">
        <v>3 RH</v>
      </c>
      <c r="AS486">
        <v>6</v>
      </c>
      <c r="AT486">
        <v>50</v>
      </c>
      <c r="AU486" t="str">
        <v>1½"</v>
      </c>
      <c r="AV486">
        <v>5</v>
      </c>
      <c r="AW486" t="str">
        <v>1½</v>
      </c>
      <c r="AX486" t="str">
        <v>Use 3109 Wrench</v>
      </c>
      <c r="AY486">
        <v>1</v>
      </c>
      <c r="AZ486" t="str">
        <v>DRL</v>
      </c>
    </row>
    <row r="487">
      <c r="AL487" t="str">
        <v>003504-001</v>
      </c>
      <c r="AM487" t="str">
        <v>Sub Crossover</v>
      </c>
      <c r="AN487">
        <v>6</v>
      </c>
      <c r="AO487">
        <v>6</v>
      </c>
      <c r="AP487" t="str">
        <v>4½ RH</v>
      </c>
      <c r="AQ487" t="str">
        <v>3½ BECO</v>
      </c>
      <c r="AS487">
        <v>6</v>
      </c>
      <c r="AT487">
        <v>50</v>
      </c>
      <c r="AU487" t="str">
        <v>1½"</v>
      </c>
      <c r="AV487">
        <v>5</v>
      </c>
      <c r="AW487" t="str">
        <v>1½</v>
      </c>
      <c r="AX487" t="str">
        <v>Use 3109 Wrench</v>
      </c>
      <c r="AY487">
        <v>1</v>
      </c>
      <c r="AZ487" t="str">
        <v>DRL</v>
      </c>
    </row>
    <row r="488">
      <c r="AL488" t="str">
        <v>010315-001</v>
      </c>
      <c r="AM488" t="str">
        <v>Sub Crossover</v>
      </c>
      <c r="AN488">
        <v>6</v>
      </c>
      <c r="AO488">
        <v>6</v>
      </c>
      <c r="AP488" t="str">
        <v>3½ API</v>
      </c>
      <c r="AQ488" t="str">
        <v>4½ API</v>
      </c>
      <c r="AS488">
        <v>6</v>
      </c>
      <c r="AT488">
        <v>50</v>
      </c>
      <c r="AU488" t="str">
        <v>1 5/8"</v>
      </c>
      <c r="AY488">
        <v>1</v>
      </c>
      <c r="AZ488" t="str">
        <v>PRT</v>
      </c>
    </row>
    <row r="489">
      <c r="AL489" t="str">
        <v>017073-002</v>
      </c>
      <c r="AM489" t="str">
        <v>Sub Crossover</v>
      </c>
      <c r="AN489">
        <v>10.75</v>
      </c>
      <c r="AO489">
        <v>10.75</v>
      </c>
      <c r="AP489" t="str">
        <v>8 RH</v>
      </c>
      <c r="AQ489" t="str">
        <v>8 RH Pin</v>
      </c>
      <c r="AS489">
        <v>12</v>
      </c>
      <c r="AT489">
        <v>395</v>
      </c>
      <c r="AU489" t="str">
        <v>5"</v>
      </c>
      <c r="AV489">
        <v>8</v>
      </c>
      <c r="AW489" t="str">
        <v>6 lg</v>
      </c>
      <c r="AX489" t="str">
        <v>C90Sp Pipe Sub</v>
      </c>
      <c r="AY489">
        <v>1</v>
      </c>
      <c r="AZ489" t="str">
        <v>PRT</v>
      </c>
    </row>
    <row r="490">
      <c r="AL490" t="str">
        <v>017073-001</v>
      </c>
      <c r="AM490" t="str">
        <v>Sub Crossover</v>
      </c>
      <c r="AN490" t="str">
        <v>10¼</v>
      </c>
      <c r="AO490" t="str">
        <v>10¼</v>
      </c>
      <c r="AP490" t="str">
        <v>8 RH</v>
      </c>
      <c r="AQ490" t="str">
        <v>8 RH Pin</v>
      </c>
      <c r="AS490">
        <v>12</v>
      </c>
      <c r="AT490">
        <v>375</v>
      </c>
      <c r="AU490" t="str">
        <v>5"</v>
      </c>
      <c r="AV490">
        <v>8</v>
      </c>
      <c r="AW490" t="str">
        <v>6 lg</v>
      </c>
      <c r="AX490" t="str">
        <v>C90Sp Pipe Sub</v>
      </c>
      <c r="AY490">
        <v>1</v>
      </c>
      <c r="AZ490" t="str">
        <v>PRT</v>
      </c>
    </row>
    <row r="491">
      <c r="AL491" t="str">
        <v>005705-001</v>
      </c>
      <c r="AM491" t="str">
        <v>Sub Crossover</v>
      </c>
      <c r="AN491" t="str">
        <v>4½</v>
      </c>
      <c r="AO491">
        <v>7.75</v>
      </c>
      <c r="AP491" t="str">
        <v>3½ API</v>
      </c>
      <c r="AQ491" t="str">
        <v>6 5/8 API Pin</v>
      </c>
      <c r="AS491">
        <v>9</v>
      </c>
      <c r="AT491">
        <v>95</v>
      </c>
      <c r="AU491" t="str">
        <v>1 3/4"</v>
      </c>
      <c r="AV491">
        <v>3</v>
      </c>
      <c r="AW491">
        <v>2</v>
      </c>
      <c r="AX491" t="str">
        <v>Micropile/Pin/Pin</v>
      </c>
      <c r="AY491">
        <v>1</v>
      </c>
      <c r="AZ491" t="str">
        <v>NCR</v>
      </c>
    </row>
    <row r="492">
      <c r="AL492" t="str">
        <v>005232-001</v>
      </c>
      <c r="AM492" t="str">
        <v>Sub Crossover</v>
      </c>
      <c r="AN492" t="str">
        <v>4½</v>
      </c>
      <c r="AO492" t="str">
        <v>4½</v>
      </c>
      <c r="AP492" t="str">
        <v>3½ API</v>
      </c>
      <c r="AQ492" t="str">
        <v>3½ API</v>
      </c>
      <c r="AS492">
        <v>6</v>
      </c>
      <c r="AT492">
        <v>23</v>
      </c>
      <c r="AU492" t="str">
        <v>1 3/4"</v>
      </c>
      <c r="AY492">
        <v>1</v>
      </c>
      <c r="AZ492" t="str">
        <v>DRL</v>
      </c>
    </row>
    <row r="493">
      <c r="AL493" t="str">
        <v>005232-002</v>
      </c>
      <c r="AM493" t="str">
        <v>Sub Crossover</v>
      </c>
      <c r="AN493" t="str">
        <v>4½</v>
      </c>
      <c r="AO493" t="str">
        <v>4½</v>
      </c>
      <c r="AP493" t="str">
        <v>3½ API</v>
      </c>
      <c r="AQ493" t="str">
        <v>2 7/8 IF</v>
      </c>
      <c r="AS493">
        <v>6</v>
      </c>
      <c r="AT493">
        <v>23</v>
      </c>
      <c r="AU493" t="str">
        <v>1 3/4"</v>
      </c>
      <c r="AY493">
        <v>1</v>
      </c>
      <c r="AZ493" t="str">
        <v>DRL</v>
      </c>
    </row>
    <row r="494">
      <c r="AL494" t="str">
        <v>008724-001</v>
      </c>
      <c r="AM494" t="str">
        <v>Sub Crossover</v>
      </c>
      <c r="AN494" t="str">
        <v>4½</v>
      </c>
      <c r="AO494" t="str">
        <v>4½</v>
      </c>
      <c r="AP494" t="str">
        <v>3½ API</v>
      </c>
      <c r="AQ494" t="str">
        <v>2 3/8 IF</v>
      </c>
      <c r="AS494" t="str">
        <v>9¼</v>
      </c>
      <c r="AT494">
        <v>45</v>
      </c>
      <c r="AU494" t="str">
        <v>1 3/4"</v>
      </c>
      <c r="AV494">
        <v>3</v>
      </c>
      <c r="AW494">
        <v>4</v>
      </c>
      <c r="AY494">
        <v>1</v>
      </c>
      <c r="AZ494" t="str">
        <v>DRL</v>
      </c>
    </row>
    <row r="495">
      <c r="AL495" t="str">
        <v>004324-001</v>
      </c>
      <c r="AM495" t="str">
        <v>Sub Crossover</v>
      </c>
      <c r="AN495" t="str">
        <v>5½</v>
      </c>
      <c r="AO495" t="str">
        <v>5½</v>
      </c>
      <c r="AP495" t="str">
        <v>4½ RH</v>
      </c>
      <c r="AQ495" t="str">
        <v>3½ API</v>
      </c>
      <c r="AS495">
        <v>6</v>
      </c>
      <c r="AT495">
        <v>45</v>
      </c>
      <c r="AU495" t="str">
        <v>1 3/4"</v>
      </c>
      <c r="AY495">
        <v>1</v>
      </c>
      <c r="AZ495" t="str">
        <v>DRL</v>
      </c>
    </row>
    <row r="496">
      <c r="AL496" t="str">
        <v>004324-002</v>
      </c>
      <c r="AM496" t="str">
        <v>Sub Crossover</v>
      </c>
      <c r="AN496" t="str">
        <v>5½</v>
      </c>
      <c r="AO496" t="str">
        <v>5½</v>
      </c>
      <c r="AP496" t="str">
        <v>4½ API</v>
      </c>
      <c r="AQ496" t="str">
        <v>3½ IF PIN</v>
      </c>
      <c r="AS496">
        <v>6</v>
      </c>
      <c r="AT496">
        <v>45</v>
      </c>
      <c r="AU496" t="str">
        <v>2¼"</v>
      </c>
      <c r="AY496">
        <v>1</v>
      </c>
      <c r="AZ496" t="str">
        <v>DRL</v>
      </c>
    </row>
    <row r="497">
      <c r="AL497" t="str">
        <v>004324-003</v>
      </c>
      <c r="AM497" t="str">
        <v>Sub Crossover</v>
      </c>
      <c r="AN497" t="str">
        <v>5½</v>
      </c>
      <c r="AO497" t="str">
        <v>5½</v>
      </c>
      <c r="AP497" t="str">
        <v>4½ API</v>
      </c>
      <c r="AQ497" t="str">
        <v>2 7/8 IF</v>
      </c>
      <c r="AS497">
        <v>6</v>
      </c>
      <c r="AT497">
        <v>45</v>
      </c>
      <c r="AU497" t="str">
        <v>2"</v>
      </c>
      <c r="AY497">
        <v>1</v>
      </c>
      <c r="AZ497" t="str">
        <v>DRL</v>
      </c>
    </row>
    <row r="498">
      <c r="AL498" t="str">
        <v>010732-001</v>
      </c>
      <c r="AM498" t="str">
        <v>Sub Crossover</v>
      </c>
      <c r="AN498" t="str">
        <v>6¼</v>
      </c>
      <c r="AO498" t="str">
        <v>6¼</v>
      </c>
      <c r="AP498" t="str">
        <v>3½ RH</v>
      </c>
      <c r="AQ498" t="str">
        <v>4½ RH</v>
      </c>
      <c r="AS498">
        <v>9</v>
      </c>
      <c r="AT498">
        <v>20</v>
      </c>
      <c r="AU498" t="str">
        <v>1 3/4"</v>
      </c>
      <c r="AY498">
        <v>1</v>
      </c>
      <c r="AZ498" t="str">
        <v>PRT</v>
      </c>
    </row>
    <row r="499">
      <c r="AL499" t="str">
        <v>019149-001</v>
      </c>
      <c r="AM499" t="str">
        <v>Sub Crossover</v>
      </c>
      <c r="AN499" t="str">
        <v>6¼</v>
      </c>
      <c r="AP499" t="str">
        <v>4½ RH</v>
      </c>
      <c r="AQ499" t="str">
        <v>3½ API</v>
      </c>
      <c r="AS499" t="str">
        <v>6"</v>
      </c>
      <c r="AT499">
        <v>50</v>
      </c>
      <c r="AU499" t="str">
        <v>1 3/4"</v>
      </c>
      <c r="AX499" t="str">
        <v>C75 Special</v>
      </c>
      <c r="AY499">
        <v>1</v>
      </c>
      <c r="AZ499" t="str">
        <v>PRT</v>
      </c>
    </row>
    <row r="500">
      <c r="AL500" t="str">
        <v>005704-001</v>
      </c>
      <c r="AM500" t="str">
        <v>Sub Crossover</v>
      </c>
      <c r="AN500" t="str">
        <v>6½</v>
      </c>
      <c r="AO500">
        <v>7.75</v>
      </c>
      <c r="AP500" t="str">
        <v>4½ RH</v>
      </c>
      <c r="AQ500" t="str">
        <v>6 5/8 API Pin</v>
      </c>
      <c r="AS500">
        <v>9</v>
      </c>
      <c r="AT500">
        <v>120</v>
      </c>
      <c r="AU500" t="str">
        <v>2½"</v>
      </c>
      <c r="AV500">
        <v>4</v>
      </c>
      <c r="AW500">
        <v>2</v>
      </c>
      <c r="AX500" t="str">
        <v>Micropile/Pin/Pin</v>
      </c>
      <c r="AY500">
        <v>1</v>
      </c>
      <c r="AZ500" t="str">
        <v>PRT</v>
      </c>
    </row>
    <row r="501">
      <c r="AL501" t="str">
        <v>022165-001</v>
      </c>
      <c r="AM501" t="str">
        <v>Top Sub</v>
      </c>
      <c r="AN501">
        <v>4</v>
      </c>
      <c r="AO501">
        <v>3</v>
      </c>
      <c r="AP501" t="str">
        <v>2 7/8 IF</v>
      </c>
      <c r="AQ501" t="str">
        <v>2 3/8 MJR</v>
      </c>
      <c r="AS501" t="str">
        <v>27'6"</v>
      </c>
      <c r="AT501">
        <v>40</v>
      </c>
      <c r="AU501" t="str">
        <v>1"</v>
      </c>
      <c r="AV501" t="str">
        <v>2¼</v>
      </c>
      <c r="AW501" t="str">
        <v>4 lg</v>
      </c>
      <c r="AX501" t="str">
        <v>Gator</v>
      </c>
      <c r="AY501">
        <v>1</v>
      </c>
      <c r="AZ501" t="str">
        <v>PRT</v>
      </c>
    </row>
    <row r="502">
      <c r="AL502" t="str">
        <v>020494-001</v>
      </c>
      <c r="AM502" t="str">
        <v>Top Sub</v>
      </c>
      <c r="AN502">
        <v>4</v>
      </c>
      <c r="AP502" t="str">
        <v>2 7/8 IF</v>
      </c>
      <c r="AQ502" t="str">
        <v>2 7/8 API</v>
      </c>
      <c r="AS502" t="str">
        <v>27'6"</v>
      </c>
      <c r="AT502">
        <v>70</v>
      </c>
      <c r="AU502" t="str">
        <v>1¼"</v>
      </c>
      <c r="AV502">
        <v>2.75</v>
      </c>
      <c r="AW502" t="str">
        <v>4 lg</v>
      </c>
      <c r="AX502" t="str">
        <v>Gator</v>
      </c>
      <c r="AY502">
        <v>1</v>
      </c>
      <c r="AZ502" t="str">
        <v>PRT</v>
      </c>
    </row>
    <row r="503">
      <c r="AL503" t="str">
        <v>021512-001</v>
      </c>
      <c r="AM503" t="str">
        <v>Top Sub</v>
      </c>
      <c r="AN503">
        <v>4</v>
      </c>
      <c r="AP503" t="str">
        <v>2 7/8 IF</v>
      </c>
      <c r="AQ503" t="str">
        <v>2 3/8 API</v>
      </c>
      <c r="AS503" t="str">
        <v>27'6"</v>
      </c>
      <c r="AT503">
        <v>53</v>
      </c>
      <c r="AU503" t="str">
        <v>1"</v>
      </c>
      <c r="AV503" t="str">
        <v>2¼</v>
      </c>
      <c r="AW503" t="str">
        <v>4 lg</v>
      </c>
      <c r="AX503" t="str">
        <v>Gator</v>
      </c>
      <c r="AY503">
        <v>1</v>
      </c>
      <c r="AZ503" t="str">
        <v>PRT</v>
      </c>
    </row>
    <row r="504">
      <c r="AL504" t="str">
        <v>021513-001</v>
      </c>
      <c r="AM504" t="str">
        <v>Top Sub</v>
      </c>
      <c r="AN504">
        <v>4</v>
      </c>
      <c r="AP504" t="str">
        <v>2 7/8 IF</v>
      </c>
      <c r="AQ504" t="str">
        <v>2 7/8 API</v>
      </c>
      <c r="AS504" t="str">
        <v>27'6"</v>
      </c>
      <c r="AT504">
        <v>88</v>
      </c>
      <c r="AU504" t="str">
        <v>1 3/4"</v>
      </c>
      <c r="AV504">
        <v>2.75</v>
      </c>
      <c r="AW504" t="str">
        <v>4 lg</v>
      </c>
      <c r="AX504" t="str">
        <v>Gator</v>
      </c>
      <c r="AY504">
        <v>1</v>
      </c>
      <c r="AZ504" t="str">
        <v>PRT</v>
      </c>
    </row>
    <row r="505">
      <c r="AL505" t="str">
        <v>024173-001</v>
      </c>
      <c r="AM505" t="str">
        <v>Top Sub</v>
      </c>
      <c r="AN505">
        <v>4.25</v>
      </c>
      <c r="AO505">
        <v>3.5</v>
      </c>
      <c r="AP505" t="str">
        <v xml:space="preserve">3 1/2 API </v>
      </c>
      <c r="AQ505" t="str">
        <v xml:space="preserve">2 3/8 IF    </v>
      </c>
      <c r="AS505" t="str">
        <v xml:space="preserve">16" </v>
      </c>
      <c r="AT505">
        <v>49.5</v>
      </c>
      <c r="AU505">
        <v>1.75</v>
      </c>
      <c r="AV505" t="str">
        <v>T25</v>
      </c>
      <c r="AX505" t="str">
        <v>REPLACES 004685-002</v>
      </c>
    </row>
    <row r="506">
      <c r="AL506" t="str">
        <v>004685-004</v>
      </c>
      <c r="AM506" t="str">
        <v>Top Sub</v>
      </c>
      <c r="AN506">
        <v>4.5</v>
      </c>
      <c r="AO506">
        <v>3.5</v>
      </c>
      <c r="AP506" t="str">
        <v>3.5 API</v>
      </c>
      <c r="AQ506" t="str">
        <v>2.375 API</v>
      </c>
      <c r="AS506" t="str">
        <v>6"</v>
      </c>
      <c r="AT506">
        <v>24</v>
      </c>
      <c r="AU506">
        <v>1.75</v>
      </c>
    </row>
    <row r="507">
      <c r="AL507" t="str">
        <v>003738-001</v>
      </c>
      <c r="AM507" t="str">
        <v>Top Sub</v>
      </c>
      <c r="AN507">
        <v>4.75</v>
      </c>
      <c r="AO507">
        <v>4.75</v>
      </c>
      <c r="AP507" t="str">
        <v>3½ API</v>
      </c>
      <c r="AQ507" t="str">
        <v>3½ IF PIN</v>
      </c>
      <c r="AS507" t="str">
        <v>5"</v>
      </c>
      <c r="AT507">
        <v>47</v>
      </c>
      <c r="AU507" t="str">
        <v>2"</v>
      </c>
      <c r="AV507">
        <v>4</v>
      </c>
      <c r="AW507">
        <v>2</v>
      </c>
      <c r="AX507" t="str">
        <v>Pin/Pin</v>
      </c>
      <c r="AY507">
        <v>1</v>
      </c>
      <c r="AZ507" t="str">
        <v>PRT</v>
      </c>
    </row>
    <row r="508">
      <c r="AL508" t="str">
        <v>003463-002</v>
      </c>
      <c r="AM508" t="str">
        <v>Top Sub</v>
      </c>
      <c r="AN508">
        <v>5</v>
      </c>
      <c r="AO508">
        <v>5</v>
      </c>
      <c r="AP508" t="str">
        <v>3½ API</v>
      </c>
      <c r="AQ508" t="str">
        <v>3½ RH</v>
      </c>
      <c r="AS508">
        <v>16</v>
      </c>
      <c r="AT508">
        <v>71</v>
      </c>
      <c r="AU508" t="str">
        <v>1½"</v>
      </c>
      <c r="AY508">
        <v>1</v>
      </c>
      <c r="AZ508" t="str">
        <v>DRL</v>
      </c>
    </row>
    <row r="509">
      <c r="AL509" t="str">
        <v>003463-003</v>
      </c>
      <c r="AM509" t="str">
        <v>Top Sub</v>
      </c>
      <c r="AN509">
        <v>5</v>
      </c>
      <c r="AO509">
        <v>5</v>
      </c>
      <c r="AP509" t="str">
        <v>3½ API</v>
      </c>
      <c r="AQ509" t="str">
        <v>3½ RH</v>
      </c>
      <c r="AS509">
        <v>30</v>
      </c>
      <c r="AT509">
        <v>150</v>
      </c>
      <c r="AU509" t="str">
        <v>1½"</v>
      </c>
      <c r="AV509">
        <v>4</v>
      </c>
      <c r="AW509" t="str">
        <v>1.5 lg</v>
      </c>
      <c r="AY509">
        <v>1</v>
      </c>
      <c r="AZ509" t="str">
        <v>PRT</v>
      </c>
    </row>
    <row r="510">
      <c r="AL510" t="str">
        <v>019801-001</v>
      </c>
      <c r="AM510" t="str">
        <v>Top Sub</v>
      </c>
      <c r="AN510">
        <v>5</v>
      </c>
      <c r="AO510">
        <v>5</v>
      </c>
      <c r="AP510" t="str">
        <v>3½ API</v>
      </c>
      <c r="AQ510" t="str">
        <v>3½ API PIN</v>
      </c>
      <c r="AS510" t="str">
        <v>12"</v>
      </c>
      <c r="AT510">
        <v>60</v>
      </c>
      <c r="AU510" t="str">
        <v>1½"</v>
      </c>
      <c r="AV510">
        <v>3</v>
      </c>
      <c r="AW510" t="str">
        <v>4 lg</v>
      </c>
      <c r="AY510">
        <v>1</v>
      </c>
      <c r="AZ510" t="str">
        <v>PRT</v>
      </c>
    </row>
    <row r="511">
      <c r="AL511" t="str">
        <v>003226-001</v>
      </c>
      <c r="AM511" t="str">
        <v>Top Sub</v>
      </c>
      <c r="AN511">
        <v>5</v>
      </c>
      <c r="AO511">
        <v>5</v>
      </c>
      <c r="AP511" t="str">
        <v>3½ API</v>
      </c>
      <c r="AQ511" t="str">
        <v>3½ IF</v>
      </c>
      <c r="AS511" t="str">
        <v>16"</v>
      </c>
      <c r="AT511">
        <v>65</v>
      </c>
      <c r="AU511" t="str">
        <v>1 3/4"-2 11/16"</v>
      </c>
      <c r="AY511">
        <v>1</v>
      </c>
      <c r="AZ511" t="str">
        <v>DRL</v>
      </c>
    </row>
    <row r="512">
      <c r="AL512" t="str">
        <v>009681-001</v>
      </c>
      <c r="AM512" t="str">
        <v>Top Sub</v>
      </c>
      <c r="AN512">
        <v>5</v>
      </c>
      <c r="AO512">
        <v>5</v>
      </c>
      <c r="AP512" t="str">
        <v>3½ API</v>
      </c>
      <c r="AQ512" t="str">
        <v>3½ FH</v>
      </c>
      <c r="AS512" t="str">
        <v>16"</v>
      </c>
      <c r="AT512">
        <v>38</v>
      </c>
      <c r="AU512" t="str">
        <v>1 3/4" - 2¼"</v>
      </c>
      <c r="AX512" t="str">
        <v>Korea/US Army</v>
      </c>
      <c r="AY512">
        <v>1</v>
      </c>
      <c r="AZ512" t="str">
        <v>PRT</v>
      </c>
    </row>
    <row r="513">
      <c r="AL513" t="str">
        <v>006412-001</v>
      </c>
      <c r="AM513" t="str">
        <v>Top Sub</v>
      </c>
      <c r="AN513">
        <v>5</v>
      </c>
      <c r="AO513">
        <v>5</v>
      </c>
      <c r="AP513" t="str">
        <v>3½ API</v>
      </c>
      <c r="AQ513" t="str">
        <v>3½ RH Pin</v>
      </c>
      <c r="AS513" t="str">
        <v>4"</v>
      </c>
      <c r="AT513">
        <v>37</v>
      </c>
      <c r="AU513" t="str">
        <v>1½"</v>
      </c>
      <c r="AX513" t="str">
        <v>Pin/Pin</v>
      </c>
      <c r="AY513">
        <v>1</v>
      </c>
      <c r="AZ513" t="str">
        <v>PRT</v>
      </c>
    </row>
    <row r="514">
      <c r="AL514" t="str">
        <v>001364-001</v>
      </c>
      <c r="AM514" t="str">
        <v>Top Sub</v>
      </c>
      <c r="AN514">
        <v>5</v>
      </c>
      <c r="AO514">
        <v>5</v>
      </c>
      <c r="AP514" t="str">
        <v>3½ API</v>
      </c>
      <c r="AQ514" t="str">
        <v>3 RH</v>
      </c>
      <c r="AS514" t="str">
        <v>9"</v>
      </c>
      <c r="AT514">
        <v>43</v>
      </c>
      <c r="AU514" t="str">
        <v>1½"</v>
      </c>
      <c r="AX514" t="str">
        <v>Obsolete</v>
      </c>
      <c r="AY514">
        <v>1</v>
      </c>
      <c r="AZ514" t="str">
        <v>DRL</v>
      </c>
    </row>
    <row r="515">
      <c r="AL515" t="str">
        <v>001430-001</v>
      </c>
      <c r="AM515" t="str">
        <v>Top Sub</v>
      </c>
      <c r="AN515">
        <v>5</v>
      </c>
      <c r="AO515">
        <v>5</v>
      </c>
      <c r="AP515" t="str">
        <v>3½ API</v>
      </c>
      <c r="AQ515" t="str">
        <v>3½ API</v>
      </c>
      <c r="AS515" t="str">
        <v>9"</v>
      </c>
      <c r="AT515">
        <v>40</v>
      </c>
      <c r="AU515" t="str">
        <v>1½"</v>
      </c>
      <c r="AY515">
        <v>1</v>
      </c>
      <c r="AZ515" t="str">
        <v>DRL</v>
      </c>
    </row>
    <row r="516">
      <c r="AL516" t="str">
        <v>003463-001</v>
      </c>
      <c r="AM516" t="str">
        <v>Top Sub</v>
      </c>
      <c r="AN516">
        <v>5</v>
      </c>
      <c r="AO516">
        <v>5</v>
      </c>
      <c r="AP516" t="str">
        <v>3½ API</v>
      </c>
      <c r="AQ516" t="str">
        <v>3½ RH</v>
      </c>
      <c r="AS516" t="str">
        <v>9"</v>
      </c>
      <c r="AT516">
        <v>40</v>
      </c>
      <c r="AU516" t="str">
        <v>1½"</v>
      </c>
      <c r="AY516">
        <v>1</v>
      </c>
      <c r="AZ516" t="str">
        <v>DRL</v>
      </c>
    </row>
    <row r="517">
      <c r="AL517" t="str">
        <v>023596-001</v>
      </c>
      <c r="AM517" t="str">
        <v>Top Sub</v>
      </c>
      <c r="AN517">
        <v>5</v>
      </c>
      <c r="AO517">
        <v>7</v>
      </c>
      <c r="AP517" t="str">
        <v>5½ API</v>
      </c>
      <c r="AQ517" t="str">
        <v>3½ RH</v>
      </c>
      <c r="AR517" t="str">
        <v>2 3/4</v>
      </c>
      <c r="AS517" t="str">
        <v>18"</v>
      </c>
      <c r="AU517" t="str">
        <v>1½</v>
      </c>
      <c r="AV517">
        <v>3</v>
      </c>
      <c r="AX517" t="str">
        <v>C245</v>
      </c>
    </row>
    <row r="518">
      <c r="AL518" t="str">
        <v>012156-001</v>
      </c>
      <c r="AM518" t="str">
        <v>Top Sub</v>
      </c>
      <c r="AN518">
        <v>5</v>
      </c>
      <c r="AO518">
        <v>8</v>
      </c>
      <c r="AP518" t="str">
        <v>3½ API</v>
      </c>
      <c r="AQ518" t="str">
        <v>5½ API</v>
      </c>
      <c r="AS518" t="str">
        <v>8"</v>
      </c>
      <c r="AT518">
        <v>315</v>
      </c>
      <c r="AU518" t="str">
        <v>2"</v>
      </c>
      <c r="AX518" t="str">
        <v>C60K4</v>
      </c>
      <c r="AY518">
        <v>1</v>
      </c>
      <c r="AZ518" t="str">
        <v>PRT</v>
      </c>
    </row>
    <row r="519">
      <c r="AL519" t="str">
        <v>017837-012</v>
      </c>
      <c r="AM519" t="str">
        <v>Top Sub</v>
      </c>
      <c r="AN519">
        <v>6</v>
      </c>
      <c r="AO519">
        <v>6</v>
      </c>
      <c r="AP519" t="str">
        <v>4½ RH</v>
      </c>
      <c r="AQ519" t="str">
        <v>4½ API</v>
      </c>
      <c r="AS519" t="str">
        <v>36"</v>
      </c>
      <c r="AU519" t="str">
        <v>2½"</v>
      </c>
      <c r="AV519">
        <v>4</v>
      </c>
      <c r="AW519" t="str">
        <v>4 lg</v>
      </c>
      <c r="AY519">
        <v>1</v>
      </c>
      <c r="AZ519" t="str">
        <v>SUB</v>
      </c>
    </row>
    <row r="520">
      <c r="AL520" t="str">
        <v>021715-001</v>
      </c>
      <c r="AM520" t="str">
        <v>Top Sub</v>
      </c>
      <c r="AN520">
        <v>6</v>
      </c>
      <c r="AO520">
        <v>6</v>
      </c>
      <c r="AP520" t="str">
        <v>3½ API</v>
      </c>
      <c r="AQ520" t="str">
        <v>4½ RH</v>
      </c>
      <c r="AS520" t="str">
        <v>36"</v>
      </c>
      <c r="AT520">
        <v>270</v>
      </c>
      <c r="AU520" t="str">
        <v>1½"</v>
      </c>
      <c r="AV520">
        <v>4</v>
      </c>
      <c r="AW520" t="str">
        <v>6 lg</v>
      </c>
      <c r="AY520">
        <v>1</v>
      </c>
      <c r="AZ520" t="str">
        <v>DRL</v>
      </c>
    </row>
    <row r="521">
      <c r="AL521" t="str">
        <v>010317-001</v>
      </c>
      <c r="AM521" t="str">
        <v>Top Sub</v>
      </c>
      <c r="AN521">
        <v>6</v>
      </c>
      <c r="AO521">
        <v>6</v>
      </c>
      <c r="AP521" t="str">
        <v>4½ API</v>
      </c>
      <c r="AQ521" t="str">
        <v>3½ API</v>
      </c>
      <c r="AS521" t="str">
        <v>6"</v>
      </c>
      <c r="AT521">
        <v>60</v>
      </c>
      <c r="AU521" t="str">
        <v>1 5/8"</v>
      </c>
      <c r="AY521">
        <v>1</v>
      </c>
      <c r="AZ521" t="str">
        <v>PRT</v>
      </c>
    </row>
    <row r="522">
      <c r="AL522" t="str">
        <v>003740-001</v>
      </c>
      <c r="AM522" t="str">
        <v>Top Sub</v>
      </c>
      <c r="AN522">
        <v>6</v>
      </c>
      <c r="AO522">
        <v>6</v>
      </c>
      <c r="AP522" t="str">
        <v>3½ API</v>
      </c>
      <c r="AQ522" t="str">
        <v>4½ IF</v>
      </c>
      <c r="AS522" t="str">
        <v>9"</v>
      </c>
      <c r="AT522">
        <v>65</v>
      </c>
      <c r="AU522" t="str">
        <v>1½"</v>
      </c>
      <c r="AY522">
        <v>1</v>
      </c>
      <c r="AZ522" t="str">
        <v>DRL</v>
      </c>
    </row>
    <row r="523">
      <c r="AL523" t="str">
        <v>023206-001</v>
      </c>
      <c r="AM523" t="str">
        <v>Top Sub</v>
      </c>
      <c r="AN523">
        <v>6</v>
      </c>
      <c r="AO523" t="str">
        <v>5½</v>
      </c>
      <c r="AP523" t="str">
        <v>3½ API</v>
      </c>
      <c r="AQ523" t="str">
        <v>4½ RH PIN</v>
      </c>
      <c r="AS523" t="str">
        <v>25"</v>
      </c>
      <c r="AU523" t="str">
        <v>1½"</v>
      </c>
      <c r="AV523">
        <v>4</v>
      </c>
      <c r="AW523" t="str">
        <v>6 lg</v>
      </c>
      <c r="AY523">
        <v>1</v>
      </c>
      <c r="AZ523" t="str">
        <v>PRT</v>
      </c>
    </row>
    <row r="524">
      <c r="AL524" t="str">
        <v>022775-001</v>
      </c>
      <c r="AM524" t="str">
        <v>Top Sub</v>
      </c>
      <c r="AN524">
        <v>6.75</v>
      </c>
      <c r="AP524" t="str">
        <v>3½ API</v>
      </c>
      <c r="AQ524" t="str">
        <v>5½ API PIN</v>
      </c>
      <c r="AS524" t="str">
        <v>6"</v>
      </c>
      <c r="AU524" t="str">
        <v>1 3/4"</v>
      </c>
      <c r="AY524">
        <v>1</v>
      </c>
      <c r="AZ524" t="str">
        <v>PRT</v>
      </c>
    </row>
    <row r="525">
      <c r="AL525" t="str">
        <v>015830-002</v>
      </c>
      <c r="AM525" t="str">
        <v>Top Sub</v>
      </c>
      <c r="AN525">
        <v>7</v>
      </c>
      <c r="AO525">
        <v>4</v>
      </c>
      <c r="AP525" t="str">
        <v>5½ API</v>
      </c>
      <c r="AQ525" t="str">
        <v>2 7/8 API</v>
      </c>
      <c r="AS525">
        <v>16</v>
      </c>
      <c r="AT525">
        <v>120</v>
      </c>
      <c r="AU525" t="str">
        <v>1 3/4"</v>
      </c>
      <c r="AV525">
        <v>3</v>
      </c>
      <c r="AW525" t="str">
        <v>2 lg</v>
      </c>
      <c r="AY525">
        <v>1</v>
      </c>
      <c r="AZ525" t="str">
        <v>PRT</v>
      </c>
    </row>
    <row r="526">
      <c r="AL526" t="str">
        <v>020304-001</v>
      </c>
      <c r="AM526" t="str">
        <v>Top Sub</v>
      </c>
      <c r="AN526">
        <v>7</v>
      </c>
      <c r="AO526">
        <v>4.75</v>
      </c>
      <c r="AP526" t="str">
        <v>5½ API</v>
      </c>
      <c r="AQ526" t="str">
        <v>3½ IF BOX</v>
      </c>
      <c r="AS526" t="str">
        <v>5"</v>
      </c>
      <c r="AT526">
        <v>95</v>
      </c>
      <c r="AU526" t="str">
        <v>2 1/8"</v>
      </c>
      <c r="AY526">
        <v>1</v>
      </c>
      <c r="AZ526" t="str">
        <v>PRT</v>
      </c>
    </row>
    <row r="527">
      <c r="AL527" t="str">
        <v>016792-002</v>
      </c>
      <c r="AM527" t="str">
        <v>Top Sub</v>
      </c>
      <c r="AN527">
        <v>7</v>
      </c>
      <c r="AO527">
        <v>5.75</v>
      </c>
      <c r="AP527" t="str">
        <v>5½ API</v>
      </c>
      <c r="AQ527" t="str">
        <v>3½ API</v>
      </c>
      <c r="AS527" t="str">
        <v>24"</v>
      </c>
      <c r="AT527">
        <v>270</v>
      </c>
      <c r="AU527" t="str">
        <v>2"</v>
      </c>
      <c r="AX527" t="str">
        <v>D75K6H</v>
      </c>
      <c r="AY527">
        <v>1</v>
      </c>
      <c r="AZ527" t="str">
        <v>PRT</v>
      </c>
    </row>
    <row r="528">
      <c r="AL528" t="str">
        <v>016792-001</v>
      </c>
      <c r="AM528" t="str">
        <v>Top Sub</v>
      </c>
      <c r="AN528">
        <v>7</v>
      </c>
      <c r="AO528">
        <v>5.75</v>
      </c>
      <c r="AP528" t="str">
        <v>5½ API</v>
      </c>
      <c r="AQ528" t="str">
        <v>3½ API</v>
      </c>
      <c r="AS528" t="str">
        <v>9"</v>
      </c>
      <c r="AT528">
        <v>92</v>
      </c>
      <c r="AU528" t="str">
        <v>2"</v>
      </c>
      <c r="AX528" t="str">
        <v>TM40</v>
      </c>
      <c r="AY528">
        <v>1</v>
      </c>
      <c r="AZ528" t="str">
        <v>PRT</v>
      </c>
    </row>
    <row r="529">
      <c r="AL529" t="str">
        <v>017837-008</v>
      </c>
      <c r="AM529" t="str">
        <v>Top Sub</v>
      </c>
      <c r="AN529">
        <v>7</v>
      </c>
      <c r="AO529">
        <v>7</v>
      </c>
      <c r="AP529" t="str">
        <v>3½ API</v>
      </c>
      <c r="AQ529" t="str">
        <v>4½ RH</v>
      </c>
      <c r="AS529" t="str">
        <v>14"</v>
      </c>
      <c r="AU529" t="str">
        <v>1 3/4"</v>
      </c>
      <c r="AV529">
        <v>5</v>
      </c>
      <c r="AW529" t="str">
        <v>5 lg</v>
      </c>
      <c r="AY529">
        <v>1</v>
      </c>
      <c r="AZ529" t="str">
        <v>PRT</v>
      </c>
    </row>
    <row r="530">
      <c r="AL530" t="str">
        <v>015660-001</v>
      </c>
      <c r="AM530" t="str">
        <v>Top Sub</v>
      </c>
      <c r="AN530">
        <v>7</v>
      </c>
      <c r="AO530">
        <v>7</v>
      </c>
      <c r="AP530" t="str">
        <v>5½ API</v>
      </c>
      <c r="AQ530" t="str">
        <v>4½ RH</v>
      </c>
      <c r="AS530" t="str">
        <v>24"</v>
      </c>
      <c r="AT530">
        <v>245</v>
      </c>
      <c r="AX530" t="str">
        <v>C75K4</v>
      </c>
      <c r="AY530">
        <v>1</v>
      </c>
      <c r="AZ530" t="str">
        <v>DRL</v>
      </c>
    </row>
    <row r="531">
      <c r="AL531" t="str">
        <v>017837-003</v>
      </c>
      <c r="AM531" t="str">
        <v>Top Sub</v>
      </c>
      <c r="AN531">
        <v>7</v>
      </c>
      <c r="AO531">
        <v>7</v>
      </c>
      <c r="AP531" t="str">
        <v>3½ API</v>
      </c>
      <c r="AQ531" t="str">
        <v>4½ RH</v>
      </c>
      <c r="AS531" t="str">
        <v>36"</v>
      </c>
      <c r="AU531" t="str">
        <v>1 3/4"</v>
      </c>
      <c r="AV531">
        <v>5</v>
      </c>
      <c r="AW531" t="str">
        <v>5 lg</v>
      </c>
      <c r="AX531" t="str">
        <v>C55SP</v>
      </c>
      <c r="AY531">
        <v>1</v>
      </c>
      <c r="AZ531" t="str">
        <v>PRT</v>
      </c>
    </row>
    <row r="532">
      <c r="AL532" t="str">
        <v>017837-009</v>
      </c>
      <c r="AM532" t="str">
        <v>Top Sub</v>
      </c>
      <c r="AN532">
        <v>7</v>
      </c>
      <c r="AO532">
        <v>7</v>
      </c>
      <c r="AP532" t="str">
        <v>4½ API</v>
      </c>
      <c r="AQ532" t="str">
        <v>4½ API</v>
      </c>
      <c r="AS532" t="str">
        <v>36"</v>
      </c>
      <c r="AU532" t="str">
        <v>2½"</v>
      </c>
      <c r="AV532">
        <v>5</v>
      </c>
      <c r="AW532" t="str">
        <v>5 lg</v>
      </c>
      <c r="AY532">
        <v>1</v>
      </c>
      <c r="AZ532" t="str">
        <v>PRT</v>
      </c>
    </row>
    <row r="533">
      <c r="AL533" t="str">
        <v>017837-001</v>
      </c>
      <c r="AM533" t="str">
        <v>Top Sub</v>
      </c>
      <c r="AN533">
        <v>7</v>
      </c>
      <c r="AO533">
        <v>7</v>
      </c>
      <c r="AP533" t="str">
        <v>4.5 RH</v>
      </c>
      <c r="AQ533" t="str">
        <v>4.5 RH</v>
      </c>
      <c r="AS533" t="str">
        <v>7"</v>
      </c>
      <c r="AU533" t="str">
        <v>1 3/4"</v>
      </c>
      <c r="AX533" t="str">
        <v>C55SP</v>
      </c>
      <c r="AY533">
        <v>1</v>
      </c>
      <c r="AZ533" t="str">
        <v>PRT</v>
      </c>
    </row>
    <row r="534">
      <c r="AL534" t="str">
        <v>015830-003</v>
      </c>
      <c r="AM534" t="str">
        <v>Top Sub</v>
      </c>
      <c r="AN534">
        <v>7</v>
      </c>
      <c r="AO534" t="str">
        <v>4½</v>
      </c>
      <c r="AP534" t="str">
        <v>5½ API</v>
      </c>
      <c r="AQ534" t="str">
        <v>2 3/8 API</v>
      </c>
      <c r="AS534">
        <v>9</v>
      </c>
      <c r="AT534">
        <v>92</v>
      </c>
      <c r="AU534" t="str">
        <v>1 3/4"</v>
      </c>
      <c r="AY534">
        <v>1</v>
      </c>
      <c r="AZ534" t="str">
        <v>DRL</v>
      </c>
    </row>
    <row r="535">
      <c r="AL535" t="str">
        <v>017197-001</v>
      </c>
      <c r="AM535" t="str">
        <v>Top Sub</v>
      </c>
      <c r="AN535">
        <v>7</v>
      </c>
      <c r="AO535" t="str">
        <v>4½</v>
      </c>
      <c r="AP535" t="str">
        <v>5½ API</v>
      </c>
      <c r="AQ535" t="str">
        <v>3½ API</v>
      </c>
      <c r="AS535" t="str">
        <v>16"</v>
      </c>
      <c r="AT535">
        <v>132</v>
      </c>
      <c r="AU535" t="str">
        <v>2"</v>
      </c>
      <c r="AV535">
        <v>3</v>
      </c>
      <c r="AW535" t="str">
        <v>2 lg</v>
      </c>
      <c r="AX535" t="str">
        <v>TM40</v>
      </c>
      <c r="AY535">
        <v>1</v>
      </c>
      <c r="AZ535" t="str">
        <v>DRL</v>
      </c>
    </row>
    <row r="536">
      <c r="AL536" t="str">
        <v>015830-001</v>
      </c>
      <c r="AM536" t="str">
        <v>Top Sub</v>
      </c>
      <c r="AN536">
        <v>7</v>
      </c>
      <c r="AO536" t="str">
        <v>4½</v>
      </c>
      <c r="AP536" t="str">
        <v>5½ API</v>
      </c>
      <c r="AQ536" t="str">
        <v>2 7/8 IF</v>
      </c>
      <c r="AS536" t="str">
        <v>9"</v>
      </c>
      <c r="AT536">
        <v>92</v>
      </c>
      <c r="AU536" t="str">
        <v>2 1/8"</v>
      </c>
      <c r="AY536">
        <v>1</v>
      </c>
      <c r="AZ536" t="str">
        <v>DRL</v>
      </c>
    </row>
    <row r="537">
      <c r="AL537" t="str">
        <v>020574-002</v>
      </c>
      <c r="AM537" t="str">
        <v>Top Sub</v>
      </c>
      <c r="AN537">
        <v>7</v>
      </c>
      <c r="AO537" t="str">
        <v>5½</v>
      </c>
      <c r="AP537" t="str">
        <v>5½ API</v>
      </c>
      <c r="AQ537" t="str">
        <v>3½ API</v>
      </c>
      <c r="AS537" t="str">
        <v>24"</v>
      </c>
      <c r="AT537">
        <v>192</v>
      </c>
      <c r="AU537" t="str">
        <v>2"</v>
      </c>
      <c r="AY537">
        <v>1</v>
      </c>
      <c r="AZ537" t="str">
        <v>PRT</v>
      </c>
    </row>
    <row r="538">
      <c r="AL538" t="str">
        <v>023076-001</v>
      </c>
      <c r="AM538" t="str">
        <v>Top Sub</v>
      </c>
      <c r="AN538">
        <v>7</v>
      </c>
      <c r="AO538" t="str">
        <v>5½</v>
      </c>
      <c r="AP538" t="str">
        <v>5½ API</v>
      </c>
      <c r="AQ538" t="str">
        <v>4½ API</v>
      </c>
      <c r="AS538" t="str">
        <v>24"</v>
      </c>
      <c r="AT538">
        <v>260</v>
      </c>
      <c r="AU538" t="str">
        <v>2½"</v>
      </c>
      <c r="AV538">
        <v>4</v>
      </c>
      <c r="AW538" t="str">
        <v>4 lg</v>
      </c>
      <c r="AX538" t="str">
        <v>D560</v>
      </c>
      <c r="AY538">
        <v>1</v>
      </c>
      <c r="AZ538" t="str">
        <v>PRT</v>
      </c>
    </row>
    <row r="539">
      <c r="AL539" t="str">
        <v>020574-001</v>
      </c>
      <c r="AM539" t="str">
        <v>Top Sub</v>
      </c>
      <c r="AN539">
        <v>7</v>
      </c>
      <c r="AO539" t="str">
        <v>5½</v>
      </c>
      <c r="AP539" t="str">
        <v>5½ API</v>
      </c>
      <c r="AQ539" t="str">
        <v>3½ API</v>
      </c>
      <c r="AS539" t="str">
        <v>9"</v>
      </c>
      <c r="AT539">
        <v>92</v>
      </c>
      <c r="AU539" t="str">
        <v>2"</v>
      </c>
      <c r="AY539">
        <v>1</v>
      </c>
      <c r="AZ539" t="str">
        <v>PRT</v>
      </c>
    </row>
    <row r="540">
      <c r="AL540" t="str">
        <v>011250-001</v>
      </c>
      <c r="AM540" t="str">
        <v>Top Sub</v>
      </c>
      <c r="AN540">
        <v>7</v>
      </c>
      <c r="AO540" t="str">
        <v>6½</v>
      </c>
      <c r="AP540" t="str">
        <v>5½ API</v>
      </c>
      <c r="AQ540" t="str">
        <v>4½ RH</v>
      </c>
      <c r="AS540" t="str">
        <v>14"</v>
      </c>
      <c r="AT540">
        <v>130</v>
      </c>
      <c r="AU540" t="str">
        <v>2"</v>
      </c>
      <c r="AY540">
        <v>1</v>
      </c>
      <c r="AZ540" t="str">
        <v>PRT</v>
      </c>
    </row>
    <row r="541">
      <c r="AL541" t="str">
        <v>019888-001</v>
      </c>
      <c r="AM541" t="str">
        <v>Top Sub</v>
      </c>
      <c r="AN541">
        <v>7</v>
      </c>
      <c r="AO541" t="str">
        <v>6½</v>
      </c>
      <c r="AP541" t="str">
        <v>5½ API</v>
      </c>
      <c r="AQ541" t="str">
        <v>4½ API</v>
      </c>
      <c r="AS541" t="str">
        <v>24"</v>
      </c>
      <c r="AT541">
        <v>260</v>
      </c>
      <c r="AU541" t="str">
        <v>2½"</v>
      </c>
      <c r="AV541">
        <v>4</v>
      </c>
      <c r="AW541" t="str">
        <v>4 lg</v>
      </c>
      <c r="AY541">
        <v>1</v>
      </c>
      <c r="AZ541" t="str">
        <v>PRT</v>
      </c>
    </row>
    <row r="542">
      <c r="AL542" t="str">
        <v>005246-002</v>
      </c>
      <c r="AM542" t="str">
        <v>Top Sub</v>
      </c>
      <c r="AN542">
        <v>7.625</v>
      </c>
      <c r="AO542">
        <v>7.625</v>
      </c>
      <c r="AP542" t="str">
        <v>5½ API</v>
      </c>
      <c r="AQ542" t="str">
        <v>6 RH</v>
      </c>
      <c r="AS542">
        <v>24</v>
      </c>
      <c r="AT542">
        <v>269</v>
      </c>
      <c r="AU542" t="str">
        <v>3"</v>
      </c>
      <c r="AY542">
        <v>1</v>
      </c>
      <c r="AZ542" t="str">
        <v>PRT</v>
      </c>
    </row>
    <row r="543">
      <c r="AL543" t="str">
        <v>017837-011</v>
      </c>
      <c r="AM543" t="str">
        <v>Top Sub</v>
      </c>
      <c r="AN543">
        <v>7.625</v>
      </c>
      <c r="AO543">
        <v>7.625</v>
      </c>
      <c r="AP543" t="str">
        <v>6 RH</v>
      </c>
      <c r="AQ543" t="str">
        <v>6 5/8 API</v>
      </c>
      <c r="AS543" t="str">
        <v>12"</v>
      </c>
      <c r="AU543" t="str">
        <v>2½"</v>
      </c>
      <c r="AV543">
        <v>5</v>
      </c>
      <c r="AW543" t="str">
        <v>4 lg</v>
      </c>
      <c r="AY543">
        <v>1</v>
      </c>
      <c r="AZ543" t="str">
        <v>PRT</v>
      </c>
    </row>
    <row r="544">
      <c r="AL544" t="str">
        <v>017837-010</v>
      </c>
      <c r="AM544" t="str">
        <v>Top Sub</v>
      </c>
      <c r="AN544">
        <v>7.625</v>
      </c>
      <c r="AO544">
        <v>7.625</v>
      </c>
      <c r="AP544" t="str">
        <v>3½ API</v>
      </c>
      <c r="AQ544" t="str">
        <v>6 RH</v>
      </c>
      <c r="AS544" t="str">
        <v>14"</v>
      </c>
      <c r="AU544" t="str">
        <v>1 3/4"</v>
      </c>
      <c r="AV544">
        <v>5</v>
      </c>
      <c r="AW544" t="str">
        <v>4 lg</v>
      </c>
      <c r="AY544">
        <v>1</v>
      </c>
      <c r="AZ544" t="str">
        <v>PRT</v>
      </c>
    </row>
    <row r="545">
      <c r="AL545" t="str">
        <v>005246-001</v>
      </c>
      <c r="AM545" t="str">
        <v>Top Sub</v>
      </c>
      <c r="AN545">
        <v>7.625</v>
      </c>
      <c r="AO545">
        <v>7.625</v>
      </c>
      <c r="AP545" t="str">
        <v>6 5/8 API</v>
      </c>
      <c r="AQ545" t="str">
        <v>6 RH</v>
      </c>
      <c r="AS545" t="str">
        <v>24"</v>
      </c>
      <c r="AT545">
        <v>125</v>
      </c>
      <c r="AU545" t="str">
        <v>3"</v>
      </c>
      <c r="AY545">
        <v>1</v>
      </c>
      <c r="AZ545" t="str">
        <v>DRL</v>
      </c>
    </row>
    <row r="546">
      <c r="AL546" t="str">
        <v>003414-001</v>
      </c>
      <c r="AM546" t="str">
        <v>Top Sub</v>
      </c>
      <c r="AN546">
        <v>7.625</v>
      </c>
      <c r="AO546">
        <v>7.625</v>
      </c>
      <c r="AP546" t="str">
        <v>6 5/8 API</v>
      </c>
      <c r="AQ546" t="str">
        <v>6 RH</v>
      </c>
      <c r="AS546" t="str">
        <v>36"</v>
      </c>
      <c r="AT546">
        <v>395</v>
      </c>
      <c r="AU546" t="str">
        <v>3"</v>
      </c>
      <c r="AV546">
        <v>6</v>
      </c>
      <c r="AW546">
        <v>6</v>
      </c>
      <c r="AY546">
        <v>1</v>
      </c>
      <c r="AZ546" t="str">
        <v>END</v>
      </c>
    </row>
    <row r="547">
      <c r="AL547" t="str">
        <v>017837-004</v>
      </c>
      <c r="AM547" t="str">
        <v>Top Sub</v>
      </c>
      <c r="AN547">
        <v>7.625</v>
      </c>
      <c r="AO547">
        <v>7.625</v>
      </c>
      <c r="AP547" t="str">
        <v>3½ API</v>
      </c>
      <c r="AQ547" t="str">
        <v>6 RH</v>
      </c>
      <c r="AS547" t="str">
        <v>36"</v>
      </c>
      <c r="AU547" t="str">
        <v>1 3/4"</v>
      </c>
      <c r="AV547">
        <v>5</v>
      </c>
      <c r="AW547" t="str">
        <v>5 lg</v>
      </c>
      <c r="AX547" t="str">
        <v>C55SP</v>
      </c>
      <c r="AY547">
        <v>1</v>
      </c>
      <c r="AZ547" t="str">
        <v>PRT</v>
      </c>
    </row>
    <row r="548">
      <c r="AL548" t="str">
        <v>017837-005</v>
      </c>
      <c r="AM548" t="str">
        <v>Top Sub</v>
      </c>
      <c r="AN548">
        <v>7.625</v>
      </c>
      <c r="AO548">
        <v>7.625</v>
      </c>
      <c r="AP548" t="str">
        <v>5½ API</v>
      </c>
      <c r="AQ548" t="str">
        <v>6 RH</v>
      </c>
      <c r="AS548" t="str">
        <v>36"</v>
      </c>
      <c r="AU548" t="str">
        <v>2 ½"</v>
      </c>
      <c r="AV548">
        <v>5</v>
      </c>
      <c r="AW548" t="str">
        <v>5 lg</v>
      </c>
      <c r="AY548">
        <v>1</v>
      </c>
      <c r="AZ548" t="str">
        <v>PRT</v>
      </c>
    </row>
    <row r="549">
      <c r="AL549" t="str">
        <v>010316-001</v>
      </c>
      <c r="AM549" t="str">
        <v>Top Sub</v>
      </c>
      <c r="AN549">
        <v>7.625</v>
      </c>
      <c r="AO549">
        <v>7.625</v>
      </c>
      <c r="AP549" t="str">
        <v>4½ API</v>
      </c>
      <c r="AQ549" t="str">
        <v>5¼ RH</v>
      </c>
      <c r="AS549" t="str">
        <v>7"</v>
      </c>
      <c r="AT549">
        <v>100</v>
      </c>
      <c r="AU549" t="str">
        <v>1 5/8"</v>
      </c>
      <c r="AY549">
        <v>1</v>
      </c>
      <c r="AZ549" t="str">
        <v>PRT</v>
      </c>
    </row>
    <row r="550">
      <c r="AL550" t="str">
        <v>017837-002</v>
      </c>
      <c r="AM550" t="str">
        <v>Top Sub</v>
      </c>
      <c r="AN550">
        <v>7.625</v>
      </c>
      <c r="AO550">
        <v>7.625</v>
      </c>
      <c r="AP550" t="str">
        <v>6 RH</v>
      </c>
      <c r="AQ550" t="str">
        <v>6 RH</v>
      </c>
      <c r="AS550" t="str">
        <v>7"</v>
      </c>
      <c r="AU550" t="str">
        <v>2 3/4"</v>
      </c>
      <c r="AX550" t="str">
        <v>C55SP</v>
      </c>
      <c r="AY550">
        <v>1</v>
      </c>
      <c r="AZ550" t="str">
        <v>PRT</v>
      </c>
    </row>
    <row r="551">
      <c r="AL551" t="str">
        <v>017837-006</v>
      </c>
      <c r="AM551" t="str">
        <v>Top Sub</v>
      </c>
      <c r="AN551">
        <v>7.625</v>
      </c>
      <c r="AO551">
        <v>7.625</v>
      </c>
      <c r="AP551" t="str">
        <v>5½ API</v>
      </c>
      <c r="AQ551" t="str">
        <v>6 RH</v>
      </c>
      <c r="AS551" t="str">
        <v>8"</v>
      </c>
      <c r="AU551" t="str">
        <v>23/4"</v>
      </c>
      <c r="AY551">
        <v>1</v>
      </c>
      <c r="AZ551" t="str">
        <v>PRT</v>
      </c>
    </row>
    <row r="552">
      <c r="AL552" t="str">
        <v>017577-001</v>
      </c>
      <c r="AM552" t="str">
        <v>Top Sub</v>
      </c>
      <c r="AN552">
        <v>7.625</v>
      </c>
      <c r="AP552" t="str">
        <v>6 5/8 API</v>
      </c>
      <c r="AQ552" t="str">
        <v>6 RH</v>
      </c>
      <c r="AS552" t="str">
        <v>42"</v>
      </c>
      <c r="AT552">
        <v>528</v>
      </c>
      <c r="AU552" t="str">
        <v>3"</v>
      </c>
      <c r="AV552">
        <v>6</v>
      </c>
      <c r="AW552" t="str">
        <v>6 lg</v>
      </c>
      <c r="AX552" t="str">
        <v>C90KD</v>
      </c>
      <c r="AY552">
        <v>1</v>
      </c>
      <c r="AZ552" t="str">
        <v>DRL</v>
      </c>
    </row>
    <row r="553">
      <c r="AL553" t="str">
        <v>010264-005</v>
      </c>
      <c r="AM553" t="str">
        <v>Top Sub</v>
      </c>
      <c r="AN553">
        <v>7.875</v>
      </c>
      <c r="AO553">
        <v>7.875</v>
      </c>
      <c r="AP553" t="str">
        <v>5½ API</v>
      </c>
      <c r="AQ553" t="str">
        <v>6 RH</v>
      </c>
      <c r="AS553">
        <v>24</v>
      </c>
      <c r="AT553">
        <v>266</v>
      </c>
      <c r="AU553" t="str">
        <v>3"</v>
      </c>
      <c r="AV553">
        <v>6</v>
      </c>
      <c r="AW553" t="str">
        <v>5 lg</v>
      </c>
      <c r="AY553">
        <v>1</v>
      </c>
      <c r="AZ553" t="str">
        <v>PRT</v>
      </c>
    </row>
    <row r="554">
      <c r="AL554" t="str">
        <v>012710-001</v>
      </c>
      <c r="AM554" t="str">
        <v>Top Sub</v>
      </c>
      <c r="AN554">
        <v>8</v>
      </c>
      <c r="AO554">
        <v>8</v>
      </c>
      <c r="AP554" t="str">
        <v>5½ API</v>
      </c>
      <c r="AQ554" t="str">
        <v>6 RH</v>
      </c>
      <c r="AS554" t="str">
        <v>24"</v>
      </c>
      <c r="AT554">
        <v>290</v>
      </c>
      <c r="AU554" t="str">
        <v>3"</v>
      </c>
      <c r="AX554" t="str">
        <v>Spec. C75</v>
      </c>
      <c r="AY554">
        <v>1</v>
      </c>
      <c r="AZ554" t="str">
        <v>DRL</v>
      </c>
    </row>
    <row r="555">
      <c r="AL555" t="str">
        <v>003553-001</v>
      </c>
      <c r="AM555" t="str">
        <v>Top Sub</v>
      </c>
      <c r="AN555">
        <v>8.625</v>
      </c>
      <c r="AO555">
        <v>8.625</v>
      </c>
      <c r="AP555" t="str">
        <v>6 5/8 API</v>
      </c>
      <c r="AQ555" t="str">
        <v>6 RH</v>
      </c>
      <c r="AS555" t="str">
        <v>24"</v>
      </c>
      <c r="AT555">
        <v>345</v>
      </c>
      <c r="AU555" t="str">
        <v>3"</v>
      </c>
      <c r="AV555">
        <v>7</v>
      </c>
      <c r="AW555">
        <v>5</v>
      </c>
      <c r="AY555">
        <v>1</v>
      </c>
      <c r="AZ555" t="str">
        <v>DRL</v>
      </c>
    </row>
    <row r="556">
      <c r="AL556" t="str">
        <v>010264-001</v>
      </c>
      <c r="AM556" t="str">
        <v>Top Sub</v>
      </c>
      <c r="AN556">
        <v>8.625</v>
      </c>
      <c r="AO556">
        <v>8.625</v>
      </c>
      <c r="AP556" t="str">
        <v>5½ API</v>
      </c>
      <c r="AQ556" t="str">
        <v>6 RH</v>
      </c>
      <c r="AS556" t="str">
        <v>24"</v>
      </c>
      <c r="AT556">
        <v>348</v>
      </c>
      <c r="AU556" t="str">
        <v>3"</v>
      </c>
      <c r="AV556">
        <v>7</v>
      </c>
      <c r="AW556" t="str">
        <v>5 lg</v>
      </c>
      <c r="AY556">
        <v>1</v>
      </c>
      <c r="AZ556" t="str">
        <v>PRT</v>
      </c>
    </row>
    <row r="557">
      <c r="AL557" t="str">
        <v>003553-002</v>
      </c>
      <c r="AM557" t="str">
        <v>Top Sub</v>
      </c>
      <c r="AN557">
        <v>8.625</v>
      </c>
      <c r="AO557">
        <v>8.625</v>
      </c>
      <c r="AP557" t="str">
        <v>6 5/8 API</v>
      </c>
      <c r="AQ557" t="str">
        <v>6 RH</v>
      </c>
      <c r="AS557" t="str">
        <v>36"</v>
      </c>
      <c r="AT557">
        <v>517</v>
      </c>
      <c r="AU557" t="str">
        <v>3"</v>
      </c>
      <c r="AV557">
        <v>7</v>
      </c>
      <c r="AW557">
        <v>5</v>
      </c>
      <c r="AY557">
        <v>1</v>
      </c>
      <c r="AZ557" t="str">
        <v>DRL</v>
      </c>
    </row>
    <row r="558">
      <c r="AL558" t="str">
        <v>014847-001</v>
      </c>
      <c r="AM558" t="str">
        <v>Top Sub</v>
      </c>
      <c r="AN558">
        <v>8.625</v>
      </c>
      <c r="AO558">
        <v>8.625</v>
      </c>
      <c r="AP558" t="str">
        <v>6 5/8 API</v>
      </c>
      <c r="AQ558" t="str">
        <v>6 RH</v>
      </c>
      <c r="AS558" t="str">
        <v>42"</v>
      </c>
      <c r="AT558">
        <v>603</v>
      </c>
      <c r="AU558" t="str">
        <v>3"</v>
      </c>
      <c r="AV558">
        <v>7</v>
      </c>
      <c r="AW558" t="str">
        <v>6 lg</v>
      </c>
      <c r="AX558" t="str">
        <v>C90KD</v>
      </c>
      <c r="AY558">
        <v>1</v>
      </c>
      <c r="AZ558" t="str">
        <v>PRT</v>
      </c>
    </row>
    <row r="559">
      <c r="AL559" t="str">
        <v>010264-004</v>
      </c>
      <c r="AM559" t="str">
        <v>Top Sub</v>
      </c>
      <c r="AN559">
        <v>8.625</v>
      </c>
      <c r="AO559">
        <v>8.625</v>
      </c>
      <c r="AP559" t="str">
        <v>5½ API</v>
      </c>
      <c r="AQ559" t="str">
        <v>6 RH</v>
      </c>
      <c r="AS559" t="str">
        <v>9"</v>
      </c>
      <c r="AT559">
        <v>75</v>
      </c>
      <c r="AU559" t="str">
        <v>3"</v>
      </c>
      <c r="AY559">
        <v>1</v>
      </c>
      <c r="AZ559" t="str">
        <v>PRT</v>
      </c>
    </row>
    <row r="560">
      <c r="AL560" t="str">
        <v>010264-003</v>
      </c>
      <c r="AM560" t="str">
        <v>Top Sub</v>
      </c>
      <c r="AN560">
        <v>9</v>
      </c>
      <c r="AO560">
        <v>9</v>
      </c>
      <c r="AP560" t="str">
        <v>5½ API</v>
      </c>
      <c r="AQ560" t="str">
        <v>6 RH</v>
      </c>
      <c r="AS560" t="str">
        <v>24"</v>
      </c>
      <c r="AT560">
        <v>463</v>
      </c>
      <c r="AU560" t="str">
        <v>3"</v>
      </c>
      <c r="AV560">
        <v>7</v>
      </c>
      <c r="AW560" t="str">
        <v>5 lg</v>
      </c>
      <c r="AY560">
        <v>1</v>
      </c>
      <c r="AZ560" t="str">
        <v>NCR</v>
      </c>
    </row>
    <row r="561">
      <c r="AL561" t="str">
        <v>014848-002</v>
      </c>
      <c r="AM561" t="str">
        <v>Top Sub</v>
      </c>
      <c r="AN561">
        <v>9.625</v>
      </c>
      <c r="AO561">
        <v>9.625</v>
      </c>
      <c r="AP561" t="str">
        <v>6 RH</v>
      </c>
      <c r="AQ561" t="str">
        <v>6 RH</v>
      </c>
      <c r="AS561">
        <v>13</v>
      </c>
      <c r="AT561">
        <v>270</v>
      </c>
      <c r="AU561" t="str">
        <v>3"</v>
      </c>
      <c r="AV561">
        <v>7</v>
      </c>
      <c r="AW561" t="str">
        <v>2 lg</v>
      </c>
      <c r="AX561" t="str">
        <v xml:space="preserve">C90K </v>
      </c>
      <c r="AY561">
        <v>1</v>
      </c>
      <c r="AZ561" t="str">
        <v>PRT</v>
      </c>
    </row>
    <row r="562">
      <c r="AL562" t="str">
        <v>010264-002</v>
      </c>
      <c r="AM562" t="str">
        <v>Top Sub</v>
      </c>
      <c r="AN562">
        <v>9.625</v>
      </c>
      <c r="AO562">
        <v>9.625</v>
      </c>
      <c r="AP562" t="str">
        <v>5½ API</v>
      </c>
      <c r="AQ562" t="str">
        <v>6 RH</v>
      </c>
      <c r="AS562" t="str">
        <v>24"</v>
      </c>
      <c r="AT562">
        <v>477</v>
      </c>
      <c r="AU562" t="str">
        <v>3"</v>
      </c>
      <c r="AV562">
        <v>7</v>
      </c>
      <c r="AW562" t="str">
        <v>5 lg</v>
      </c>
      <c r="AY562">
        <v>1</v>
      </c>
      <c r="AZ562" t="str">
        <v>PRT</v>
      </c>
    </row>
    <row r="563">
      <c r="AL563" t="str">
        <v>014848-001</v>
      </c>
      <c r="AM563" t="str">
        <v>Top Sub</v>
      </c>
      <c r="AN563">
        <v>9.625</v>
      </c>
      <c r="AO563">
        <v>9.625</v>
      </c>
      <c r="AP563" t="str">
        <v>6 5/8 API</v>
      </c>
      <c r="AQ563" t="str">
        <v>6 RH</v>
      </c>
      <c r="AS563" t="str">
        <v>42"</v>
      </c>
      <c r="AT563">
        <v>835</v>
      </c>
      <c r="AU563" t="str">
        <v>3"</v>
      </c>
      <c r="AV563">
        <v>7</v>
      </c>
      <c r="AW563" t="str">
        <v>6 lg</v>
      </c>
      <c r="AX563" t="str">
        <v>C90KD</v>
      </c>
      <c r="AY563">
        <v>1</v>
      </c>
      <c r="AZ563" t="str">
        <v>PRT</v>
      </c>
    </row>
    <row r="564">
      <c r="AL564" t="str">
        <v>017659-001</v>
      </c>
      <c r="AM564" t="str">
        <v>Top Sub</v>
      </c>
      <c r="AN564">
        <v>9.625</v>
      </c>
      <c r="AO564">
        <v>9.625</v>
      </c>
      <c r="AP564" t="str">
        <v>6 5/8 API</v>
      </c>
      <c r="AQ564" t="str">
        <v>7 Beco</v>
      </c>
      <c r="AS564" t="str">
        <v>42"</v>
      </c>
      <c r="AT564">
        <v>830</v>
      </c>
      <c r="AU564" t="str">
        <v>2 7/8"</v>
      </c>
      <c r="AV564">
        <v>7</v>
      </c>
      <c r="AW564">
        <v>6</v>
      </c>
      <c r="AX564" t="str">
        <v>C90KD</v>
      </c>
      <c r="AY564">
        <v>1</v>
      </c>
      <c r="AZ564" t="str">
        <v>DRL</v>
      </c>
    </row>
    <row r="565">
      <c r="AL565" t="str">
        <v>014849-001</v>
      </c>
      <c r="AM565" t="str">
        <v>Top Sub</v>
      </c>
      <c r="AN565">
        <v>10</v>
      </c>
      <c r="AO565">
        <v>10</v>
      </c>
      <c r="AP565" t="str">
        <v>6 5/8 API</v>
      </c>
      <c r="AQ565" t="str">
        <v>6 RH</v>
      </c>
      <c r="AS565" t="str">
        <v>42"</v>
      </c>
      <c r="AT565">
        <v>850</v>
      </c>
      <c r="AU565" t="str">
        <v>3"</v>
      </c>
      <c r="AV565">
        <v>8</v>
      </c>
      <c r="AW565" t="str">
        <v>6 lg</v>
      </c>
      <c r="AX565" t="str">
        <v>C90KD</v>
      </c>
      <c r="AY565">
        <v>1</v>
      </c>
      <c r="AZ565" t="str">
        <v>PRT</v>
      </c>
    </row>
    <row r="566">
      <c r="AL566" t="str">
        <v>004798-002</v>
      </c>
      <c r="AM566" t="str">
        <v>Top Sub</v>
      </c>
      <c r="AN566">
        <v>10.75</v>
      </c>
      <c r="AO566">
        <v>10.75</v>
      </c>
      <c r="AP566" t="str">
        <v>6 5/8 API</v>
      </c>
      <c r="AQ566" t="str">
        <v>8 RH</v>
      </c>
      <c r="AS566" t="str">
        <v>26"</v>
      </c>
      <c r="AT566">
        <v>608</v>
      </c>
      <c r="AU566" t="str">
        <v>3½"</v>
      </c>
      <c r="AV566">
        <v>8</v>
      </c>
      <c r="AW566">
        <v>6</v>
      </c>
      <c r="AY566">
        <v>1</v>
      </c>
      <c r="AZ566" t="str">
        <v>DRL</v>
      </c>
    </row>
    <row r="567">
      <c r="AL567" t="str">
        <v>004798-001</v>
      </c>
      <c r="AM567" t="str">
        <v>Top Sub</v>
      </c>
      <c r="AN567">
        <v>10.75</v>
      </c>
      <c r="AO567">
        <v>10.75</v>
      </c>
      <c r="AP567" t="str">
        <v>6 5/8 API</v>
      </c>
      <c r="AQ567" t="str">
        <v>8 RH</v>
      </c>
      <c r="AS567" t="str">
        <v>36"</v>
      </c>
      <c r="AT567">
        <v>830</v>
      </c>
      <c r="AU567" t="str">
        <v>3½"</v>
      </c>
      <c r="AV567">
        <v>8</v>
      </c>
      <c r="AW567">
        <v>6</v>
      </c>
      <c r="AY567">
        <v>1</v>
      </c>
      <c r="AZ567" t="str">
        <v>DRL</v>
      </c>
    </row>
    <row r="568">
      <c r="AL568" t="str">
        <v>014850-002</v>
      </c>
      <c r="AM568" t="str">
        <v>Top Sub</v>
      </c>
      <c r="AN568">
        <v>10.75</v>
      </c>
      <c r="AO568">
        <v>10.75</v>
      </c>
      <c r="AP568" t="str">
        <v>8 RH</v>
      </c>
      <c r="AQ568" t="str">
        <v>8 RH</v>
      </c>
      <c r="AS568" t="str">
        <v>36"</v>
      </c>
      <c r="AT568">
        <v>829</v>
      </c>
      <c r="AU568" t="str">
        <v>3½"</v>
      </c>
      <c r="AV568">
        <v>7</v>
      </c>
      <c r="AW568" t="str">
        <v>2 lg</v>
      </c>
      <c r="AX568" t="str">
        <v>C90K</v>
      </c>
      <c r="AY568">
        <v>1</v>
      </c>
      <c r="AZ568" t="str">
        <v>PRT</v>
      </c>
    </row>
    <row r="569">
      <c r="AL569" t="str">
        <v>014850-001</v>
      </c>
      <c r="AM569" t="str">
        <v>Top Sub</v>
      </c>
      <c r="AN569">
        <v>10.75</v>
      </c>
      <c r="AO569">
        <v>10.75</v>
      </c>
      <c r="AP569" t="str">
        <v>6 5/8 API</v>
      </c>
      <c r="AQ569" t="str">
        <v>8 RH</v>
      </c>
      <c r="AS569" t="str">
        <v>42"</v>
      </c>
      <c r="AT569">
        <v>968</v>
      </c>
      <c r="AU569" t="str">
        <v>3"</v>
      </c>
      <c r="AV569">
        <v>8</v>
      </c>
      <c r="AW569" t="str">
        <v>6 lg</v>
      </c>
      <c r="AX569" t="str">
        <v>C90KD</v>
      </c>
      <c r="AY569">
        <v>1</v>
      </c>
      <c r="AZ569" t="str">
        <v>PRT</v>
      </c>
    </row>
    <row r="570">
      <c r="AL570" t="str">
        <v>017071-001</v>
      </c>
      <c r="AM570" t="str">
        <v>Top Sub</v>
      </c>
      <c r="AN570" t="str">
        <v>10¼</v>
      </c>
      <c r="AO570" t="str">
        <v>10¼</v>
      </c>
      <c r="AP570" t="str">
        <v>6 5/8 API</v>
      </c>
      <c r="AQ570" t="str">
        <v>8 RH Pin</v>
      </c>
      <c r="AS570" t="str">
        <v>42"</v>
      </c>
      <c r="AT570">
        <v>1015</v>
      </c>
      <c r="AU570" t="str">
        <v>3"</v>
      </c>
      <c r="AV570">
        <v>8</v>
      </c>
      <c r="AW570">
        <v>6</v>
      </c>
      <c r="AX570" t="str">
        <v>C90SP</v>
      </c>
      <c r="AY570">
        <v>1</v>
      </c>
      <c r="AZ570" t="str">
        <v>PRT</v>
      </c>
    </row>
    <row r="571">
      <c r="AL571" t="str">
        <v>021152-001</v>
      </c>
      <c r="AM571" t="str">
        <v>Top Sub</v>
      </c>
      <c r="AN571" t="str">
        <v>12¼</v>
      </c>
      <c r="AP571" t="str">
        <v>6 5/8 API</v>
      </c>
      <c r="AQ571" t="str">
        <v>8 RH</v>
      </c>
      <c r="AS571" t="str">
        <v>42"</v>
      </c>
      <c r="AT571">
        <v>860</v>
      </c>
      <c r="AU571" t="str">
        <v>3"</v>
      </c>
      <c r="AV571">
        <v>9</v>
      </c>
      <c r="AW571" t="str">
        <v>6 lg</v>
      </c>
      <c r="AX571" t="str">
        <v>D90K</v>
      </c>
      <c r="AY571">
        <v>1</v>
      </c>
      <c r="AZ571" t="str">
        <v>PRT</v>
      </c>
    </row>
    <row r="572">
      <c r="AL572" t="str">
        <v>013852-001</v>
      </c>
      <c r="AM572" t="str">
        <v>Top Sub</v>
      </c>
      <c r="AN572" t="str">
        <v>3½</v>
      </c>
      <c r="AO572" t="str">
        <v>4½</v>
      </c>
      <c r="AP572" t="str">
        <v>3½ API</v>
      </c>
      <c r="AQ572" t="str">
        <v>4½ API</v>
      </c>
      <c r="AS572" t="str">
        <v>16"</v>
      </c>
      <c r="AT572">
        <v>92</v>
      </c>
      <c r="AU572" t="str">
        <v>1 3/4"</v>
      </c>
      <c r="AV572">
        <v>4</v>
      </c>
      <c r="AW572">
        <v>2</v>
      </c>
      <c r="AY572">
        <v>1</v>
      </c>
      <c r="AZ572" t="str">
        <v>DRL</v>
      </c>
    </row>
    <row r="573">
      <c r="AL573" t="str">
        <v>001889-001</v>
      </c>
      <c r="AM573" t="str">
        <v>Top Sub</v>
      </c>
      <c r="AN573" t="str">
        <v>4¼</v>
      </c>
      <c r="AO573">
        <v>3</v>
      </c>
      <c r="AP573" t="str">
        <v>3½ API</v>
      </c>
      <c r="AQ573" t="str">
        <v>2 3/8 API</v>
      </c>
      <c r="AS573" t="str">
        <v>9"</v>
      </c>
      <c r="AT573">
        <v>24</v>
      </c>
      <c r="AU573" t="str">
        <v>1"</v>
      </c>
      <c r="AY573">
        <v>1</v>
      </c>
      <c r="AZ573" t="str">
        <v>DRL</v>
      </c>
    </row>
    <row r="574">
      <c r="AL574" t="str">
        <v>004685-002</v>
      </c>
      <c r="AM574" t="str">
        <v>Top Sub</v>
      </c>
      <c r="AN574" t="str">
        <v>4¼</v>
      </c>
      <c r="AO574" t="str">
        <v>3½</v>
      </c>
      <c r="AP574" t="str">
        <v>3½ API</v>
      </c>
      <c r="AQ574" t="str">
        <v>2 3/8 IF</v>
      </c>
      <c r="AS574" t="str">
        <v>16"</v>
      </c>
      <c r="AT574">
        <v>48</v>
      </c>
      <c r="AU574" t="str">
        <v>1 3/4"</v>
      </c>
      <c r="AX574" t="str">
        <v>USE 024173-001</v>
      </c>
      <c r="AY574">
        <v>1</v>
      </c>
      <c r="AZ574" t="str">
        <v>PRT</v>
      </c>
    </row>
    <row r="575">
      <c r="AL575" t="str">
        <v>004685-001</v>
      </c>
      <c r="AM575" t="str">
        <v>Top Sub</v>
      </c>
      <c r="AN575" t="str">
        <v>4¼</v>
      </c>
      <c r="AO575" t="str">
        <v>3½</v>
      </c>
      <c r="AP575" t="str">
        <v>3½ API</v>
      </c>
      <c r="AQ575" t="str">
        <v>2 3/8 IF</v>
      </c>
      <c r="AS575" t="str">
        <v>9"</v>
      </c>
      <c r="AT575">
        <v>24</v>
      </c>
      <c r="AU575" t="str">
        <v>1 3/4"</v>
      </c>
      <c r="AY575">
        <v>1</v>
      </c>
      <c r="AZ575" t="str">
        <v>DRL</v>
      </c>
    </row>
    <row r="576">
      <c r="AL576" t="str">
        <v>002310-001</v>
      </c>
      <c r="AM576" t="str">
        <v>Top Sub</v>
      </c>
      <c r="AN576" t="str">
        <v>4¼</v>
      </c>
      <c r="AO576" t="str">
        <v>4¼</v>
      </c>
      <c r="AP576" t="str">
        <v>3½ API</v>
      </c>
      <c r="AQ576" t="str">
        <v>3 RH</v>
      </c>
      <c r="AS576" t="str">
        <v>18"</v>
      </c>
      <c r="AT576">
        <v>63</v>
      </c>
      <c r="AU576" t="str">
        <v>1½"</v>
      </c>
      <c r="AV576">
        <v>3</v>
      </c>
      <c r="AW576">
        <v>2</v>
      </c>
      <c r="AY576">
        <v>1</v>
      </c>
      <c r="AZ576" t="str">
        <v>DRL</v>
      </c>
    </row>
    <row r="577">
      <c r="AL577" t="str">
        <v>001839-001</v>
      </c>
      <c r="AM577" t="str">
        <v>Top Sub</v>
      </c>
      <c r="AN577" t="str">
        <v>4¼</v>
      </c>
      <c r="AO577" t="str">
        <v>4¼</v>
      </c>
      <c r="AP577" t="str">
        <v>3½ API Pin</v>
      </c>
      <c r="AQ577" t="str">
        <v>3 RH Box</v>
      </c>
      <c r="AS577" t="str">
        <v>9"</v>
      </c>
      <c r="AT577">
        <v>38</v>
      </c>
      <c r="AU577" t="str">
        <v>1½"</v>
      </c>
      <c r="AY577">
        <v>1</v>
      </c>
      <c r="AZ577" t="str">
        <v>DRL</v>
      </c>
    </row>
    <row r="578">
      <c r="AL578" t="str">
        <v>023466-001</v>
      </c>
      <c r="AM578" t="str">
        <v>Top Sub</v>
      </c>
      <c r="AN578" t="str">
        <v>4½</v>
      </c>
      <c r="AO578">
        <v>3</v>
      </c>
      <c r="AP578" t="str">
        <v>2 7/8 API</v>
      </c>
      <c r="AQ578" t="str">
        <v>2 3/8 MJR</v>
      </c>
      <c r="AR578" t="str">
        <v>5/8</v>
      </c>
      <c r="AS578" t="str">
        <v>10 3/4"</v>
      </c>
      <c r="AT578">
        <v>29</v>
      </c>
      <c r="AU578">
        <v>1.75</v>
      </c>
      <c r="AV578" t="str">
        <v>2¼</v>
      </c>
      <c r="AX578" t="str">
        <v>Gator, w/shock sub</v>
      </c>
    </row>
    <row r="579">
      <c r="AL579" t="str">
        <v>022062-001</v>
      </c>
      <c r="AM579" t="str">
        <v>Top Sub</v>
      </c>
      <c r="AN579" t="str">
        <v>4½</v>
      </c>
      <c r="AO579">
        <v>3</v>
      </c>
      <c r="AP579" t="str">
        <v>3½ API</v>
      </c>
      <c r="AQ579" t="str">
        <v>2 3/8 MJR</v>
      </c>
      <c r="AS579" t="str">
        <v>9"</v>
      </c>
      <c r="AT579">
        <v>40</v>
      </c>
      <c r="AU579" t="str">
        <v>1½"</v>
      </c>
      <c r="AY579">
        <v>1</v>
      </c>
      <c r="AZ579" t="str">
        <v>PRT</v>
      </c>
    </row>
    <row r="580">
      <c r="AL580" t="str">
        <v>023466-002</v>
      </c>
      <c r="AM580" t="str">
        <v>Top Sub</v>
      </c>
      <c r="AN580" t="str">
        <v>4½</v>
      </c>
      <c r="AO580">
        <v>4</v>
      </c>
      <c r="AP580" t="str">
        <v>2 7/8 API</v>
      </c>
      <c r="AQ580" t="str">
        <v>2 7/8 API</v>
      </c>
      <c r="AR580" t="str">
        <v>1 3/8"</v>
      </c>
      <c r="AS580" t="str">
        <v>10 3/4"</v>
      </c>
      <c r="AT580">
        <v>37</v>
      </c>
      <c r="AU580" t="str">
        <v>1¼</v>
      </c>
      <c r="AV580">
        <v>2.75</v>
      </c>
      <c r="AX580" t="str">
        <v>Gator, w/shock sub</v>
      </c>
    </row>
    <row r="581">
      <c r="AL581" t="str">
        <v>023466-003</v>
      </c>
      <c r="AM581" t="str">
        <v>Top Sub</v>
      </c>
      <c r="AN581" t="str">
        <v>4½</v>
      </c>
      <c r="AO581">
        <v>4</v>
      </c>
      <c r="AP581" t="str">
        <v>2 7/8 API</v>
      </c>
      <c r="AQ581" t="str">
        <v>2 7/8 API</v>
      </c>
      <c r="AR581" t="str">
        <v>1 1/4"</v>
      </c>
      <c r="AS581" t="str">
        <v>10 3/4"</v>
      </c>
      <c r="AT581">
        <v>33</v>
      </c>
      <c r="AU581">
        <v>1.75</v>
      </c>
      <c r="AV581">
        <v>2.75</v>
      </c>
      <c r="AX581" t="str">
        <v>Gator, w/shock sub</v>
      </c>
    </row>
    <row r="582">
      <c r="AL582" t="str">
        <v>008944-001</v>
      </c>
      <c r="AM582" t="str">
        <v>Top Sub</v>
      </c>
      <c r="AN582" t="str">
        <v>4½</v>
      </c>
      <c r="AO582">
        <v>4</v>
      </c>
      <c r="AP582" t="str">
        <v>3½ API</v>
      </c>
      <c r="AQ582" t="str">
        <v>2 3/8 IF</v>
      </c>
      <c r="AS582" t="str">
        <v>16"</v>
      </c>
      <c r="AT582">
        <v>35</v>
      </c>
      <c r="AU582" t="str">
        <v>1 3/4"</v>
      </c>
      <c r="AY582">
        <v>1</v>
      </c>
      <c r="AZ582" t="str">
        <v>DRL</v>
      </c>
    </row>
    <row r="583">
      <c r="AL583" t="str">
        <v>012153-001</v>
      </c>
      <c r="AM583" t="str">
        <v>Top Sub</v>
      </c>
      <c r="AN583" t="str">
        <v>4½</v>
      </c>
      <c r="AO583">
        <v>4</v>
      </c>
      <c r="AP583" t="str">
        <v>2 7/8 API</v>
      </c>
      <c r="AQ583" t="str">
        <v>2 7/8 API</v>
      </c>
      <c r="AS583" t="str">
        <v>16"</v>
      </c>
      <c r="AT583">
        <v>63</v>
      </c>
      <c r="AU583" t="str">
        <v>1½"</v>
      </c>
      <c r="AX583" t="str">
        <v>C25</v>
      </c>
      <c r="AY583">
        <v>1</v>
      </c>
      <c r="AZ583" t="str">
        <v>PRT</v>
      </c>
    </row>
    <row r="584">
      <c r="AL584" t="str">
        <v>001277-006</v>
      </c>
      <c r="AM584" t="str">
        <v>Top Sub</v>
      </c>
      <c r="AN584" t="str">
        <v>4½</v>
      </c>
      <c r="AO584">
        <v>6</v>
      </c>
      <c r="AP584" t="str">
        <v>3½ API</v>
      </c>
      <c r="AQ584" t="str">
        <v>4½ RH</v>
      </c>
      <c r="AS584" t="str">
        <v>9"</v>
      </c>
      <c r="AT584">
        <v>55</v>
      </c>
      <c r="AU584" t="str">
        <v>1½"</v>
      </c>
      <c r="AY584">
        <v>1</v>
      </c>
      <c r="AZ584" t="str">
        <v>NCR</v>
      </c>
    </row>
    <row r="585">
      <c r="AL585" t="str">
        <v>001277-005</v>
      </c>
      <c r="AM585" t="str">
        <v>Top Sub</v>
      </c>
      <c r="AN585" t="str">
        <v>4½</v>
      </c>
      <c r="AO585">
        <v>7</v>
      </c>
      <c r="AP585" t="str">
        <v>3½ API</v>
      </c>
      <c r="AQ585" t="str">
        <v>3½ RH</v>
      </c>
      <c r="AS585" t="str">
        <v>9"</v>
      </c>
      <c r="AT585">
        <v>55</v>
      </c>
      <c r="AU585" t="str">
        <v>1½"</v>
      </c>
      <c r="AY585">
        <v>1</v>
      </c>
      <c r="AZ585" t="str">
        <v>DRL</v>
      </c>
    </row>
    <row r="586">
      <c r="AL586" t="str">
        <v>004918-002</v>
      </c>
      <c r="AM586" t="str">
        <v>Top Sub</v>
      </c>
      <c r="AN586" t="str">
        <v>4½</v>
      </c>
      <c r="AO586">
        <v>7.625</v>
      </c>
      <c r="AP586" t="str">
        <v>3½ API</v>
      </c>
      <c r="AQ586" t="str">
        <v>6 RH</v>
      </c>
      <c r="AS586" t="str">
        <v>12"</v>
      </c>
      <c r="AT586">
        <v>125</v>
      </c>
      <c r="AU586" t="str">
        <v>1 5/8"</v>
      </c>
      <c r="AY586">
        <v>1</v>
      </c>
      <c r="AZ586" t="str">
        <v>DRL</v>
      </c>
    </row>
    <row r="587">
      <c r="AL587" t="str">
        <v>004918-003</v>
      </c>
      <c r="AM587" t="str">
        <v>Top Sub</v>
      </c>
      <c r="AN587" t="str">
        <v>4½</v>
      </c>
      <c r="AO587">
        <v>7.625</v>
      </c>
      <c r="AP587" t="str">
        <v>3½ API</v>
      </c>
      <c r="AQ587" t="str">
        <v>5¼ RH</v>
      </c>
      <c r="AS587" t="str">
        <v>12"</v>
      </c>
      <c r="AT587">
        <v>125</v>
      </c>
      <c r="AU587" t="str">
        <v>1 5/8"</v>
      </c>
      <c r="AY587">
        <v>1</v>
      </c>
      <c r="AZ587" t="str">
        <v>DRL</v>
      </c>
    </row>
    <row r="588">
      <c r="AL588" t="str">
        <v>007145-001</v>
      </c>
      <c r="AM588" t="str">
        <v>Top Sub</v>
      </c>
      <c r="AN588" t="str">
        <v>4½</v>
      </c>
      <c r="AO588">
        <v>7.625</v>
      </c>
      <c r="AP588" t="str">
        <v>3½ API</v>
      </c>
      <c r="AQ588" t="str">
        <v>6RH</v>
      </c>
      <c r="AS588" t="str">
        <v>9"</v>
      </c>
      <c r="AT588">
        <v>50</v>
      </c>
      <c r="AU588" t="str">
        <v>1 5/8"</v>
      </c>
      <c r="AX588" t="str">
        <v>Spec. Cerreion</v>
      </c>
      <c r="AY588">
        <v>1</v>
      </c>
      <c r="AZ588" t="str">
        <v>DRL</v>
      </c>
    </row>
    <row r="589">
      <c r="AL589" t="str">
        <v>003652-001</v>
      </c>
      <c r="AM589" t="str">
        <v>Top Sub</v>
      </c>
      <c r="AN589" t="str">
        <v>4½</v>
      </c>
      <c r="AO589">
        <v>7.75</v>
      </c>
      <c r="AP589" t="str">
        <v>3½ API</v>
      </c>
      <c r="AQ589" t="str">
        <v>6 5/8 API</v>
      </c>
      <c r="AS589" t="str">
        <v>11"</v>
      </c>
      <c r="AT589">
        <v>58</v>
      </c>
      <c r="AU589" t="str">
        <v>1½"</v>
      </c>
      <c r="AV589">
        <v>3</v>
      </c>
      <c r="AW589" t="str">
        <v>1½</v>
      </c>
      <c r="AY589">
        <v>1</v>
      </c>
      <c r="AZ589" t="str">
        <v>DRL</v>
      </c>
    </row>
    <row r="590">
      <c r="AL590" t="str">
        <v>004918-001</v>
      </c>
      <c r="AM590" t="str">
        <v>Top Sub</v>
      </c>
      <c r="AN590" t="str">
        <v>4½</v>
      </c>
      <c r="AO590">
        <v>8.625</v>
      </c>
      <c r="AP590" t="str">
        <v>3½ API</v>
      </c>
      <c r="AQ590" t="str">
        <v>6 RH</v>
      </c>
      <c r="AS590" t="str">
        <v>12"</v>
      </c>
      <c r="AT590">
        <v>125</v>
      </c>
      <c r="AU590" t="str">
        <v>1 5/8"</v>
      </c>
      <c r="AY590">
        <v>1</v>
      </c>
      <c r="AZ590" t="str">
        <v>DRL</v>
      </c>
    </row>
    <row r="591">
      <c r="AL591" t="str">
        <v>007145-002</v>
      </c>
      <c r="AM591" t="str">
        <v>Top Sub</v>
      </c>
      <c r="AN591" t="str">
        <v>4½</v>
      </c>
      <c r="AO591">
        <v>8.625</v>
      </c>
      <c r="AP591" t="str">
        <v>3½ API</v>
      </c>
      <c r="AQ591" t="str">
        <v>6 RH</v>
      </c>
      <c r="AS591" t="str">
        <v>9"</v>
      </c>
      <c r="AT591">
        <v>79</v>
      </c>
      <c r="AU591" t="str">
        <v>1 5/8"</v>
      </c>
      <c r="AY591">
        <v>1</v>
      </c>
      <c r="AZ591" t="str">
        <v>DRL</v>
      </c>
    </row>
    <row r="592">
      <c r="AL592" t="str">
        <v>004685-003</v>
      </c>
      <c r="AM592" t="str">
        <v>Top Sub</v>
      </c>
      <c r="AN592" t="str">
        <v>4½</v>
      </c>
      <c r="AO592" t="str">
        <v>3½</v>
      </c>
      <c r="AP592" t="str">
        <v>3½ API</v>
      </c>
      <c r="AQ592" t="str">
        <v>2 3/8 IF</v>
      </c>
      <c r="AS592" t="str">
        <v>6"</v>
      </c>
      <c r="AT592">
        <v>24</v>
      </c>
      <c r="AU592" t="str">
        <v>1 3/4"</v>
      </c>
      <c r="AY592">
        <v>1</v>
      </c>
      <c r="AZ592" t="str">
        <v>DRL</v>
      </c>
    </row>
    <row r="593">
      <c r="AL593" t="str">
        <v>019626-001</v>
      </c>
      <c r="AM593" t="str">
        <v>Top Sub</v>
      </c>
      <c r="AN593" t="str">
        <v>4½</v>
      </c>
      <c r="AO593" t="str">
        <v>3½</v>
      </c>
      <c r="AP593" t="str">
        <v>3½ API</v>
      </c>
      <c r="AQ593" t="str">
        <v>2 7/8 API</v>
      </c>
      <c r="AS593" t="str">
        <v>9"</v>
      </c>
      <c r="AT593">
        <v>30</v>
      </c>
      <c r="AU593" t="str">
        <v>1 3/4"</v>
      </c>
      <c r="AY593">
        <v>1</v>
      </c>
      <c r="AZ593" t="str">
        <v>PRT</v>
      </c>
    </row>
    <row r="594">
      <c r="AL594" t="str">
        <v>023466-004</v>
      </c>
      <c r="AM594" t="str">
        <v>Top Sub</v>
      </c>
      <c r="AN594" t="str">
        <v>4½</v>
      </c>
      <c r="AO594" t="str">
        <v>4½</v>
      </c>
      <c r="AP594" t="str">
        <v>2 7/8 API</v>
      </c>
      <c r="AQ594" t="str">
        <v>3½ API</v>
      </c>
      <c r="AR594" t="str">
        <v>1 3/8"</v>
      </c>
      <c r="AS594" t="str">
        <v>10 3/4"</v>
      </c>
      <c r="AT594">
        <v>38</v>
      </c>
      <c r="AU594">
        <v>1.75</v>
      </c>
      <c r="AV594">
        <v>3</v>
      </c>
      <c r="AX594" t="str">
        <v>Gator, w/shock sub</v>
      </c>
    </row>
    <row r="595">
      <c r="AL595" t="str">
        <v>001628-003</v>
      </c>
      <c r="AM595" t="str">
        <v>Top Sub</v>
      </c>
      <c r="AN595" t="str">
        <v>4½</v>
      </c>
      <c r="AO595" t="str">
        <v>4½</v>
      </c>
      <c r="AP595" t="str">
        <v>3½ API</v>
      </c>
      <c r="AQ595" t="str">
        <v>3½ API</v>
      </c>
      <c r="AS595" t="str">
        <v>14"</v>
      </c>
      <c r="AT595">
        <v>65</v>
      </c>
      <c r="AU595" t="str">
        <v>1 3/4"</v>
      </c>
      <c r="AY595">
        <v>1</v>
      </c>
      <c r="AZ595" t="str">
        <v>DRL</v>
      </c>
    </row>
    <row r="596">
      <c r="AL596" t="str">
        <v>002686-002</v>
      </c>
      <c r="AM596" t="str">
        <v>Top Sub</v>
      </c>
      <c r="AN596" t="str">
        <v>4½</v>
      </c>
      <c r="AO596" t="str">
        <v>4½</v>
      </c>
      <c r="AP596" t="str">
        <v>3½ API</v>
      </c>
      <c r="AQ596" t="str">
        <v>2 7/8 IF</v>
      </c>
      <c r="AS596" t="str">
        <v>14"</v>
      </c>
      <c r="AT596">
        <v>39</v>
      </c>
      <c r="AU596" t="str">
        <v>1 3/4" - 2"</v>
      </c>
      <c r="AV596">
        <v>3</v>
      </c>
      <c r="AW596">
        <v>2</v>
      </c>
      <c r="AY596">
        <v>1</v>
      </c>
      <c r="AZ596" t="str">
        <v>PRT</v>
      </c>
    </row>
    <row r="597">
      <c r="AL597" t="str">
        <v>023173-001</v>
      </c>
      <c r="AM597" t="str">
        <v>Top Sub</v>
      </c>
      <c r="AN597" t="str">
        <v>4½</v>
      </c>
      <c r="AO597" t="str">
        <v>4½</v>
      </c>
      <c r="AP597" t="str">
        <v>3½ API</v>
      </c>
      <c r="AQ597" t="str">
        <v>3½ DIBH</v>
      </c>
      <c r="AS597" t="str">
        <v>14"</v>
      </c>
      <c r="AT597">
        <v>52</v>
      </c>
      <c r="AU597" t="str">
        <v>1 3/4"</v>
      </c>
      <c r="AV597">
        <v>3</v>
      </c>
      <c r="AW597" t="str">
        <v>4 lg</v>
      </c>
      <c r="AY597">
        <v>1</v>
      </c>
      <c r="AZ597" t="str">
        <v>PRT</v>
      </c>
    </row>
    <row r="598">
      <c r="AL598" t="str">
        <v>001628-002</v>
      </c>
      <c r="AM598" t="str">
        <v>Top Sub</v>
      </c>
      <c r="AN598" t="str">
        <v>4½</v>
      </c>
      <c r="AO598" t="str">
        <v>4½</v>
      </c>
      <c r="AP598" t="str">
        <v>3½ API</v>
      </c>
      <c r="AQ598" t="str">
        <v>3½ API</v>
      </c>
      <c r="AS598" t="str">
        <v>16"</v>
      </c>
      <c r="AT598">
        <v>65</v>
      </c>
      <c r="AU598" t="str">
        <v>1 3/4"</v>
      </c>
      <c r="AY598">
        <v>1</v>
      </c>
      <c r="AZ598" t="str">
        <v>DRL</v>
      </c>
    </row>
    <row r="599">
      <c r="AL599" t="str">
        <v>002686-001</v>
      </c>
      <c r="AM599" t="str">
        <v>Top Sub</v>
      </c>
      <c r="AN599" t="str">
        <v>4½</v>
      </c>
      <c r="AO599" t="str">
        <v>4½</v>
      </c>
      <c r="AP599" t="str">
        <v>3½ API</v>
      </c>
      <c r="AQ599" t="str">
        <v>2 7/8 IF</v>
      </c>
      <c r="AS599" t="str">
        <v>16"</v>
      </c>
      <c r="AT599">
        <v>65</v>
      </c>
      <c r="AU599" t="str">
        <v>1 3/4"</v>
      </c>
      <c r="AY599">
        <v>1</v>
      </c>
      <c r="AZ599" t="str">
        <v>DRL</v>
      </c>
    </row>
    <row r="600">
      <c r="AL600" t="str">
        <v>002735-001</v>
      </c>
      <c r="AM600" t="str">
        <v>Top Sub</v>
      </c>
      <c r="AN600" t="str">
        <v>4½</v>
      </c>
      <c r="AO600" t="str">
        <v>4½</v>
      </c>
      <c r="AP600" t="str">
        <v>3½ API</v>
      </c>
      <c r="AQ600" t="str">
        <v>2 3/8 IF</v>
      </c>
      <c r="AS600" t="str">
        <v>16"</v>
      </c>
      <c r="AT600">
        <v>65</v>
      </c>
      <c r="AU600" t="str">
        <v>1 3/4"</v>
      </c>
      <c r="AY600">
        <v>1</v>
      </c>
      <c r="AZ600" t="str">
        <v>DRL</v>
      </c>
    </row>
    <row r="601">
      <c r="AL601" t="str">
        <v>014131-001</v>
      </c>
      <c r="AM601" t="str">
        <v>Top Sub</v>
      </c>
      <c r="AN601" t="str">
        <v>4½</v>
      </c>
      <c r="AO601" t="str">
        <v>4½</v>
      </c>
      <c r="AP601" t="str">
        <v>3½ API</v>
      </c>
      <c r="AQ601" t="str">
        <v>NC 35</v>
      </c>
      <c r="AS601" t="str">
        <v>16"</v>
      </c>
      <c r="AT601">
        <v>42</v>
      </c>
      <c r="AU601" t="str">
        <v>1 3/4"</v>
      </c>
      <c r="AV601">
        <v>3</v>
      </c>
      <c r="AW601">
        <v>2</v>
      </c>
      <c r="AY601">
        <v>1</v>
      </c>
      <c r="AZ601" t="str">
        <v>DRL</v>
      </c>
    </row>
    <row r="602">
      <c r="AL602" t="str">
        <v>016427-001</v>
      </c>
      <c r="AM602" t="str">
        <v>Top Sub</v>
      </c>
      <c r="AN602" t="str">
        <v>4½</v>
      </c>
      <c r="AO602" t="str">
        <v>4½</v>
      </c>
      <c r="AP602" t="str">
        <v>3½ API</v>
      </c>
      <c r="AS602" t="str">
        <v>16"</v>
      </c>
      <c r="AT602">
        <v>100</v>
      </c>
      <c r="AU602" t="str">
        <v>1 3/4"</v>
      </c>
      <c r="AV602">
        <v>3</v>
      </c>
      <c r="AW602">
        <v>2</v>
      </c>
      <c r="AX602" t="str">
        <v>T25K3</v>
      </c>
      <c r="AY602">
        <v>1</v>
      </c>
      <c r="AZ602" t="str">
        <v>DRL</v>
      </c>
    </row>
    <row r="603">
      <c r="AL603" t="str">
        <v>013816-003</v>
      </c>
      <c r="AM603" t="str">
        <v>Top Sub</v>
      </c>
      <c r="AN603" t="str">
        <v>4½</v>
      </c>
      <c r="AO603" t="str">
        <v>4½</v>
      </c>
      <c r="AP603" t="str">
        <v>3½ API</v>
      </c>
      <c r="AQ603" t="str">
        <v>3½ API</v>
      </c>
      <c r="AS603" t="str">
        <v>36"</v>
      </c>
      <c r="AT603">
        <v>135</v>
      </c>
      <c r="AU603" t="str">
        <v>1½"</v>
      </c>
      <c r="AV603">
        <v>3</v>
      </c>
      <c r="AW603">
        <v>4</v>
      </c>
      <c r="AY603">
        <v>1</v>
      </c>
      <c r="AZ603" t="str">
        <v>DRL</v>
      </c>
    </row>
    <row r="604">
      <c r="AL604" t="str">
        <v>013816-002</v>
      </c>
      <c r="AM604" t="str">
        <v>Top Sub</v>
      </c>
      <c r="AN604" t="str">
        <v>4½</v>
      </c>
      <c r="AO604" t="str">
        <v>4½</v>
      </c>
      <c r="AP604" t="str">
        <v>3½ API</v>
      </c>
      <c r="AQ604" t="str">
        <v>3½ API</v>
      </c>
      <c r="AS604" t="str">
        <v>49"</v>
      </c>
      <c r="AT604">
        <v>182</v>
      </c>
      <c r="AU604" t="str">
        <v>1½"</v>
      </c>
      <c r="AV604">
        <v>3</v>
      </c>
      <c r="AW604">
        <v>4</v>
      </c>
      <c r="AY604">
        <v>1</v>
      </c>
      <c r="AZ604" t="str">
        <v>DRL</v>
      </c>
    </row>
    <row r="605">
      <c r="AL605" t="str">
        <v>013816-001</v>
      </c>
      <c r="AM605" t="str">
        <v>Top Sub</v>
      </c>
      <c r="AN605" t="str">
        <v>4½</v>
      </c>
      <c r="AO605" t="str">
        <v>4½</v>
      </c>
      <c r="AP605" t="str">
        <v>3½ API</v>
      </c>
      <c r="AQ605" t="str">
        <v>3½ API</v>
      </c>
      <c r="AS605" t="str">
        <v>66"</v>
      </c>
      <c r="AT605">
        <v>250</v>
      </c>
      <c r="AU605" t="str">
        <v>1½"</v>
      </c>
      <c r="AV605">
        <v>3</v>
      </c>
      <c r="AW605">
        <v>4</v>
      </c>
      <c r="AY605">
        <v>1</v>
      </c>
      <c r="AZ605" t="str">
        <v>DRL</v>
      </c>
    </row>
    <row r="606">
      <c r="AL606" t="str">
        <v>009933-001</v>
      </c>
      <c r="AM606" t="str">
        <v>Top Sub</v>
      </c>
      <c r="AN606" t="str">
        <v>4½</v>
      </c>
      <c r="AO606" t="str">
        <v>4½</v>
      </c>
      <c r="AP606" t="str">
        <v>3½ API</v>
      </c>
      <c r="AQ606" t="str">
        <v>2 7/8 IF</v>
      </c>
      <c r="AS606" t="str">
        <v>6'6"</v>
      </c>
      <c r="AT606">
        <v>300</v>
      </c>
      <c r="AU606" t="str">
        <v>1 3/4"</v>
      </c>
      <c r="AV606">
        <v>3</v>
      </c>
      <c r="AW606">
        <v>2</v>
      </c>
      <c r="AX606" t="str">
        <v>Tigre Tierra 612 Hammer</v>
      </c>
      <c r="AY606">
        <v>1</v>
      </c>
      <c r="AZ606" t="str">
        <v>PRT</v>
      </c>
    </row>
    <row r="607">
      <c r="AL607" t="str">
        <v>001628-001</v>
      </c>
      <c r="AM607" t="str">
        <v>Top Sub</v>
      </c>
      <c r="AN607" t="str">
        <v>4½</v>
      </c>
      <c r="AO607" t="str">
        <v>4½</v>
      </c>
      <c r="AP607" t="str">
        <v>3½ API</v>
      </c>
      <c r="AQ607" t="str">
        <v>3½ API</v>
      </c>
      <c r="AS607" t="str">
        <v>9"</v>
      </c>
      <c r="AT607">
        <v>38</v>
      </c>
      <c r="AU607" t="str">
        <v>1 3/4"</v>
      </c>
      <c r="AY607">
        <v>1</v>
      </c>
      <c r="AZ607" t="str">
        <v>DRL</v>
      </c>
    </row>
    <row r="608">
      <c r="AL608" t="str">
        <v>003645-001</v>
      </c>
      <c r="AM608" t="str">
        <v>Top Sub</v>
      </c>
      <c r="AN608" t="str">
        <v>4½</v>
      </c>
      <c r="AO608" t="str">
        <v>4½</v>
      </c>
      <c r="AP608" t="str">
        <v>3½ API</v>
      </c>
      <c r="AQ608" t="str">
        <v>3½ API</v>
      </c>
      <c r="AS608" t="str">
        <v>9"</v>
      </c>
      <c r="AT608">
        <v>36</v>
      </c>
      <c r="AU608" t="str">
        <v>1 3/4"</v>
      </c>
      <c r="AV608">
        <v>3</v>
      </c>
      <c r="AW608">
        <v>2</v>
      </c>
      <c r="AX608" t="str">
        <v>Use 001628-001</v>
      </c>
      <c r="AY608">
        <v>1</v>
      </c>
      <c r="AZ608" t="str">
        <v>DRL</v>
      </c>
    </row>
    <row r="609">
      <c r="AL609" t="str">
        <v>001277-003</v>
      </c>
      <c r="AM609" t="str">
        <v>Top Sub</v>
      </c>
      <c r="AN609" t="str">
        <v>4½</v>
      </c>
      <c r="AO609" t="str">
        <v>6"</v>
      </c>
      <c r="AP609" t="str">
        <v>3½ API</v>
      </c>
      <c r="AQ609" t="str">
        <v>4½ RH</v>
      </c>
      <c r="AS609" t="str">
        <v>12"</v>
      </c>
      <c r="AT609">
        <v>75</v>
      </c>
      <c r="AU609" t="str">
        <v>1½"</v>
      </c>
      <c r="AY609">
        <v>1</v>
      </c>
      <c r="AZ609" t="str">
        <v>PRT</v>
      </c>
    </row>
    <row r="610">
      <c r="AL610" t="str">
        <v>001277-002</v>
      </c>
      <c r="AM610" t="str">
        <v>Top Sub</v>
      </c>
      <c r="AN610" t="str">
        <v>4½</v>
      </c>
      <c r="AO610" t="str">
        <v>6½</v>
      </c>
      <c r="AP610" t="str">
        <v>3½ API</v>
      </c>
      <c r="AQ610" t="str">
        <v>4½ RH</v>
      </c>
      <c r="AS610" t="str">
        <v>12"</v>
      </c>
      <c r="AT610">
        <v>82</v>
      </c>
      <c r="AU610" t="str">
        <v>1½"</v>
      </c>
      <c r="AY610">
        <v>1</v>
      </c>
      <c r="AZ610" t="str">
        <v>DRL</v>
      </c>
    </row>
    <row r="611">
      <c r="AL611" t="str">
        <v>001277-001</v>
      </c>
      <c r="AM611" t="str">
        <v>Top Sub</v>
      </c>
      <c r="AN611" t="str">
        <v>4½</v>
      </c>
      <c r="AO611" t="str">
        <v>6½</v>
      </c>
      <c r="AP611" t="str">
        <v>3½ API</v>
      </c>
      <c r="AQ611" t="str">
        <v>4½ RH</v>
      </c>
      <c r="AS611" t="str">
        <v>9"</v>
      </c>
      <c r="AT611">
        <v>55</v>
      </c>
      <c r="AU611" t="str">
        <v>1½"</v>
      </c>
      <c r="AY611">
        <v>1</v>
      </c>
      <c r="AZ611" t="str">
        <v>DRL</v>
      </c>
    </row>
    <row r="612">
      <c r="AL612" t="str">
        <v>001277-004</v>
      </c>
      <c r="AM612" t="str">
        <v>Top Sub</v>
      </c>
      <c r="AN612" t="str">
        <v>4½</v>
      </c>
      <c r="AO612" t="str">
        <v>6½</v>
      </c>
      <c r="AP612" t="str">
        <v>3½ API</v>
      </c>
      <c r="AQ612" t="str">
        <v>3½ RH</v>
      </c>
      <c r="AS612" t="str">
        <v>9"</v>
      </c>
      <c r="AT612">
        <v>55</v>
      </c>
      <c r="AU612" t="str">
        <v>1½"</v>
      </c>
      <c r="AY612">
        <v>1</v>
      </c>
      <c r="AZ612" t="str">
        <v>DRL</v>
      </c>
    </row>
    <row r="613">
      <c r="AL613" t="str">
        <v>005703-001</v>
      </c>
      <c r="AM613" t="str">
        <v>Top Sub</v>
      </c>
      <c r="AN613" t="str">
        <v>4½</v>
      </c>
      <c r="AO613" t="str">
        <v>6½</v>
      </c>
      <c r="AP613" t="str">
        <v>3½ API</v>
      </c>
      <c r="AQ613" t="str">
        <v>4½ API</v>
      </c>
      <c r="AS613" t="str">
        <v>9"</v>
      </c>
      <c r="AT613">
        <v>55</v>
      </c>
      <c r="AU613" t="str">
        <v>1 3/4"</v>
      </c>
      <c r="AV613">
        <v>3</v>
      </c>
      <c r="AW613" t="str">
        <v>1½</v>
      </c>
      <c r="AY613">
        <v>2</v>
      </c>
      <c r="AZ613" t="str">
        <v>FAB</v>
      </c>
    </row>
    <row r="614">
      <c r="AL614" t="str">
        <v>021514-001</v>
      </c>
      <c r="AM614" t="str">
        <v>Top Sub</v>
      </c>
      <c r="AN614" t="str">
        <v>4½</v>
      </c>
      <c r="AP614" t="str">
        <v>2 7/8 IF</v>
      </c>
      <c r="AQ614" t="str">
        <v>3½ API</v>
      </c>
      <c r="AS614" t="str">
        <v>27'6"</v>
      </c>
      <c r="AT614">
        <v>110</v>
      </c>
      <c r="AU614" t="str">
        <v>1 3/4"</v>
      </c>
      <c r="AV614">
        <v>3</v>
      </c>
      <c r="AW614" t="str">
        <v>4 lg</v>
      </c>
      <c r="AX614" t="str">
        <v>Gator</v>
      </c>
      <c r="AY614">
        <v>1</v>
      </c>
      <c r="AZ614" t="str">
        <v>PRT</v>
      </c>
    </row>
    <row r="615">
      <c r="AL615" t="str">
        <v>012094-005</v>
      </c>
      <c r="AM615" t="str">
        <v>Top Sub</v>
      </c>
      <c r="AN615" t="str">
        <v>5½</v>
      </c>
      <c r="AO615">
        <v>7</v>
      </c>
      <c r="AP615" t="str">
        <v>3½ API</v>
      </c>
      <c r="AQ615" t="str">
        <v>4½ RH</v>
      </c>
      <c r="AS615" t="str">
        <v>31"</v>
      </c>
      <c r="AT615">
        <v>285</v>
      </c>
      <c r="AU615" t="str">
        <v>1½" - 2"</v>
      </c>
      <c r="AV615">
        <v>5</v>
      </c>
      <c r="AW615" t="str">
        <v>5 lg</v>
      </c>
      <c r="AY615">
        <v>1</v>
      </c>
      <c r="AZ615" t="str">
        <v>PRT</v>
      </c>
    </row>
    <row r="616">
      <c r="AL616" t="str">
        <v>012094-002</v>
      </c>
      <c r="AM616" t="str">
        <v>Top Sub</v>
      </c>
      <c r="AN616" t="str">
        <v>5½</v>
      </c>
      <c r="AO616">
        <v>7.625</v>
      </c>
      <c r="AP616" t="str">
        <v>3½ API</v>
      </c>
      <c r="AQ616" t="str">
        <v>6 RH</v>
      </c>
      <c r="AS616" t="str">
        <v>31"</v>
      </c>
      <c r="AT616">
        <v>317</v>
      </c>
      <c r="AU616" t="str">
        <v>1½" - 2"</v>
      </c>
      <c r="AX616" t="str">
        <v>C60K4</v>
      </c>
      <c r="AY616">
        <v>1</v>
      </c>
      <c r="AZ616" t="str">
        <v>PRT</v>
      </c>
    </row>
    <row r="617">
      <c r="AL617" t="str">
        <v>012094-003</v>
      </c>
      <c r="AM617" t="str">
        <v>Top Sub</v>
      </c>
      <c r="AN617" t="str">
        <v>5½</v>
      </c>
      <c r="AO617">
        <v>7.625</v>
      </c>
      <c r="AP617" t="str">
        <v>3½ API</v>
      </c>
      <c r="AQ617" t="str">
        <v>5¼ RH</v>
      </c>
      <c r="AS617" t="str">
        <v>31"</v>
      </c>
      <c r="AT617">
        <v>325</v>
      </c>
      <c r="AU617" t="str">
        <v>1½" - 2"</v>
      </c>
      <c r="AX617" t="str">
        <v>C60K4</v>
      </c>
      <c r="AY617">
        <v>1</v>
      </c>
      <c r="AZ617" t="str">
        <v>PRT</v>
      </c>
    </row>
    <row r="618">
      <c r="AL618" t="str">
        <v>012094-004</v>
      </c>
      <c r="AM618" t="str">
        <v>Top Sub</v>
      </c>
      <c r="AN618" t="str">
        <v>5½</v>
      </c>
      <c r="AO618">
        <v>8</v>
      </c>
      <c r="AP618" t="str">
        <v>3½ API</v>
      </c>
      <c r="AQ618" t="str">
        <v>6 RH</v>
      </c>
      <c r="AS618" t="str">
        <v>31"</v>
      </c>
      <c r="AU618" t="str">
        <v>1½" - 2"</v>
      </c>
      <c r="AX618" t="str">
        <v>C60K4</v>
      </c>
      <c r="AY618">
        <v>1</v>
      </c>
      <c r="AZ618" t="str">
        <v>DRL</v>
      </c>
    </row>
    <row r="619">
      <c r="AL619" t="str">
        <v>012094-001</v>
      </c>
      <c r="AM619" t="str">
        <v>Top Sub</v>
      </c>
      <c r="AN619" t="str">
        <v>5½</v>
      </c>
      <c r="AO619">
        <v>8.625</v>
      </c>
      <c r="AP619" t="str">
        <v>3½ API</v>
      </c>
      <c r="AQ619" t="str">
        <v>6 RH</v>
      </c>
      <c r="AS619" t="str">
        <v>31"</v>
      </c>
      <c r="AT619">
        <v>360</v>
      </c>
      <c r="AU619" t="str">
        <v>1½" - 2"</v>
      </c>
      <c r="AV619">
        <v>7</v>
      </c>
      <c r="AW619">
        <v>5</v>
      </c>
      <c r="AX619" t="str">
        <v>C60K4</v>
      </c>
      <c r="AY619">
        <v>1</v>
      </c>
      <c r="AZ619" t="str">
        <v>PRT</v>
      </c>
    </row>
    <row r="620">
      <c r="AL620" t="str">
        <v>006481-001</v>
      </c>
      <c r="AM620" t="str">
        <v>Top Sub</v>
      </c>
      <c r="AN620" t="str">
        <v>5½</v>
      </c>
      <c r="AO620" t="str">
        <v>5½</v>
      </c>
      <c r="AP620" t="str">
        <v>3½ API</v>
      </c>
      <c r="AQ620" t="str">
        <v>3½ API Pin</v>
      </c>
      <c r="AS620" t="str">
        <v>12"</v>
      </c>
      <c r="AT620">
        <v>88</v>
      </c>
      <c r="AU620" t="str">
        <v>1 3/4"</v>
      </c>
      <c r="AX620" t="str">
        <v>Pin/Pin</v>
      </c>
      <c r="AY620">
        <v>1</v>
      </c>
      <c r="AZ620" t="str">
        <v>DRL</v>
      </c>
    </row>
    <row r="621">
      <c r="AL621" t="str">
        <v>008896-001</v>
      </c>
      <c r="AM621" t="str">
        <v>Top Sub</v>
      </c>
      <c r="AN621" t="str">
        <v>5½</v>
      </c>
      <c r="AO621" t="str">
        <v>5½</v>
      </c>
      <c r="AP621" t="str">
        <v>4½ API</v>
      </c>
      <c r="AQ621" t="str">
        <v>4½ API Pin</v>
      </c>
      <c r="AS621" t="str">
        <v>12"</v>
      </c>
      <c r="AT621">
        <v>105</v>
      </c>
      <c r="AU621" t="str">
        <v>1 3/4"</v>
      </c>
      <c r="AV621">
        <v>4</v>
      </c>
      <c r="AW621" t="str">
        <v>2 LG</v>
      </c>
      <c r="AY621">
        <v>1</v>
      </c>
      <c r="AZ621" t="str">
        <v>DRL</v>
      </c>
    </row>
    <row r="622">
      <c r="AL622" t="str">
        <v>021935-001</v>
      </c>
      <c r="AM622" t="str">
        <v>Top Sub</v>
      </c>
      <c r="AN622" t="str">
        <v>5½</v>
      </c>
      <c r="AO622" t="str">
        <v>5½</v>
      </c>
      <c r="AP622" t="str">
        <v>3½ API</v>
      </c>
      <c r="AQ622" t="str">
        <v>3½ RH</v>
      </c>
      <c r="AR622" t="str">
        <v>3/4"</v>
      </c>
      <c r="AS622" t="str">
        <v>12'10"</v>
      </c>
      <c r="AT622">
        <v>385</v>
      </c>
      <c r="AU622" t="str">
        <v>1½"</v>
      </c>
      <c r="AV622">
        <v>3</v>
      </c>
      <c r="AY622">
        <v>1</v>
      </c>
      <c r="AZ622" t="str">
        <v>PRT</v>
      </c>
    </row>
    <row r="623">
      <c r="AL623" t="str">
        <v>015779-001</v>
      </c>
      <c r="AM623" t="str">
        <v>Top Sub</v>
      </c>
      <c r="AN623" t="str">
        <v>5½</v>
      </c>
      <c r="AO623" t="str">
        <v>5½</v>
      </c>
      <c r="AP623" t="str">
        <v>3½ API</v>
      </c>
      <c r="AQ623" t="str">
        <v>4 API Full</v>
      </c>
      <c r="AS623" t="str">
        <v>16"</v>
      </c>
      <c r="AT623">
        <v>95</v>
      </c>
      <c r="AU623" t="str">
        <v>1 3/4"</v>
      </c>
      <c r="AX623" t="str">
        <v>T40KW</v>
      </c>
      <c r="AY623">
        <v>1</v>
      </c>
      <c r="AZ623" t="str">
        <v>PRT</v>
      </c>
    </row>
    <row r="624">
      <c r="AL624" t="str">
        <v>013372-001</v>
      </c>
      <c r="AM624" t="str">
        <v>Top Sub</v>
      </c>
      <c r="AN624" t="str">
        <v>5½</v>
      </c>
      <c r="AO624" t="str">
        <v>5½</v>
      </c>
      <c r="AP624" t="str">
        <v>4 FH</v>
      </c>
      <c r="AQ624" t="str">
        <v>4 FH</v>
      </c>
      <c r="AS624" t="str">
        <v>24"</v>
      </c>
      <c r="AT624">
        <v>140</v>
      </c>
      <c r="AU624" t="str">
        <v>2"</v>
      </c>
      <c r="AX624" t="str">
        <v>Subsaver</v>
      </c>
      <c r="AY624">
        <v>1</v>
      </c>
      <c r="AZ624" t="str">
        <v>DRL</v>
      </c>
    </row>
    <row r="625">
      <c r="AL625" t="str">
        <v>006481-002</v>
      </c>
      <c r="AM625" t="str">
        <v>Top Sub</v>
      </c>
      <c r="AN625" t="str">
        <v>5½</v>
      </c>
      <c r="AO625" t="str">
        <v>5½</v>
      </c>
      <c r="AP625" t="str">
        <v>3½ API</v>
      </c>
      <c r="AQ625" t="str">
        <v>3½ API Pin</v>
      </c>
      <c r="AS625" t="str">
        <v>6"</v>
      </c>
      <c r="AT625">
        <v>88</v>
      </c>
      <c r="AU625" t="str">
        <v>1 3/4"</v>
      </c>
      <c r="AX625" t="str">
        <v>Pin/Pin</v>
      </c>
      <c r="AY625">
        <v>1</v>
      </c>
      <c r="AZ625" t="str">
        <v>DRL</v>
      </c>
    </row>
    <row r="626">
      <c r="AL626" t="str">
        <v>017837-007</v>
      </c>
      <c r="AM626" t="str">
        <v>Top Sub</v>
      </c>
      <c r="AN626" t="str">
        <v>6½</v>
      </c>
      <c r="AO626" t="str">
        <v>6½</v>
      </c>
      <c r="AP626" t="str">
        <v>3½ API</v>
      </c>
      <c r="AQ626" t="str">
        <v>4½ RH</v>
      </c>
      <c r="AS626" t="str">
        <v>36"</v>
      </c>
      <c r="AU626" t="str">
        <v>2½"</v>
      </c>
      <c r="AV626">
        <v>5</v>
      </c>
      <c r="AW626" t="str">
        <v>5 lg</v>
      </c>
      <c r="AY626">
        <v>1</v>
      </c>
      <c r="AZ626" t="str">
        <v>PRT</v>
      </c>
    </row>
    <row r="627">
      <c r="AL627" t="str">
        <v>016227-001</v>
      </c>
      <c r="AM627" t="str">
        <v>Top Sub</v>
      </c>
      <c r="AN627" t="str">
        <v>7½</v>
      </c>
      <c r="AO627" t="str">
        <v>4½</v>
      </c>
      <c r="AP627" t="str">
        <v>5½ API</v>
      </c>
      <c r="AQ627" t="str">
        <v>2 7/8 IF</v>
      </c>
      <c r="AS627">
        <v>9</v>
      </c>
      <c r="AT627">
        <v>100</v>
      </c>
      <c r="AU627" t="str">
        <v>2"</v>
      </c>
      <c r="AY627">
        <v>1</v>
      </c>
      <c r="AZ627" t="str">
        <v>PRT</v>
      </c>
    </row>
    <row r="628">
      <c r="AL628" t="str">
        <v>012309-001</v>
      </c>
      <c r="AM628" t="str">
        <v>Top Sub</v>
      </c>
      <c r="AN628" t="str">
        <v>8½</v>
      </c>
      <c r="AO628" t="str">
        <v>8½</v>
      </c>
      <c r="AP628" t="str">
        <v>6 RH</v>
      </c>
      <c r="AQ628" t="str">
        <v>3½ API</v>
      </c>
      <c r="AS628" t="str">
        <v>2½"</v>
      </c>
      <c r="AT628">
        <v>61</v>
      </c>
      <c r="AU628" t="str">
        <v>1 3/4"</v>
      </c>
      <c r="AX628" t="str">
        <v>Spec. C75D</v>
      </c>
      <c r="AY628">
        <v>1</v>
      </c>
      <c r="AZ628" t="str">
        <v>DRL</v>
      </c>
    </row>
    <row r="629">
      <c r="AL629" t="str">
        <v>005845-004</v>
      </c>
      <c r="AM629" t="str">
        <v>Top Sub</v>
      </c>
      <c r="AN629" t="str">
        <v>9¼</v>
      </c>
      <c r="AO629" t="str">
        <v>9¼</v>
      </c>
      <c r="AP629" t="str">
        <v>6 RH</v>
      </c>
      <c r="AQ629" t="str">
        <v>6 RH</v>
      </c>
      <c r="AS629" t="str">
        <v>13"</v>
      </c>
      <c r="AU629" t="str">
        <v>3"</v>
      </c>
      <c r="AV629">
        <v>7</v>
      </c>
      <c r="AW629" t="str">
        <v>2 lg</v>
      </c>
      <c r="AY629">
        <v>1</v>
      </c>
      <c r="AZ629" t="str">
        <v>PRT</v>
      </c>
    </row>
    <row r="630">
      <c r="AL630" t="str">
        <v>005845-001</v>
      </c>
      <c r="AM630" t="str">
        <v>Top Sub</v>
      </c>
      <c r="AN630" t="str">
        <v>9¼</v>
      </c>
      <c r="AO630" t="str">
        <v>9¼</v>
      </c>
      <c r="AP630" t="str">
        <v>6 5/8 API</v>
      </c>
      <c r="AQ630" t="str">
        <v>6 RH</v>
      </c>
      <c r="AS630" t="str">
        <v>36"</v>
      </c>
      <c r="AT630">
        <v>590</v>
      </c>
      <c r="AU630" t="str">
        <v>3"</v>
      </c>
      <c r="AV630">
        <v>7</v>
      </c>
      <c r="AW630" t="str">
        <v>6 lg</v>
      </c>
      <c r="AY630">
        <v>1</v>
      </c>
      <c r="AZ630" t="str">
        <v>NCR</v>
      </c>
    </row>
    <row r="631">
      <c r="AL631" t="str">
        <v>005845-002</v>
      </c>
      <c r="AM631" t="str">
        <v>Top Sub</v>
      </c>
      <c r="AN631" t="str">
        <v>9¼</v>
      </c>
      <c r="AO631" t="str">
        <v>9¼</v>
      </c>
      <c r="AP631" t="str">
        <v>6 5/8 API</v>
      </c>
      <c r="AQ631" t="str">
        <v>6 RH</v>
      </c>
      <c r="AS631" t="str">
        <v>36"</v>
      </c>
      <c r="AT631">
        <v>393</v>
      </c>
      <c r="AU631" t="str">
        <v>3"</v>
      </c>
      <c r="AV631">
        <v>7</v>
      </c>
      <c r="AW631" t="str">
        <v>6 lg</v>
      </c>
      <c r="AY631">
        <v>1</v>
      </c>
      <c r="AZ631" t="str">
        <v>DRL</v>
      </c>
    </row>
    <row r="632">
      <c r="AL632" t="str">
        <v>005845-003</v>
      </c>
      <c r="AM632" t="str">
        <v>Top Sub</v>
      </c>
      <c r="AN632" t="str">
        <v>9¼</v>
      </c>
      <c r="AO632" t="str">
        <v>9¼</v>
      </c>
      <c r="AP632" t="str">
        <v>6 5/8 API</v>
      </c>
      <c r="AQ632" t="str">
        <v>6 RH</v>
      </c>
      <c r="AS632" t="str">
        <v>42"</v>
      </c>
      <c r="AU632" t="str">
        <v>3"</v>
      </c>
      <c r="AV632">
        <v>7</v>
      </c>
      <c r="AW632" t="str">
        <v>6 lg</v>
      </c>
      <c r="AY632">
        <v>1</v>
      </c>
      <c r="AZ632" t="str">
        <v>PRT</v>
      </c>
    </row>
    <row r="633">
      <c r="AL633" t="str">
        <v>007127-001</v>
      </c>
      <c r="AM633" t="str">
        <v>Top Sub Adapter</v>
      </c>
      <c r="AT633">
        <v>23</v>
      </c>
      <c r="AU633" t="str">
        <v>2 7/8 IF</v>
      </c>
      <c r="AX633" t="str">
        <v>Special U Joint</v>
      </c>
      <c r="AY633">
        <v>1</v>
      </c>
      <c r="AZ633" t="str">
        <v>DRL</v>
      </c>
    </row>
    <row r="634">
      <c r="AL634" t="str">
        <v>007127-002</v>
      </c>
      <c r="AM634" t="str">
        <v>Top Sub Adapter</v>
      </c>
      <c r="AT634">
        <v>22</v>
      </c>
      <c r="AU634" t="str">
        <v>3½ API</v>
      </c>
      <c r="AX634" t="str">
        <v>Special U Joint</v>
      </c>
      <c r="AY634">
        <v>1</v>
      </c>
      <c r="AZ634" t="str">
        <v>DRL</v>
      </c>
    </row>
    <row r="635">
      <c r="AL635" t="str">
        <v>004359-001</v>
      </c>
      <c r="AM635" t="str">
        <v>Floating Sub</v>
      </c>
      <c r="AN635">
        <v>7.0625</v>
      </c>
      <c r="AO635">
        <v>5.875</v>
      </c>
      <c r="AP635" t="str">
        <v>3½ API</v>
      </c>
      <c r="AQ635" t="str">
        <v>4½ API</v>
      </c>
      <c r="AS635" t="str">
        <v>27½</v>
      </c>
      <c r="AT635">
        <v>182</v>
      </c>
      <c r="AX635" t="str">
        <v>Inactive Schramm</v>
      </c>
      <c r="AY635">
        <v>1</v>
      </c>
      <c r="AZ635" t="str">
        <v>DRL</v>
      </c>
    </row>
    <row r="636">
      <c r="AL636" t="str">
        <v>004020-001</v>
      </c>
      <c r="AM636" t="str">
        <v>Floating Sub</v>
      </c>
      <c r="AN636" t="str">
        <v>4½</v>
      </c>
      <c r="AO636">
        <v>5.875</v>
      </c>
      <c r="AP636" t="str">
        <v>3½ API</v>
      </c>
      <c r="AQ636" t="str">
        <v>3½ API</v>
      </c>
      <c r="AS636" t="str">
        <v>15½</v>
      </c>
      <c r="AT636">
        <v>70</v>
      </c>
      <c r="AX636" t="str">
        <v>Inactive  Schramm</v>
      </c>
      <c r="AY636">
        <v>1</v>
      </c>
      <c r="AZ636" t="str">
        <v>DRL</v>
      </c>
    </row>
    <row r="637">
      <c r="AL637" t="str">
        <v>004020-002</v>
      </c>
      <c r="AM637" t="str">
        <v>Floating Sub</v>
      </c>
      <c r="AN637" t="str">
        <v>4½</v>
      </c>
      <c r="AO637">
        <v>5.875</v>
      </c>
      <c r="AP637" t="str">
        <v>3½ API</v>
      </c>
      <c r="AQ637" t="str">
        <v>2 7/8 API-IF</v>
      </c>
      <c r="AS637" t="str">
        <v>15½</v>
      </c>
      <c r="AT637">
        <v>70</v>
      </c>
      <c r="AX637" t="str">
        <v>Schramm</v>
      </c>
      <c r="AY637">
        <v>1</v>
      </c>
      <c r="AZ637" t="str">
        <v>PRT</v>
      </c>
    </row>
    <row r="638">
      <c r="AL638" t="str">
        <v>004020-003</v>
      </c>
      <c r="AM638" t="str">
        <v>Floating Sub</v>
      </c>
      <c r="AN638" t="str">
        <v>4½</v>
      </c>
      <c r="AO638">
        <v>5.875</v>
      </c>
      <c r="AP638" t="str">
        <v>3½ API</v>
      </c>
      <c r="AQ638" t="str">
        <v>2 3/8 API-IF</v>
      </c>
      <c r="AS638" t="str">
        <v>15½</v>
      </c>
      <c r="AT638">
        <v>70</v>
      </c>
      <c r="AX638" t="str">
        <v>Schramm</v>
      </c>
      <c r="AY638">
        <v>1</v>
      </c>
      <c r="AZ638" t="str">
        <v>DRL</v>
      </c>
    </row>
    <row r="639">
      <c r="AL639" t="str">
        <v>004979-001</v>
      </c>
      <c r="AM639" t="str">
        <v>Floating Sub</v>
      </c>
      <c r="AN639" t="str">
        <v>4½</v>
      </c>
      <c r="AO639" t="str">
        <v>4½</v>
      </c>
      <c r="AP639" t="str">
        <v>3½ API</v>
      </c>
      <c r="AQ639" t="str">
        <v>3½ API</v>
      </c>
      <c r="AS639">
        <v>17.375</v>
      </c>
      <c r="AT639">
        <v>215</v>
      </c>
      <c r="AU639" t="str">
        <v>1 3/4"</v>
      </c>
      <c r="AV639">
        <v>3</v>
      </c>
      <c r="AW639" t="str">
        <v>1½</v>
      </c>
      <c r="AX639" t="str">
        <v>Use 005232</v>
      </c>
      <c r="AY639">
        <v>2</v>
      </c>
      <c r="AZ639" t="str">
        <v>SAS</v>
      </c>
    </row>
    <row r="640">
      <c r="AL640" t="str">
        <v>007777-001</v>
      </c>
      <c r="AM640" t="str">
        <v>Floating Sub</v>
      </c>
      <c r="AN640" t="str">
        <v>8½</v>
      </c>
      <c r="AO640" t="str">
        <v>4½</v>
      </c>
      <c r="AP640" t="str">
        <v>3½ API</v>
      </c>
      <c r="AQ640" t="str">
        <v>3½ API</v>
      </c>
      <c r="AS640">
        <v>14</v>
      </c>
      <c r="AT640">
        <v>150</v>
      </c>
      <c r="AU640" t="str">
        <v>1 3/4"</v>
      </c>
      <c r="AX640" t="str">
        <v>Inactive</v>
      </c>
      <c r="AY640">
        <v>2</v>
      </c>
      <c r="AZ640" t="str">
        <v>SAS</v>
      </c>
    </row>
    <row r="641">
      <c r="AL641" t="str">
        <v>007777-002</v>
      </c>
      <c r="AM641" t="str">
        <v>Floating Sub</v>
      </c>
      <c r="AN641" t="str">
        <v>8½</v>
      </c>
      <c r="AO641" t="str">
        <v>4½</v>
      </c>
      <c r="AP641" t="str">
        <v>3½ API</v>
      </c>
      <c r="AQ641" t="str">
        <v>3½ Beco</v>
      </c>
      <c r="AS641">
        <v>14</v>
      </c>
      <c r="AT641">
        <v>150</v>
      </c>
      <c r="AU641" t="str">
        <v>1 3/4"</v>
      </c>
      <c r="AX641" t="str">
        <v>Inactive</v>
      </c>
      <c r="AY641">
        <v>2</v>
      </c>
      <c r="AZ641" t="str">
        <v>NCR</v>
      </c>
    </row>
    <row r="642">
      <c r="AL642" t="str">
        <v>007777-003</v>
      </c>
      <c r="AM642" t="str">
        <v>Floating Sub</v>
      </c>
      <c r="AN642" t="str">
        <v>8½</v>
      </c>
      <c r="AO642" t="str">
        <v>4½</v>
      </c>
      <c r="AP642" t="str">
        <v>3½ API</v>
      </c>
      <c r="AQ642" t="str">
        <v>2 7/8 API</v>
      </c>
      <c r="AS642">
        <v>14</v>
      </c>
      <c r="AT642">
        <v>150</v>
      </c>
      <c r="AU642" t="str">
        <v>1 3/4"</v>
      </c>
      <c r="AX642" t="str">
        <v>Inactive</v>
      </c>
      <c r="AY642">
        <v>2</v>
      </c>
      <c r="AZ642" t="str">
        <v>SAS</v>
      </c>
    </row>
    <row r="643">
      <c r="AL643" t="str">
        <v>010410-005</v>
      </c>
      <c r="AM643" t="str">
        <v>Shock Sub</v>
      </c>
      <c r="AN643">
        <v>7</v>
      </c>
      <c r="AO643">
        <v>6</v>
      </c>
      <c r="AP643" t="str">
        <v>3½ API</v>
      </c>
      <c r="AQ643" t="str">
        <v>3½ API</v>
      </c>
      <c r="AS643">
        <v>19.75</v>
      </c>
      <c r="AT643">
        <v>400</v>
      </c>
      <c r="AU643" t="str">
        <v>1.75"</v>
      </c>
      <c r="AV643">
        <v>5.25</v>
      </c>
      <c r="AW643" t="str">
        <v>3 lg</v>
      </c>
      <c r="AX643" t="str">
        <v>Drilco (15.50 Dia.) D25-D50</v>
      </c>
      <c r="AY643">
        <v>1</v>
      </c>
      <c r="AZ643" t="str">
        <v>PRT</v>
      </c>
    </row>
    <row r="644">
      <c r="AL644" t="str">
        <v>010410-003</v>
      </c>
      <c r="AM644" t="str">
        <v>Shock Sub</v>
      </c>
      <c r="AN644">
        <v>7</v>
      </c>
      <c r="AO644" t="str">
        <v>5½</v>
      </c>
      <c r="AP644" t="str">
        <v>3½ API</v>
      </c>
      <c r="AQ644" t="str">
        <v>4 Full Hole</v>
      </c>
      <c r="AS644">
        <v>23</v>
      </c>
      <c r="AT644">
        <v>400</v>
      </c>
      <c r="AU644" t="str">
        <v>1.75"</v>
      </c>
      <c r="AV644">
        <v>4</v>
      </c>
      <c r="AW644" t="str">
        <v>3 lg</v>
      </c>
      <c r="AX644" t="str">
        <v>Drilco #40 (15.50 Dia Body)</v>
      </c>
      <c r="AY644">
        <v>1</v>
      </c>
      <c r="AZ644" t="str">
        <v>DRL</v>
      </c>
    </row>
    <row r="645">
      <c r="AL645" t="str">
        <v>019825-001</v>
      </c>
      <c r="AM645" t="str">
        <v>Shock Sub</v>
      </c>
      <c r="AN645">
        <v>7.625</v>
      </c>
      <c r="AO645">
        <v>7.625</v>
      </c>
      <c r="AP645" t="str">
        <v>5½ API</v>
      </c>
      <c r="AQ645" t="str">
        <v>5½ API</v>
      </c>
      <c r="AS645" t="str">
        <v>19"</v>
      </c>
      <c r="AU645" t="str">
        <v>2 3/4"</v>
      </c>
      <c r="AX645" t="str">
        <v>18" OD Body Dia</v>
      </c>
      <c r="AY645">
        <v>1</v>
      </c>
      <c r="AZ645" t="str">
        <v>PRT</v>
      </c>
    </row>
    <row r="646">
      <c r="AL646" t="str">
        <v>010410-002</v>
      </c>
      <c r="AM646" t="str">
        <v>Shock Sub</v>
      </c>
      <c r="AN646">
        <v>8</v>
      </c>
      <c r="AO646">
        <v>7.625</v>
      </c>
      <c r="AP646" t="str">
        <v>5½ API</v>
      </c>
      <c r="AQ646" t="str">
        <v>6 RH</v>
      </c>
      <c r="AS646">
        <v>25</v>
      </c>
      <c r="AT646">
        <v>400</v>
      </c>
      <c r="AU646" t="str">
        <v>2.81"</v>
      </c>
      <c r="AV646">
        <v>6</v>
      </c>
      <c r="AW646" t="str">
        <v>3 3/8 lg</v>
      </c>
      <c r="AX646" t="str">
        <v>Drilco #5 (17.88 Dia Body)</v>
      </c>
      <c r="AY646">
        <v>1</v>
      </c>
      <c r="AZ646" t="str">
        <v>NCR</v>
      </c>
    </row>
    <row r="647">
      <c r="AL647" t="str">
        <v>010410-001</v>
      </c>
      <c r="AM647" t="str">
        <v>Shock Sub</v>
      </c>
      <c r="AN647">
        <v>8</v>
      </c>
      <c r="AO647">
        <v>8.625</v>
      </c>
      <c r="AP647" t="str">
        <v>5½ API</v>
      </c>
      <c r="AQ647" t="str">
        <v>6 RH</v>
      </c>
      <c r="AS647">
        <v>25</v>
      </c>
      <c r="AT647">
        <v>400</v>
      </c>
      <c r="AU647" t="str">
        <v>2.81"</v>
      </c>
      <c r="AV647">
        <v>7</v>
      </c>
      <c r="AW647" t="str">
        <v>2.69 lg</v>
      </c>
      <c r="AX647" t="str">
        <v>Drilco #5 (17.88 Dia Body)</v>
      </c>
      <c r="AY647">
        <v>1</v>
      </c>
      <c r="AZ647" t="str">
        <v>PRT</v>
      </c>
    </row>
    <row r="648">
      <c r="AL648" t="str">
        <v>010410-004</v>
      </c>
      <c r="AM648" t="str">
        <v>Shock Sub</v>
      </c>
      <c r="AN648">
        <v>8</v>
      </c>
      <c r="AO648">
        <v>8.625</v>
      </c>
      <c r="AP648" t="str">
        <v>6 5/8 API</v>
      </c>
      <c r="AQ648" t="str">
        <v>6 RH</v>
      </c>
      <c r="AS648">
        <v>39</v>
      </c>
      <c r="AT648">
        <v>450</v>
      </c>
      <c r="AU648" t="str">
        <v>3.25"</v>
      </c>
      <c r="AV648">
        <v>7</v>
      </c>
      <c r="AW648" t="str">
        <v>4 lg</v>
      </c>
      <c r="AX648" t="str">
        <v>Drilco #44456-001 (17.88 Dia.)</v>
      </c>
      <c r="AY648">
        <v>1</v>
      </c>
      <c r="AZ648" t="str">
        <v>PRT</v>
      </c>
    </row>
    <row r="649">
      <c r="AL649" t="str">
        <v>018269-002</v>
      </c>
      <c r="AM649" t="str">
        <v>Shock Sub</v>
      </c>
      <c r="AN649">
        <v>8.25</v>
      </c>
      <c r="AO649">
        <v>8.625</v>
      </c>
      <c r="AP649" t="str">
        <v>6 5/8 API</v>
      </c>
      <c r="AQ649" t="str">
        <v>6 RH</v>
      </c>
      <c r="AS649">
        <v>29</v>
      </c>
      <c r="AT649">
        <v>1000</v>
      </c>
      <c r="AU649" t="str">
        <v>3.5"</v>
      </c>
      <c r="AV649">
        <v>7</v>
      </c>
      <c r="AW649" t="str">
        <v>2 lg</v>
      </c>
      <c r="AX649" t="str">
        <v>Barber</v>
      </c>
      <c r="AY649">
        <v>1</v>
      </c>
      <c r="AZ649" t="str">
        <v>PRT</v>
      </c>
    </row>
    <row r="650">
      <c r="AL650" t="str">
        <v>018269-003</v>
      </c>
      <c r="AM650" t="str">
        <v>Shock Sub</v>
      </c>
      <c r="AN650">
        <v>8.25</v>
      </c>
      <c r="AO650">
        <v>9.625</v>
      </c>
      <c r="AP650" t="str">
        <v>6 5/8 API</v>
      </c>
      <c r="AQ650" t="str">
        <v>6 RH</v>
      </c>
      <c r="AS650">
        <v>29</v>
      </c>
      <c r="AT650">
        <v>1000</v>
      </c>
      <c r="AU650" t="str">
        <v>3.5"</v>
      </c>
      <c r="AV650">
        <v>7</v>
      </c>
      <c r="AW650" t="str">
        <v>2 lg</v>
      </c>
      <c r="AX650" t="str">
        <v>Barber</v>
      </c>
      <c r="AY650">
        <v>1</v>
      </c>
      <c r="AZ650" t="str">
        <v>PRT</v>
      </c>
    </row>
    <row r="651">
      <c r="AL651" t="str">
        <v>018269-001</v>
      </c>
      <c r="AM651" t="str">
        <v>Shock Sub</v>
      </c>
      <c r="AN651">
        <v>8.25</v>
      </c>
      <c r="AO651">
        <v>10.25</v>
      </c>
      <c r="AP651" t="str">
        <v>6 5/8 API</v>
      </c>
      <c r="AQ651" t="str">
        <v>8 RH</v>
      </c>
      <c r="AS651">
        <v>29</v>
      </c>
      <c r="AT651">
        <v>1000</v>
      </c>
      <c r="AU651" t="str">
        <v>3.5"</v>
      </c>
      <c r="AV651">
        <v>8</v>
      </c>
      <c r="AW651" t="str">
        <v>2 lg</v>
      </c>
      <c r="AX651" t="str">
        <v>Barber</v>
      </c>
      <c r="AY651">
        <v>1</v>
      </c>
      <c r="AZ651" t="str">
        <v>PRT</v>
      </c>
    </row>
    <row r="652">
      <c r="AL652" t="str">
        <v>007553-001</v>
      </c>
      <c r="AM652" t="str">
        <v>Shock Sub</v>
      </c>
      <c r="AN652" t="str">
        <v>17¼</v>
      </c>
      <c r="AO652">
        <v>5</v>
      </c>
      <c r="AP652" t="str">
        <v>3½ API</v>
      </c>
      <c r="AQ652" t="str">
        <v>3½ API</v>
      </c>
      <c r="AS652">
        <v>17</v>
      </c>
      <c r="AT652">
        <v>400</v>
      </c>
      <c r="AV652">
        <v>3</v>
      </c>
      <c r="AW652" t="str">
        <v>3½</v>
      </c>
      <c r="AY652">
        <v>5</v>
      </c>
      <c r="AZ652" t="str">
        <v>ASY</v>
      </c>
    </row>
    <row r="653">
      <c r="AL653" t="str">
        <v>007553-002</v>
      </c>
      <c r="AM653" t="str">
        <v>Shock Sub</v>
      </c>
      <c r="AN653" t="str">
        <v>17¼</v>
      </c>
      <c r="AO653">
        <v>5</v>
      </c>
      <c r="AP653" t="str">
        <v>3½ API</v>
      </c>
      <c r="AQ653" t="str">
        <v>3½ RH Beco</v>
      </c>
      <c r="AS653">
        <v>17</v>
      </c>
      <c r="AT653">
        <v>400</v>
      </c>
      <c r="AV653">
        <v>3</v>
      </c>
      <c r="AW653" t="str">
        <v>3½</v>
      </c>
      <c r="AY653">
        <v>1</v>
      </c>
      <c r="AZ653" t="str">
        <v>DRL</v>
      </c>
    </row>
    <row r="654">
      <c r="AL654" t="str">
        <v>007553-003</v>
      </c>
      <c r="AM654" t="str">
        <v>Shock Sub</v>
      </c>
      <c r="AN654" t="str">
        <v>17¼</v>
      </c>
      <c r="AO654">
        <v>6</v>
      </c>
      <c r="AP654" t="str">
        <v>3½ API</v>
      </c>
      <c r="AQ654" t="str">
        <v>4½ RH Beco</v>
      </c>
      <c r="AS654">
        <v>17</v>
      </c>
      <c r="AT654">
        <v>400</v>
      </c>
      <c r="AV654" t="str">
        <v>4½</v>
      </c>
      <c r="AW654" t="str">
        <v>1½</v>
      </c>
      <c r="AX654" t="str">
        <v>Req. 002023-007 Wrench Jay</v>
      </c>
      <c r="AY654">
        <v>1</v>
      </c>
      <c r="AZ654" t="str">
        <v>DRL</v>
      </c>
    </row>
    <row r="655">
      <c r="AL655" t="str">
        <v>017818-001</v>
      </c>
      <c r="AM655" t="str">
        <v>Shock Sub</v>
      </c>
      <c r="AN655" t="str">
        <v>5½</v>
      </c>
      <c r="AO655">
        <v>7</v>
      </c>
      <c r="AP655" t="str">
        <v>3½ API</v>
      </c>
      <c r="AQ655" t="str">
        <v>4½ RH</v>
      </c>
      <c r="AS655" t="str">
        <v>26"</v>
      </c>
      <c r="AT655">
        <v>670</v>
      </c>
      <c r="AU655" t="str">
        <v>14½" Body Dia</v>
      </c>
      <c r="AV655">
        <v>5</v>
      </c>
      <c r="AW655" t="str">
        <v>2 lg</v>
      </c>
      <c r="AX655" t="str">
        <v>Barber</v>
      </c>
      <c r="AY655">
        <v>1</v>
      </c>
      <c r="AZ655" t="str">
        <v>PRT</v>
      </c>
    </row>
    <row r="656">
      <c r="AL656" t="str">
        <v>017818-002</v>
      </c>
      <c r="AM656" t="str">
        <v>Shock Sub</v>
      </c>
      <c r="AN656" t="str">
        <v>5½</v>
      </c>
      <c r="AO656">
        <v>7.625</v>
      </c>
      <c r="AP656" t="str">
        <v>3½ API</v>
      </c>
      <c r="AQ656" t="str">
        <v>6 RH</v>
      </c>
      <c r="AS656" t="str">
        <v>26"</v>
      </c>
      <c r="AT656">
        <v>670</v>
      </c>
      <c r="AU656" t="str">
        <v>14½" Body Dia</v>
      </c>
      <c r="AV656">
        <v>6</v>
      </c>
      <c r="AW656" t="str">
        <v>2 lg</v>
      </c>
      <c r="AX656" t="str">
        <v>Barber</v>
      </c>
      <c r="AY656">
        <v>1</v>
      </c>
      <c r="AZ656" t="str">
        <v>PRT</v>
      </c>
    </row>
    <row r="657">
      <c r="AL657" t="str">
        <v>017818-003</v>
      </c>
      <c r="AM657" t="str">
        <v>Shock Sub</v>
      </c>
      <c r="AN657" t="str">
        <v>5½</v>
      </c>
      <c r="AO657">
        <v>7.625</v>
      </c>
      <c r="AP657" t="str">
        <v>3½ API</v>
      </c>
      <c r="AQ657" t="str">
        <v>5½ API</v>
      </c>
      <c r="AS657" t="str">
        <v>26"</v>
      </c>
      <c r="AT657">
        <v>670</v>
      </c>
      <c r="AU657" t="str">
        <v>14½" Body Dia</v>
      </c>
      <c r="AW657" t="str">
        <v>2 lg</v>
      </c>
      <c r="AX657" t="str">
        <v>Barber</v>
      </c>
      <c r="AY657">
        <v>1</v>
      </c>
      <c r="AZ657" t="str">
        <v>PRT</v>
      </c>
    </row>
    <row r="658">
      <c r="AL658" t="str">
        <v>015722-001</v>
      </c>
      <c r="AM658" t="str">
        <v>Shock Sub</v>
      </c>
      <c r="AN658" t="str">
        <v>8½</v>
      </c>
      <c r="AO658">
        <v>8.625</v>
      </c>
      <c r="AP658" t="str">
        <v>6 5/8 API</v>
      </c>
      <c r="AQ658" t="str">
        <v>6 RH</v>
      </c>
      <c r="AS658">
        <v>42</v>
      </c>
      <c r="AU658" t="str">
        <v>Barber</v>
      </c>
      <c r="AV658">
        <v>7</v>
      </c>
      <c r="AW658" t="str">
        <v>4 lg</v>
      </c>
      <c r="AX658" t="str">
        <v>D90K (18" Dia body)</v>
      </c>
      <c r="AY658">
        <v>1</v>
      </c>
      <c r="AZ658" t="str">
        <v>PRT</v>
      </c>
    </row>
  </sheetData>
  <autoFilter ref="AL62:AZ658"/>
  <mergeCells count="18">
    <mergeCell ref="AQ34:AY34"/>
    <mergeCell ref="AZ34:BH34"/>
    <mergeCell ref="FT33:FW33"/>
    <mergeCell ref="FT35:FW35"/>
    <mergeCell ref="FT68:FW68"/>
    <mergeCell ref="BW51:BW58"/>
    <mergeCell ref="BW60:BW67"/>
    <mergeCell ref="AR49:AS49"/>
    <mergeCell ref="AU49:AV49"/>
    <mergeCell ref="FX68:GA68"/>
    <mergeCell ref="FW10:FX10"/>
    <mergeCell ref="FX33:GA33"/>
    <mergeCell ref="FX35:GA35"/>
    <mergeCell ref="CG44:CH44"/>
    <mergeCell ref="CP50:CQ50"/>
    <mergeCell ref="CP44:CQ44"/>
    <mergeCell ref="CP46:CQ46"/>
    <mergeCell ref="CP48:CQ48"/>
  </mergeCells>
  <pageMargins left="0.75" right="0.75" top="1" bottom="1" header="0.5" footer="0.5"/>
  <ignoredErrors>
    <ignoredError numberStoredAsText="1" sqref="Z1:GK658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X95"/>
  <sheetViews>
    <sheetView workbookViewId="0" rightToLeft="0"/>
  </sheetViews>
  <sheetData>
    <row r="1">
      <c r="D1" t="str">
        <v>PRODUCTION BLASTHOLE &amp; DTH CALCULATOR</v>
      </c>
    </row>
    <row r="4">
      <c r="C4" t="str">
        <v xml:space="preserve">Customer name: </v>
      </c>
      <c r="D4" t="str">
        <v xml:space="preserve">Zhanjun </v>
      </c>
      <c r="H4" t="str">
        <v xml:space="preserve">Project name: </v>
      </c>
      <c r="I4" t="str">
        <v>D245 Hard Rock</v>
      </c>
      <c r="M4" t="str">
        <v xml:space="preserve">Date: </v>
      </c>
      <c r="N4" s="1">
        <f>TODAY()</f>
        <v>44143</v>
      </c>
    </row>
    <row r="6">
      <c r="C6" t="str">
        <v xml:space="preserve">Drilling method </v>
      </c>
    </row>
    <row r="7">
      <c r="C7" t="str">
        <f>+'Calc. Sdk'!AB13</f>
        <v>Bit type</v>
      </c>
    </row>
    <row r="8">
      <c r="C8" t="str">
        <v>Shock Sub</v>
      </c>
      <c r="H8" t="str">
        <v xml:space="preserve">Drill rig model </v>
      </c>
      <c r="M8" t="str">
        <v xml:space="preserve">Rock fracturization </v>
      </c>
    </row>
    <row r="9">
      <c r="H9" t="str">
        <v xml:space="preserve">Angle drill </v>
      </c>
      <c r="M9" t="str">
        <v xml:space="preserve">Operator efficiency </v>
      </c>
    </row>
    <row r="11">
      <c r="C11" t="str">
        <v xml:space="preserve">Elevation </v>
      </c>
      <c r="D11">
        <f>IF(D12="","",+D12*0.3048)</f>
        <v>30.48</v>
      </c>
      <c r="E11" t="str">
        <v xml:space="preserve"> m</v>
      </c>
      <c r="H11" t="str">
        <v xml:space="preserve">Ambient temperature </v>
      </c>
      <c r="I11">
        <f>IF(I12="","",+(I12-32)*0.555555555555556)</f>
        <v>32.22222222222225</v>
      </c>
      <c r="J11" t="str">
        <v xml:space="preserve"> °C</v>
      </c>
      <c r="M11" t="str">
        <v xml:space="preserve">Hours per day </v>
      </c>
      <c r="N11">
        <v>24</v>
      </c>
    </row>
    <row r="12">
      <c r="D12">
        <v>100</v>
      </c>
      <c r="E12" t="str">
        <v xml:space="preserve"> ft</v>
      </c>
      <c r="I12">
        <v>90</v>
      </c>
      <c r="J12" t="str">
        <v xml:space="preserve"> °F</v>
      </c>
      <c r="M12" t="str">
        <v xml:space="preserve">Days per year </v>
      </c>
      <c r="N12">
        <v>365</v>
      </c>
    </row>
    <row r="14">
      <c r="C14" t="str">
        <v xml:space="preserve">Bit size </v>
      </c>
      <c r="D14">
        <f>+'Calc. Sdk'!DE2</f>
        <v>12.244094488188978</v>
      </c>
      <c r="E14" t="str">
        <v xml:space="preserve"> mm</v>
      </c>
      <c r="H14" t="str">
        <v xml:space="preserve">Compressor size </v>
      </c>
      <c r="I14">
        <f>+'Calc. Sdk'!BV2/35.31467</f>
        <v>56.63368792629239</v>
      </c>
      <c r="J14" t="str">
        <v xml:space="preserve"> m³/min</v>
      </c>
      <c r="M14" t="str">
        <v xml:space="preserve">Compressor pressure </v>
      </c>
      <c r="N14">
        <f>IF(N15="","",0.06894757*N15)</f>
        <v>6.894757</v>
      </c>
      <c r="O14" t="str">
        <v xml:space="preserve"> bar</v>
      </c>
    </row>
    <row r="15">
      <c r="E15" t="str">
        <v xml:space="preserve"> in</v>
      </c>
      <c r="I15">
        <v>862</v>
      </c>
      <c r="J15" t="str">
        <v xml:space="preserve"> cfm</v>
      </c>
      <c r="N15">
        <f>+'Calc. Sdk'!BN23</f>
        <v>100</v>
      </c>
      <c r="O15" t="str">
        <v xml:space="preserve"> psi</v>
      </c>
    </row>
    <row r="17">
      <c r="C17" t="str">
        <v xml:space="preserve">Drill pipe OD </v>
      </c>
      <c r="D17">
        <f>+'Calc. Sdk'!BC2</f>
        <v>9.645669291338583</v>
      </c>
      <c r="E17" t="str">
        <v xml:space="preserve"> mm</v>
      </c>
      <c r="H17" t="str">
        <v xml:space="preserve">Equivalent volume </v>
      </c>
      <c r="I17">
        <f>+I18/35.31467</f>
        <v>53.89644190701279</v>
      </c>
      <c r="J17" t="str">
        <v xml:space="preserve"> m³/min</v>
      </c>
      <c r="M17" t="str">
        <v xml:space="preserve">Up-hole velocity </v>
      </c>
      <c r="N17">
        <f>+N18*0.3048/60</f>
        <v>31.15947494123835</v>
      </c>
      <c r="O17" t="str">
        <v xml:space="preserve"> m/sec</v>
      </c>
    </row>
    <row r="18">
      <c r="E18" t="str">
        <v xml:space="preserve"> in</v>
      </c>
      <c r="I18">
        <f>+'Calc. Sdk'!DG8</f>
        <v>1903.3350601203274</v>
      </c>
      <c r="J18" t="str">
        <v xml:space="preserve"> cfm</v>
      </c>
      <c r="N18">
        <f>+'Calc. Sdk'!DG2</f>
        <v>6133.754909692589</v>
      </c>
      <c r="O18" t="str">
        <v xml:space="preserve"> fpm</v>
      </c>
    </row>
    <row r="20">
      <c r="C20" t="str">
        <v xml:space="preserve">Bench height </v>
      </c>
      <c r="D20">
        <f>IF(D21="","",+D21*0.3048)</f>
        <v>15.24</v>
      </c>
      <c r="E20" t="str">
        <v xml:space="preserve"> m</v>
      </c>
      <c r="H20" t="str">
        <v xml:space="preserve">Burden </v>
      </c>
      <c r="I20">
        <f>IF(I21="","",+I21*0.3048)</f>
        <v>6.699504</v>
      </c>
      <c r="J20" t="str">
        <v xml:space="preserve"> m</v>
      </c>
      <c r="M20" t="str">
        <v xml:space="preserve">Rock UCS </v>
      </c>
      <c r="N20">
        <f>+N21*0.006894757</f>
        <v>144.789897</v>
      </c>
      <c r="O20" t="str">
        <v xml:space="preserve"> MPa</v>
      </c>
    </row>
    <row r="21">
      <c r="D21">
        <v>50</v>
      </c>
      <c r="E21" t="str">
        <v xml:space="preserve"> ft</v>
      </c>
      <c r="I21">
        <v>21.98</v>
      </c>
      <c r="J21" t="str">
        <v xml:space="preserve"> ft</v>
      </c>
      <c r="L21" t="str">
        <v>SA</v>
      </c>
      <c r="N21">
        <v>21000</v>
      </c>
      <c r="O21" t="str">
        <v xml:space="preserve"> psi</v>
      </c>
    </row>
    <row r="23">
      <c r="C23" t="str">
        <v xml:space="preserve">Sub-drilling </v>
      </c>
      <c r="D23">
        <f>IF(D24="","",+D24*0.3048)</f>
        <v>2</v>
      </c>
      <c r="E23" t="str">
        <v xml:space="preserve"> m</v>
      </c>
      <c r="H23" t="str">
        <v xml:space="preserve">Spacing </v>
      </c>
      <c r="I23">
        <f>IF(I24="","",+I24*0.3048)</f>
        <v>7.7022960000000005</v>
      </c>
      <c r="J23" t="str">
        <v xml:space="preserve"> m</v>
      </c>
      <c r="M23" t="str">
        <v xml:space="preserve">Rock density in-situ </v>
      </c>
      <c r="N23">
        <f>+N24/0.75248</f>
        <v>2.870508186264087</v>
      </c>
      <c r="O23" t="str">
        <v xml:space="preserve"> tonne/m³</v>
      </c>
    </row>
    <row r="24">
      <c r="D24">
        <v>6.561679790026247</v>
      </c>
      <c r="E24" t="str">
        <v xml:space="preserve"> ft</v>
      </c>
      <c r="I24">
        <v>25.27</v>
      </c>
      <c r="J24" t="str">
        <v xml:space="preserve"> ft</v>
      </c>
      <c r="N24">
        <v>2.16</v>
      </c>
      <c r="O24" t="str">
        <v xml:space="preserve"> ton/yd³</v>
      </c>
    </row>
    <row r="26">
      <c r="C26" t="str">
        <v xml:space="preserve">Piece(s) pipe to add </v>
      </c>
      <c r="D26">
        <f>IF((D21+D24)&lt;'Calc. Sdk'!EG2,0,'Calc. Sdk'!EL2)</f>
        <v>0</v>
      </c>
      <c r="H26" t="str">
        <v xml:space="preserve">Rotation Speed </v>
      </c>
      <c r="I26">
        <v>90</v>
      </c>
      <c r="J26" t="str">
        <v>RPM</v>
      </c>
      <c r="M26" t="str">
        <f>IF(N18&lt;5000,"Check pipe-bit-compressor combination",IF(N18&gt;10000,"Check pipe-bit-compressor combination",""))</f>
        <v/>
      </c>
    </row>
    <row r="27">
      <c r="C27" t="str">
        <v xml:space="preserve">Piece(s) pipe to add </v>
      </c>
      <c r="M27" t="str">
        <f>'Calc. Sdk'!GB25</f>
        <v/>
      </c>
    </row>
    <row r="28">
      <c r="C28" t="str">
        <v>Optimum bit load for Hole Size and Rock</v>
      </c>
      <c r="D28">
        <f>IF(D29="","",+D29*0.004448222)</f>
        <v>434.4670560520484</v>
      </c>
      <c r="E28" t="str">
        <v xml:space="preserve"> kN</v>
      </c>
      <c r="H28" t="str">
        <v xml:space="preserve">Rotation power </v>
      </c>
      <c r="I28">
        <f>IF(I29="","",+I29*0.7457)</f>
        <v>161.70614797814096</v>
      </c>
      <c r="J28" t="str">
        <v xml:space="preserve"> kW</v>
      </c>
      <c r="M28" t="str">
        <f>+'Calc. Sdk'!FD33</f>
        <v/>
      </c>
    </row>
    <row r="29">
      <c r="D29">
        <f>+'Calc. Sdk'!DI7</f>
        <v>97672.07123476491</v>
      </c>
      <c r="E29" t="str">
        <v xml:space="preserve"> lb.</v>
      </c>
      <c r="I29">
        <f>+'Calc. Sdk'!DI8</f>
        <v>216.85147911779663</v>
      </c>
      <c r="J29" t="str">
        <v xml:space="preserve"> HP</v>
      </c>
      <c r="M29" t="str">
        <f>+'Calc. Sdk'!FD29</f>
        <v/>
      </c>
    </row>
    <row r="31">
      <c r="C31" t="str">
        <v>Set Pulldown</v>
      </c>
      <c r="D31">
        <v>40000</v>
      </c>
      <c r="E31" t="str">
        <v xml:space="preserve"> lb.</v>
      </c>
    </row>
    <row r="33">
      <c r="C33" t="str">
        <v>Instantaneous penetration rate</v>
      </c>
      <c r="D33">
        <f>IF(D34="","",0.3048*D34)</f>
        <v>5.495272440741955</v>
      </c>
      <c r="E33" t="str">
        <v xml:space="preserve"> m/hr</v>
      </c>
      <c r="H33" t="str">
        <v>Net penetration rate</v>
      </c>
      <c r="I33">
        <f>IF(I34="","",0.3048*I34)</f>
        <v>1.2271118990082115</v>
      </c>
      <c r="J33" t="str">
        <v xml:space="preserve"> m/hr</v>
      </c>
      <c r="M33" t="str">
        <v xml:space="preserve">Mech. availability </v>
      </c>
    </row>
    <row r="34">
      <c r="D34">
        <f>+'Calc. Sdk'!DI4</f>
        <v>18.029109057552343</v>
      </c>
      <c r="E34" t="str">
        <v xml:space="preserve"> fph</v>
      </c>
      <c r="I34">
        <f>'Calc. Sdk'!EX14</f>
        <v>4.025957673911455</v>
      </c>
      <c r="J34" t="str">
        <v xml:space="preserve"> fph</v>
      </c>
      <c r="M34" t="str">
        <v xml:space="preserve">Fleet utilization </v>
      </c>
      <c r="N34">
        <v>60</v>
      </c>
    </row>
    <row r="36">
      <c r="H36" t="str">
        <v>Estimated Cycle Time per Hole</v>
      </c>
      <c r="I36">
        <f>'Calc. Sdk'!EX8</f>
        <v>268.25915408860135</v>
      </c>
      <c r="J36" t="str">
        <v>mins</v>
      </c>
    </row>
    <row r="38">
      <c r="C38" t="str">
        <v xml:space="preserve">Production requirements </v>
      </c>
      <c r="D38">
        <f>IF(E38=" tonne",+D39*0.9071847,+D39*0.7645549)</f>
        <v>20999999.500968598</v>
      </c>
      <c r="E38" t="str">
        <f>+'Calc. Sdk'!DO2</f>
        <v xml:space="preserve"> tonne</v>
      </c>
      <c r="H38" t="str">
        <v xml:space="preserve">Drilling required </v>
      </c>
      <c r="I38">
        <f>IF(I39="","",+I39*0.3048)</f>
        <v>302844.13826325367</v>
      </c>
      <c r="J38" t="str">
        <v xml:space="preserve"> m</v>
      </c>
      <c r="M38" t="str">
        <v xml:space="preserve">Hours of drilling </v>
      </c>
      <c r="N38">
        <f>+I39/I34</f>
        <v>246794.23164914412</v>
      </c>
      <c r="O38" t="str">
        <v xml:space="preserve"> hr.</v>
      </c>
    </row>
    <row r="39">
      <c r="D39">
        <v>23148538</v>
      </c>
      <c r="E39" t="str">
        <v xml:space="preserve"> ft</v>
      </c>
      <c r="I39">
        <f>+'Calc. Sdk'!DM8</f>
        <v>993583.1307849529</v>
      </c>
      <c r="J39" t="str">
        <v xml:space="preserve"> ft</v>
      </c>
      <c r="M39" t="str">
        <v xml:space="preserve">Fleet size </v>
      </c>
      <c r="N39">
        <f>ROUNDUP((+N38/(N11*N12*'Calc. Sdk'!DH35*'Calc. Sdk'!DH54)),0)</f>
        <v>41</v>
      </c>
      <c r="O39" t="str">
        <v xml:space="preserve"> drill(s)</v>
      </c>
    </row>
    <row r="41">
      <c r="C41" t="str">
        <v xml:space="preserve">Fleet capacity </v>
      </c>
      <c r="D41">
        <f>+D38*N41/N38</f>
        <v>21026194.664328568</v>
      </c>
      <c r="E41" t="str">
        <f>+E38</f>
        <v xml:space="preserve"> tonne</v>
      </c>
      <c r="H41" t="str">
        <v xml:space="preserve">Fleet capacity </v>
      </c>
      <c r="I41">
        <f>+N41*I38/N38</f>
        <v>303221.90263767896</v>
      </c>
      <c r="J41" t="str">
        <v xml:space="preserve"> m</v>
      </c>
      <c r="M41" t="str">
        <v xml:space="preserve">Fleet hours </v>
      </c>
      <c r="N41">
        <f>+N39*N11*N12*'Calc. Sdk'!DH35*'Calc. Sdk'!DH54</f>
        <v>247102.08</v>
      </c>
      <c r="O41" t="str">
        <v xml:space="preserve"> hr.</v>
      </c>
    </row>
    <row r="42">
      <c r="D42">
        <f>+D39*I41/I38</f>
        <v>23177413.226136383</v>
      </c>
      <c r="E42" t="str">
        <f>IF(E41=" bcm"," bcyd"," ton")</f>
        <v xml:space="preserve"> ton</v>
      </c>
      <c r="I42">
        <f>+I39*N41/N38</f>
        <v>994822.515215482</v>
      </c>
      <c r="J42" t="str">
        <v xml:space="preserve"> ft</v>
      </c>
    </row>
  </sheetData>
  <mergeCells count="27">
    <mergeCell ref="D1:N3"/>
    <mergeCell ref="D4:F4"/>
    <mergeCell ref="I4:K4"/>
    <mergeCell ref="N4:O4"/>
    <mergeCell ref="C11:C12"/>
    <mergeCell ref="H11:H12"/>
    <mergeCell ref="C14:C15"/>
    <mergeCell ref="H14:H15"/>
    <mergeCell ref="M14:M15"/>
    <mergeCell ref="C17:C18"/>
    <mergeCell ref="H17:H18"/>
    <mergeCell ref="M17:M18"/>
    <mergeCell ref="C20:C21"/>
    <mergeCell ref="H20:H21"/>
    <mergeCell ref="M20:M21"/>
    <mergeCell ref="C23:C24"/>
    <mergeCell ref="H23:H24"/>
    <mergeCell ref="M23:M24"/>
    <mergeCell ref="C41:C42"/>
    <mergeCell ref="H41:H42"/>
    <mergeCell ref="M27:O27"/>
    <mergeCell ref="C28:C29"/>
    <mergeCell ref="H28:H29"/>
    <mergeCell ref="C33:C34"/>
    <mergeCell ref="H33:H34"/>
    <mergeCell ref="C38:C39"/>
    <mergeCell ref="H38:H39"/>
  </mergeCells>
  <pageMargins left="0.7" right="0.7" top="0.75" bottom="0.75" header="0.3" footer="0.3"/>
  <ignoredErrors>
    <ignoredError numberStoredAsText="1" sqref="A1:X9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5" bottom="0.75" header="0.3" footer="0.3"/>
  <ignoredErrors>
    <ignoredError numberStoredAsText="1" sqref="A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5" bottom="0.75" header="0.3" footer="0.3"/>
  <ignoredErrors>
    <ignoredError numberStoredAsText="1" sqref="A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>Driltech Mission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Calculator</vt:lpstr>
      <vt:lpstr>Calc. Sdk</vt:lpstr>
      <vt:lpstr>Production Calculator Comp.</vt:lpstr>
      <vt:lpstr>Calc. Comp.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2005-01-21T13:21:37Z</dcterms:created>
  <dcterms:modified xsi:type="dcterms:W3CDTF">2020-11-08T20:42:17Z</dcterms:modified>
  <cp:lastModifiedBy>Justin Lapidus</cp:lastModifiedBy>
  <cp:lastPrinted>2016-02-03T15:26:03Z</cp:lastPrinted>
  <dc:creator>peherna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paul.d.morgan@sandvik.com</vt:lpwstr>
  </property>
  <property fmtid="{D5CDD505-2E9C-101B-9397-08002B2CF9AE}" pid="5" name="MSIP_Label_e58707db-cea7-4907-92d1-cf323291762b_SetDate">
    <vt:lpwstr>2019-09-25T17:48:16.6341576Z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</Properties>
</file>