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BBA589C2-50DE-4D4C-B01E-A11CD293A011}" xr6:coauthVersionLast="47" xr6:coauthVersionMax="47" xr10:uidLastSave="{00000000-0000-0000-0000-000000000000}"/>
  <bookViews>
    <workbookView xWindow="-108" yWindow="-108" windowWidth="23256" windowHeight="12456" activeTab="1" xr2:uid="{6CBC48F7-2CC4-4B89-AFFD-9D9230D1A6D8}"/>
  </bookViews>
  <sheets>
    <sheet name="Calle" sheetId="1" r:id="rId1"/>
    <sheet name="Lampar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3" l="1"/>
  <c r="H3" i="1"/>
  <c r="I3" i="1"/>
  <c r="N3" i="1"/>
  <c r="O3" i="1" s="1"/>
  <c r="O4" i="1"/>
  <c r="O5" i="1"/>
  <c r="O7" i="1"/>
  <c r="O8" i="1"/>
  <c r="O9" i="1"/>
  <c r="N4" i="1"/>
  <c r="N5" i="1"/>
  <c r="N6" i="1"/>
  <c r="O6" i="1" s="1"/>
  <c r="N7" i="1"/>
  <c r="N8" i="1"/>
  <c r="N9" i="1"/>
  <c r="N10" i="1"/>
  <c r="O10" i="1" s="1"/>
  <c r="F16" i="3"/>
  <c r="G16" i="3" s="1"/>
  <c r="L4" i="3"/>
  <c r="L5" i="3"/>
  <c r="L6" i="3"/>
  <c r="L7" i="3"/>
  <c r="L3" i="3"/>
  <c r="K4" i="3"/>
  <c r="K5" i="3"/>
  <c r="K6" i="3"/>
  <c r="K7" i="3"/>
  <c r="K3" i="3"/>
  <c r="G7" i="3"/>
  <c r="G6" i="3"/>
  <c r="H6" i="3" s="1"/>
  <c r="G5" i="3"/>
  <c r="G4" i="3"/>
  <c r="G3" i="3"/>
  <c r="F15" i="3"/>
  <c r="D19" i="3"/>
  <c r="D18" i="3"/>
  <c r="D17" i="3"/>
  <c r="E19" i="3" s="1"/>
  <c r="I7" i="3" s="1"/>
  <c r="D16" i="3"/>
  <c r="E16" i="3" s="1"/>
  <c r="S21" i="3"/>
  <c r="S20" i="3"/>
  <c r="S19" i="3"/>
  <c r="S18" i="3"/>
  <c r="E18" i="3"/>
  <c r="S17" i="3"/>
  <c r="S16" i="3"/>
  <c r="S15" i="3"/>
  <c r="G15" i="3"/>
  <c r="E15" i="3"/>
  <c r="S14" i="3"/>
  <c r="T14" i="3" s="1"/>
  <c r="M3" i="3" s="1"/>
  <c r="H4" i="3"/>
  <c r="F15" i="1"/>
  <c r="F16" i="1"/>
  <c r="E15" i="1"/>
  <c r="E16" i="1"/>
  <c r="U20" i="1"/>
  <c r="U19" i="1"/>
  <c r="U18" i="1"/>
  <c r="U17" i="1"/>
  <c r="U15" i="1"/>
  <c r="U21" i="1"/>
  <c r="U16" i="1"/>
  <c r="U14" i="1"/>
  <c r="G10" i="1"/>
  <c r="H10" i="1" s="1"/>
  <c r="G9" i="1"/>
  <c r="H9" i="1" s="1"/>
  <c r="G8" i="1"/>
  <c r="H8" i="1" s="1"/>
  <c r="G7" i="1"/>
  <c r="G5" i="1"/>
  <c r="H5" i="1" s="1"/>
  <c r="G4" i="1"/>
  <c r="H4" i="1" s="1"/>
  <c r="G3" i="1"/>
  <c r="J3" i="1" s="1"/>
  <c r="G6" i="1"/>
  <c r="K3" i="1" l="1"/>
  <c r="L3" i="1" s="1"/>
  <c r="V21" i="1"/>
  <c r="M10" i="1"/>
  <c r="T19" i="3"/>
  <c r="T15" i="3"/>
  <c r="M4" i="3" s="1"/>
  <c r="E17" i="3"/>
  <c r="I5" i="3" s="1"/>
  <c r="H5" i="3"/>
  <c r="H7" i="3"/>
  <c r="I4" i="3"/>
  <c r="I6" i="3"/>
  <c r="I3" i="3"/>
  <c r="T16" i="3"/>
  <c r="M5" i="3" s="1"/>
  <c r="T17" i="3"/>
  <c r="M6" i="3" s="1"/>
  <c r="T21" i="3"/>
  <c r="T20" i="3"/>
  <c r="T18" i="3"/>
  <c r="M7" i="3" s="1"/>
  <c r="J5" i="3"/>
  <c r="H3" i="3"/>
  <c r="J4" i="3"/>
  <c r="J3" i="3"/>
  <c r="J7" i="3"/>
  <c r="J6" i="3"/>
  <c r="I4" i="1"/>
  <c r="V17" i="1"/>
  <c r="M6" i="1" s="1"/>
  <c r="V15" i="1"/>
  <c r="M4" i="1" s="1"/>
  <c r="V19" i="1"/>
  <c r="M8" i="1" s="1"/>
  <c r="V16" i="1"/>
  <c r="M5" i="1" s="1"/>
  <c r="V18" i="1"/>
  <c r="M7" i="1" s="1"/>
  <c r="V20" i="1"/>
  <c r="M9" i="1" s="1"/>
  <c r="V14" i="1"/>
  <c r="M3" i="1" s="1"/>
  <c r="J9" i="1"/>
  <c r="J6" i="1"/>
  <c r="J10" i="1"/>
  <c r="J5" i="1"/>
  <c r="J7" i="1"/>
  <c r="J4" i="1"/>
  <c r="K4" i="1" s="1"/>
  <c r="L4" i="1" s="1"/>
  <c r="H6" i="1"/>
  <c r="J8" i="1"/>
  <c r="H7" i="1"/>
  <c r="E23" i="1"/>
  <c r="E17" i="1"/>
  <c r="I5" i="1" s="1"/>
  <c r="E18" i="1"/>
  <c r="I6" i="1" s="1"/>
  <c r="E19" i="1"/>
  <c r="I7" i="1" s="1"/>
  <c r="E20" i="1"/>
  <c r="I8" i="1" s="1"/>
  <c r="E21" i="1"/>
  <c r="I9" i="1" s="1"/>
  <c r="E22" i="1"/>
  <c r="I10" i="1" s="1"/>
  <c r="G16" i="1"/>
  <c r="G15" i="1"/>
  <c r="H18" i="1"/>
  <c r="L11" i="1" l="1"/>
  <c r="K10" i="1"/>
  <c r="L10" i="1" s="1"/>
  <c r="K9" i="1"/>
  <c r="L9" i="1" s="1"/>
  <c r="K6" i="1"/>
  <c r="L6" i="1" s="1"/>
  <c r="K7" i="1"/>
  <c r="L7" i="1" s="1"/>
  <c r="K5" i="1"/>
  <c r="L5" i="1" s="1"/>
  <c r="K8" i="1"/>
  <c r="L8" i="1" s="1"/>
</calcChain>
</file>

<file path=xl/sharedStrings.xml><?xml version="1.0" encoding="utf-8"?>
<sst xmlns="http://schemas.openxmlformats.org/spreadsheetml/2006/main" count="69" uniqueCount="38">
  <si>
    <t>FOCOS</t>
  </si>
  <si>
    <t>AREA (px2)</t>
  </si>
  <si>
    <t>AREA bg (px2)</t>
  </si>
  <si>
    <t>D (m)</t>
  </si>
  <si>
    <t>D (inverso) (m)</t>
  </si>
  <si>
    <t xml:space="preserve">% DIF </t>
  </si>
  <si>
    <t xml:space="preserve"># de la Foto </t>
  </si>
  <si>
    <t>Formula 4</t>
  </si>
  <si>
    <t>Error ()</t>
  </si>
  <si>
    <t xml:space="preserve">Real </t>
  </si>
  <si>
    <t>LAMPARA 1</t>
  </si>
  <si>
    <t>LAMPARA 2</t>
  </si>
  <si>
    <t>LAMPARA 3</t>
  </si>
  <si>
    <t>LAMPARA 5</t>
  </si>
  <si>
    <t>LAMPARA 6</t>
  </si>
  <si>
    <t>Metros</t>
  </si>
  <si>
    <t xml:space="preserve">Hipotenusa </t>
  </si>
  <si>
    <t>angulo referencia</t>
  </si>
  <si>
    <t xml:space="preserve">LAMPARA 4 </t>
  </si>
  <si>
    <t xml:space="preserve">LAMPARA 7 </t>
  </si>
  <si>
    <t xml:space="preserve">LAMPARA 8 </t>
  </si>
  <si>
    <t>Correcciones</t>
  </si>
  <si>
    <t>Lampara</t>
  </si>
  <si>
    <t>L</t>
  </si>
  <si>
    <t>L(i)/L(1)</t>
  </si>
  <si>
    <t>D _inverso_corregido (m)</t>
  </si>
  <si>
    <t>Area</t>
  </si>
  <si>
    <t>Bombillo</t>
  </si>
  <si>
    <t>Diferencia de D</t>
  </si>
  <si>
    <t xml:space="preserve">Diferencia de D </t>
  </si>
  <si>
    <t xml:space="preserve">Diferencia </t>
  </si>
  <si>
    <t>d (m)</t>
  </si>
  <si>
    <t>FOCO</t>
  </si>
  <si>
    <t>F</t>
  </si>
  <si>
    <t>F_bg</t>
  </si>
  <si>
    <t>F - F_bg</t>
  </si>
  <si>
    <t>Posición</t>
  </si>
  <si>
    <t>F_ 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</si>
</sst>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000"/>
    <numFmt numFmtId="167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/>
    <xf numFmtId="164" fontId="0" fillId="0" borderId="1" xfId="0" applyNumberFormat="1" applyBorder="1"/>
    <xf numFmtId="2" fontId="0" fillId="0" borderId="0" xfId="0" applyNumberFormat="1"/>
    <xf numFmtId="165" fontId="0" fillId="0" borderId="0" xfId="0" applyNumberFormat="1"/>
    <xf numFmtId="165" fontId="2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0" fillId="0" borderId="10" xfId="0" applyBorder="1"/>
    <xf numFmtId="2" fontId="0" fillId="0" borderId="1" xfId="0" applyNumberForma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10" fontId="0" fillId="0" borderId="0" xfId="0" applyNumberFormat="1"/>
    <xf numFmtId="167" fontId="1" fillId="0" borderId="7" xfId="0" applyNumberFormat="1" applyFont="1" applyBorder="1" applyAlignment="1">
      <alignment horizontal="center" vertical="center"/>
    </xf>
    <xf numFmtId="167" fontId="0" fillId="0" borderId="4" xfId="0" applyNumberFormat="1" applyBorder="1"/>
    <xf numFmtId="167" fontId="0" fillId="0" borderId="0" xfId="0" applyNumberFormat="1"/>
    <xf numFmtId="167" fontId="0" fillId="0" borderId="1" xfId="0" applyNumberFormat="1" applyBorder="1"/>
    <xf numFmtId="167" fontId="0" fillId="0" borderId="4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</a:t>
            </a:r>
            <a:r>
              <a:rPr lang="es-CO" baseline="0"/>
              <a:t> de distancia calculada para lámparas de calle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Calculadas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A253CE8-582E-49C1-BC18-FF99EC5724E6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D7A-4BFD-BCD8-9F5B827AE76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019C871-9DEC-4CFC-80C1-1028A1864E71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D7A-4BFD-BCD8-9F5B827AE76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D9C98F1-A07D-4DEB-A36B-7ABD5F57BC86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D7A-4BFD-BCD8-9F5B827AE76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BA4276D-580F-44F0-8C30-A1ABEE04D333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D7A-4BFD-BCD8-9F5B827AE76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40EA988-CF4D-4F2E-A170-3323AEBA6092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D7A-4BFD-BCD8-9F5B827AE76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94EFF51-CA82-47CD-90DE-819AAEE5CF56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D7A-4BFD-BCD8-9F5B827AE76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0D0AB5A-C1A5-4BE9-BC56-F3EC65726AAE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D7A-4BFD-BCD8-9F5B827AE76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A384E41-4463-4A9B-960E-D3AEA3B1352C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D7A-4BFD-BCD8-9F5B827AE764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49736572093935"/>
                  <c:y val="-0.159633600668540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Calle!$C$3:$C$10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Calle!$J$3:$J$10</c:f>
              <c:numCache>
                <c:formatCode>0.00</c:formatCode>
                <c:ptCount val="8"/>
                <c:pt idx="0">
                  <c:v>30.7</c:v>
                </c:pt>
                <c:pt idx="1">
                  <c:v>49.164990579376514</c:v>
                </c:pt>
                <c:pt idx="2">
                  <c:v>72.40818471440366</c:v>
                </c:pt>
                <c:pt idx="3">
                  <c:v>71.260801708073672</c:v>
                </c:pt>
                <c:pt idx="4">
                  <c:v>89.007233048717382</c:v>
                </c:pt>
                <c:pt idx="5">
                  <c:v>98.025020960592826</c:v>
                </c:pt>
                <c:pt idx="6">
                  <c:v>112.03722567551165</c:v>
                </c:pt>
                <c:pt idx="7">
                  <c:v>120.64638936696605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Calle!$L$3:$L$10</c15:f>
                <c15:dlblRangeCache>
                  <c:ptCount val="8"/>
                  <c:pt idx="0">
                    <c:v>0,00%</c:v>
                  </c:pt>
                  <c:pt idx="1">
                    <c:v>9,24%</c:v>
                  </c:pt>
                  <c:pt idx="2">
                    <c:v>8,01%</c:v>
                  </c:pt>
                  <c:pt idx="3">
                    <c:v>31,13%</c:v>
                  </c:pt>
                  <c:pt idx="4">
                    <c:v>32,11%</c:v>
                  </c:pt>
                  <c:pt idx="5">
                    <c:v>37,96%</c:v>
                  </c:pt>
                  <c:pt idx="6">
                    <c:v>38,68%</c:v>
                  </c:pt>
                  <c:pt idx="7">
                    <c:v>41,86%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320-4648-8EDD-390169C8C251}"/>
            </c:ext>
          </c:extLst>
        </c:ser>
        <c:ser>
          <c:idx val="1"/>
          <c:order val="1"/>
          <c:tx>
            <c:v>Teórica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Calle!$C$3:$C$10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Calle!$I$3:$I$10</c:f>
              <c:numCache>
                <c:formatCode>0.00</c:formatCode>
                <c:ptCount val="8"/>
                <c:pt idx="0">
                  <c:v>30.7</c:v>
                </c:pt>
                <c:pt idx="1">
                  <c:v>54.169631632893875</c:v>
                </c:pt>
                <c:pt idx="2">
                  <c:v>78.708972086774068</c:v>
                </c:pt>
                <c:pt idx="3">
                  <c:v>103.46500410916636</c:v>
                </c:pt>
                <c:pt idx="4">
                  <c:v>131.09552938153311</c:v>
                </c:pt>
                <c:pt idx="5">
                  <c:v>158.0139991735669</c:v>
                </c:pt>
                <c:pt idx="6">
                  <c:v>182.71325206976053</c:v>
                </c:pt>
                <c:pt idx="7">
                  <c:v>207.49740319274619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20-4648-8EDD-390169C8C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40626847"/>
        <c:axId val="740627327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serie3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0.1241495656924741"/>
                        <c:y val="-8.1149752114319004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Calle!$C$3:$C$10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(Calle!$J$3,Calle!$J$4,Calle!$J$5,Calle!$J$6,Calle!$M$7,Calle!$J$8,Calle!$M$9,Calle!$M$10)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30.7</c:v>
                      </c:pt>
                      <c:pt idx="1">
                        <c:v>49.164990579376514</c:v>
                      </c:pt>
                      <c:pt idx="2">
                        <c:v>72.40818471440366</c:v>
                      </c:pt>
                      <c:pt idx="3">
                        <c:v>71.260801708073672</c:v>
                      </c:pt>
                      <c:pt idx="4">
                        <c:v>90.459885966697044</c:v>
                      </c:pt>
                      <c:pt idx="5">
                        <c:v>98.025020960592826</c:v>
                      </c:pt>
                      <c:pt idx="6">
                        <c:v>149.77835954546728</c:v>
                      </c:pt>
                      <c:pt idx="7">
                        <c:v>183.31736629275045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04A-4529-BD02-58BC64F936ED}"/>
                  </c:ext>
                </c:extLst>
              </c15:ser>
            </c15:filteredScatterSeries>
          </c:ext>
        </c:extLst>
      </c:scatterChart>
      <c:valAx>
        <c:axId val="74062684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lámpara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0627327"/>
        <c:crosses val="autoZero"/>
        <c:crossBetween val="midCat"/>
      </c:valAx>
      <c:valAx>
        <c:axId val="74062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  <a:r>
                  <a:rPr lang="es-CO" baseline="0"/>
                  <a:t>_inverso (m)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0626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Corrección de distancia calculada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Corrección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9F89CE1-1F3A-4959-B69C-4BFDCCB3FE99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99FD-4135-9113-9EF73B6F1E1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46E7558-C656-4537-9A49-EC83AEDE0B1D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9FD-4135-9113-9EF73B6F1E1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90DDC8E-8D73-4987-8969-7287698A610F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9FD-4135-9113-9EF73B6F1E14}"/>
                </c:ext>
              </c:extLst>
            </c:dLbl>
            <c:dLbl>
              <c:idx val="3"/>
              <c:layout>
                <c:manualLayout>
                  <c:x val="-5.1503649566245868E-2"/>
                  <c:y val="3.7004443072066975E-2"/>
                </c:manualLayout>
              </c:layout>
              <c:tx>
                <c:rich>
                  <a:bodyPr/>
                  <a:lstStyle/>
                  <a:p>
                    <a:fld id="{6E18D64A-4805-47E2-B59D-7ADF7214A95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99FD-4135-9113-9EF73B6F1E14}"/>
                </c:ext>
              </c:extLst>
            </c:dLbl>
            <c:dLbl>
              <c:idx val="4"/>
              <c:layout>
                <c:manualLayout>
                  <c:x val="-2.7565887746975971E-2"/>
                  <c:y val="4.1361741547012429E-2"/>
                </c:manualLayout>
              </c:layout>
              <c:tx>
                <c:rich>
                  <a:bodyPr/>
                  <a:lstStyle/>
                  <a:p>
                    <a:fld id="{38F5B85C-91DE-4B47-84F2-7D856345FE4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9FD-4135-9113-9EF73B6F1E14}"/>
                </c:ext>
              </c:extLst>
            </c:dLbl>
            <c:dLbl>
              <c:idx val="5"/>
              <c:layout>
                <c:manualLayout>
                  <c:x val="-6.6203461551148117E-3"/>
                  <c:y val="6.5033537474481554E-3"/>
                </c:manualLayout>
              </c:layout>
              <c:tx>
                <c:rich>
                  <a:bodyPr/>
                  <a:lstStyle/>
                  <a:p>
                    <a:fld id="{6F16462C-4D54-4BB8-A538-63CCF08A71EC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9FD-4135-9113-9EF73B6F1E14}"/>
                </c:ext>
              </c:extLst>
            </c:dLbl>
            <c:dLbl>
              <c:idx val="6"/>
              <c:layout>
                <c:manualLayout>
                  <c:x val="2.3563145271112904E-3"/>
                  <c:y val="2.8289846122175905E-2"/>
                </c:manualLayout>
              </c:layout>
              <c:tx>
                <c:rich>
                  <a:bodyPr/>
                  <a:lstStyle/>
                  <a:p>
                    <a:fld id="{A3A218BC-CFA0-4085-BE60-5F74C649590D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99FD-4135-9113-9EF73B6F1E14}"/>
                </c:ext>
              </c:extLst>
            </c:dLbl>
            <c:dLbl>
              <c:idx val="7"/>
              <c:layout>
                <c:manualLayout>
                  <c:x val="-1.2604786609932287E-2"/>
                  <c:y val="6.5033537474481953E-3"/>
                </c:manualLayout>
              </c:layout>
              <c:tx>
                <c:rich>
                  <a:bodyPr/>
                  <a:lstStyle/>
                  <a:p>
                    <a:fld id="{82ED4942-C2AE-4EE3-8A54-915DA72E3B4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99FD-4135-9113-9EF73B6F1E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663636749176553"/>
                  <c:y val="-0.123621017960990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Calle!$C$3:$C$10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(Calle!$J$3,Calle!$J$4,Calle!$J$5,Calle!$J$6,Calle!$M$7,Calle!$J$8,Calle!$M$9,Calle!$M$10)</c:f>
              <c:numCache>
                <c:formatCode>0.00</c:formatCode>
                <c:ptCount val="8"/>
                <c:pt idx="0">
                  <c:v>30.7</c:v>
                </c:pt>
                <c:pt idx="1">
                  <c:v>49.164990579376514</c:v>
                </c:pt>
                <c:pt idx="2">
                  <c:v>72.40818471440366</c:v>
                </c:pt>
                <c:pt idx="3">
                  <c:v>71.260801708073672</c:v>
                </c:pt>
                <c:pt idx="4">
                  <c:v>90.459885966697044</c:v>
                </c:pt>
                <c:pt idx="5">
                  <c:v>98.025020960592826</c:v>
                </c:pt>
                <c:pt idx="6">
                  <c:v>149.77835954546728</c:v>
                </c:pt>
                <c:pt idx="7">
                  <c:v>183.31736629275045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(Calle!$O$3,Calle!$L$4:$L$6,Calle!$O$7,Calle!$L$8,Calle!$O$9:$O$10)</c15:f>
                <c15:dlblRangeCache>
                  <c:ptCount val="8"/>
                  <c:pt idx="0">
                    <c:v>0,00%</c:v>
                  </c:pt>
                  <c:pt idx="1">
                    <c:v>9,24%</c:v>
                  </c:pt>
                  <c:pt idx="2">
                    <c:v>8,01%</c:v>
                  </c:pt>
                  <c:pt idx="3">
                    <c:v>31,13%</c:v>
                  </c:pt>
                  <c:pt idx="4">
                    <c:v>31,00%</c:v>
                  </c:pt>
                  <c:pt idx="5">
                    <c:v>37,96%</c:v>
                  </c:pt>
                  <c:pt idx="6">
                    <c:v>18,03%</c:v>
                  </c:pt>
                  <c:pt idx="7">
                    <c:v>11,65%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48E-4762-B232-04E3F8BABAAE}"/>
            </c:ext>
          </c:extLst>
        </c:ser>
        <c:ser>
          <c:idx val="1"/>
          <c:order val="1"/>
          <c:tx>
            <c:v>Teórica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Calle!$C$3:$C$10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Calle!$I$3:$I$10</c:f>
              <c:numCache>
                <c:formatCode>0.00</c:formatCode>
                <c:ptCount val="8"/>
                <c:pt idx="0">
                  <c:v>30.7</c:v>
                </c:pt>
                <c:pt idx="1">
                  <c:v>54.169631632893875</c:v>
                </c:pt>
                <c:pt idx="2">
                  <c:v>78.708972086774068</c:v>
                </c:pt>
                <c:pt idx="3">
                  <c:v>103.46500410916636</c:v>
                </c:pt>
                <c:pt idx="4">
                  <c:v>131.09552938153311</c:v>
                </c:pt>
                <c:pt idx="5">
                  <c:v>158.0139991735669</c:v>
                </c:pt>
                <c:pt idx="6">
                  <c:v>182.71325206976053</c:v>
                </c:pt>
                <c:pt idx="7">
                  <c:v>207.49740319274619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8E-4762-B232-04E3F8BAB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165136"/>
        <c:axId val="869165496"/>
      </c:scatterChart>
      <c:valAx>
        <c:axId val="86916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lámpara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9165496"/>
        <c:crosses val="autoZero"/>
        <c:crossBetween val="midCat"/>
      </c:valAx>
      <c:valAx>
        <c:axId val="86916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D_corregida</a:t>
                </a:r>
                <a:r>
                  <a:rPr lang="es-CO" baseline="0"/>
                  <a:t> (m)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916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 de</a:t>
            </a:r>
            <a:r>
              <a:rPr lang="es-CO" baseline="0"/>
              <a:t> distancia calculada para bombillo</a:t>
            </a:r>
            <a:endParaRPr lang="es-CO"/>
          </a:p>
        </c:rich>
      </c:tx>
      <c:layout>
        <c:manualLayout>
          <c:xMode val="edge"/>
          <c:yMode val="edge"/>
          <c:x val="0.1651341815968656"/>
          <c:y val="5.8997050147492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Distancias teóricas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Lampara!$C$3:$C$7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Lampara!$I$3:$I$7</c:f>
              <c:numCache>
                <c:formatCode>0.00</c:formatCode>
                <c:ptCount val="5"/>
                <c:pt idx="0">
                  <c:v>1.84</c:v>
                </c:pt>
                <c:pt idx="1">
                  <c:v>2.3848191294545336</c:v>
                </c:pt>
                <c:pt idx="2">
                  <c:v>2.9948496724250715</c:v>
                </c:pt>
                <c:pt idx="3">
                  <c:v>3.6374286028232685</c:v>
                </c:pt>
                <c:pt idx="4">
                  <c:v>4.2979819823783716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6A-4876-903D-8DD0CAE5DD01}"/>
            </c:ext>
          </c:extLst>
        </c:ser>
        <c:ser>
          <c:idx val="1"/>
          <c:order val="1"/>
          <c:tx>
            <c:v>Distancias calculadas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D04F702-572C-409A-A974-04D6341116F9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81E-426E-B0AF-E81B896EFB6C}"/>
                </c:ext>
              </c:extLst>
            </c:dLbl>
            <c:dLbl>
              <c:idx val="1"/>
              <c:layout>
                <c:manualLayout>
                  <c:x val="-6.0307017543859649E-2"/>
                  <c:y val="-5.6306306306306307E-2"/>
                </c:manualLayout>
              </c:layout>
              <c:tx>
                <c:rich>
                  <a:bodyPr/>
                  <a:lstStyle/>
                  <a:p>
                    <a:fld id="{62B26CCA-0EB2-422D-B7EE-18E3FDA17A9D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81E-426E-B0AF-E81B896EFB6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38E1FFE-A8AF-454A-B2BC-72AAEF526319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81E-426E-B0AF-E81B896EFB6C}"/>
                </c:ext>
              </c:extLst>
            </c:dLbl>
            <c:dLbl>
              <c:idx val="3"/>
              <c:layout>
                <c:manualLayout>
                  <c:x val="-5.2083333333333433E-2"/>
                  <c:y val="4.8798798798798795E-2"/>
                </c:manualLayout>
              </c:layout>
              <c:tx>
                <c:rich>
                  <a:bodyPr/>
                  <a:lstStyle/>
                  <a:p>
                    <a:fld id="{B2DE954B-9A91-4F52-B40B-41BDA3E8A24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81E-426E-B0AF-E81B896EFB6C}"/>
                </c:ext>
              </c:extLst>
            </c:dLbl>
            <c:dLbl>
              <c:idx val="4"/>
              <c:layout>
                <c:manualLayout>
                  <c:x val="-5.2083333333333433E-2"/>
                  <c:y val="4.8798798798798733E-2"/>
                </c:manualLayout>
              </c:layout>
              <c:tx>
                <c:rich>
                  <a:bodyPr/>
                  <a:lstStyle/>
                  <a:p>
                    <a:fld id="{AA015004-31C5-49AA-905B-864DF52648E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81E-426E-B0AF-E81B896EFB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450445053064022"/>
                  <c:y val="-4.40845336810774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Lampara!$C$3:$C$7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Lampara!$J$3:$J$7</c:f>
              <c:numCache>
                <c:formatCode>0.00</c:formatCode>
                <c:ptCount val="5"/>
                <c:pt idx="0">
                  <c:v>1.84</c:v>
                </c:pt>
                <c:pt idx="1">
                  <c:v>2.5397871166417976</c:v>
                </c:pt>
                <c:pt idx="2">
                  <c:v>3.3851978008034771</c:v>
                </c:pt>
                <c:pt idx="3">
                  <c:v>3.312977674562414</c:v>
                </c:pt>
                <c:pt idx="4">
                  <c:v>3.7779701918803568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Lampara!$L$3:$L$7</c15:f>
                <c15:dlblRangeCache>
                  <c:ptCount val="5"/>
                  <c:pt idx="0">
                    <c:v>0,00%</c:v>
                  </c:pt>
                  <c:pt idx="1">
                    <c:v>6,50%</c:v>
                  </c:pt>
                  <c:pt idx="2">
                    <c:v>13,03%</c:v>
                  </c:pt>
                  <c:pt idx="3">
                    <c:v>8,92%</c:v>
                  </c:pt>
                  <c:pt idx="4">
                    <c:v>12,10%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486A-4876-903D-8DD0CAE5D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596664"/>
        <c:axId val="1000597024"/>
      </c:scatterChart>
      <c:valAx>
        <c:axId val="100059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Posición</a:t>
                </a:r>
                <a:r>
                  <a:rPr lang="es-CO" baseline="0"/>
                  <a:t> del bombillo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00597024"/>
        <c:crosses val="autoZero"/>
        <c:crossBetween val="midCat"/>
      </c:valAx>
      <c:valAx>
        <c:axId val="10005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  <a:r>
                  <a:rPr lang="es-CO" baseline="0"/>
                  <a:t>_calculada (m)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0059666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106680</xdr:colOff>
      <xdr:row>16</xdr:row>
      <xdr:rowOff>45720</xdr:rowOff>
    </xdr:from>
    <xdr:to>
      <xdr:col>12</xdr:col>
      <xdr:colOff>480060</xdr:colOff>
      <xdr:row>27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68A4DA-9499-B42C-9B44-EA2327180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144780</xdr:colOff>
      <xdr:row>19</xdr:row>
      <xdr:rowOff>121920</xdr:rowOff>
    </xdr:from>
    <xdr:to>
      <xdr:col>17</xdr:col>
      <xdr:colOff>701040</xdr:colOff>
      <xdr:row>35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FE6E32E-1FBC-918C-900A-C97170731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502920</xdr:colOff>
      <xdr:row>15</xdr:row>
      <xdr:rowOff>99060</xdr:rowOff>
    </xdr:from>
    <xdr:to>
      <xdr:col>13</xdr:col>
      <xdr:colOff>213360</xdr:colOff>
      <xdr:row>34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046F1B8-8FE6-FB27-E9ED-E9E57990E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20C8D-500D-4015-B1D6-D0391B46DFAA}">
  <dimension ref="B1:Z23"/>
  <sheetViews>
    <sheetView workbookViewId="0">
      <selection activeCell="V15" sqref="V15"/>
    </sheetView>
  </sheetViews>
  <sheetFormatPr baseColWidth="10" defaultRowHeight="14.4" x14ac:dyDescent="0.3"/>
  <cols>
    <col min="3" max="3" width="7" bestFit="1" customWidth="1"/>
    <col min="4" max="4" width="10" bestFit="1" customWidth="1"/>
    <col min="5" max="5" width="8.5546875" bestFit="1" customWidth="1"/>
    <col min="6" max="6" width="11.5546875" hidden="1" customWidth="1"/>
    <col min="7" max="7" width="11.5546875" customWidth="1"/>
    <col min="8" max="8" width="13.33203125" customWidth="1"/>
    <col min="9" max="9" width="9.5546875" customWidth="1"/>
    <col min="10" max="11" width="14.21875" customWidth="1"/>
    <col min="13" max="13" width="17.88671875" customWidth="1"/>
    <col min="14" max="15" width="12.44140625" customWidth="1"/>
  </cols>
  <sheetData>
    <row r="1" spans="2:26" ht="15" thickBot="1" x14ac:dyDescent="0.35">
      <c r="I1" t="s">
        <v>9</v>
      </c>
      <c r="J1" t="s">
        <v>7</v>
      </c>
      <c r="L1" t="s">
        <v>8</v>
      </c>
    </row>
    <row r="2" spans="2:26" ht="42" customHeight="1" thickBot="1" x14ac:dyDescent="0.35">
      <c r="B2" s="6" t="s">
        <v>6</v>
      </c>
      <c r="C2" s="17" t="s">
        <v>0</v>
      </c>
      <c r="D2" s="17" t="s">
        <v>1</v>
      </c>
      <c r="E2" s="42" t="s">
        <v>33</v>
      </c>
      <c r="F2" s="42" t="s">
        <v>2</v>
      </c>
      <c r="G2" s="42" t="s">
        <v>34</v>
      </c>
      <c r="H2" s="42" t="s">
        <v>35</v>
      </c>
      <c r="I2" s="17" t="s">
        <v>3</v>
      </c>
      <c r="J2" s="17" t="s">
        <v>4</v>
      </c>
      <c r="K2" s="18" t="s">
        <v>29</v>
      </c>
      <c r="L2" s="18" t="s">
        <v>5</v>
      </c>
      <c r="M2" s="20" t="s">
        <v>25</v>
      </c>
      <c r="N2" s="21" t="s">
        <v>30</v>
      </c>
      <c r="O2" s="22" t="s">
        <v>5</v>
      </c>
      <c r="P2" s="8"/>
      <c r="Q2" s="8"/>
      <c r="S2" t="s">
        <v>10</v>
      </c>
      <c r="T2" t="s">
        <v>11</v>
      </c>
      <c r="U2" t="s">
        <v>12</v>
      </c>
      <c r="V2" t="s">
        <v>18</v>
      </c>
      <c r="W2" t="s">
        <v>13</v>
      </c>
      <c r="X2" t="s">
        <v>14</v>
      </c>
      <c r="Y2" t="s">
        <v>19</v>
      </c>
      <c r="Z2" t="s">
        <v>20</v>
      </c>
    </row>
    <row r="3" spans="2:26" x14ac:dyDescent="0.3">
      <c r="B3" s="3">
        <v>9481</v>
      </c>
      <c r="C3" s="31">
        <v>1</v>
      </c>
      <c r="D3" s="4">
        <v>1772</v>
      </c>
      <c r="E3" s="43">
        <v>7860.63</v>
      </c>
      <c r="F3" s="43">
        <v>1778</v>
      </c>
      <c r="G3" s="43">
        <f>AVERAGE(S3:S6)</f>
        <v>68.561925000000002</v>
      </c>
      <c r="H3" s="43">
        <f>E3-G3</f>
        <v>7792.0680750000001</v>
      </c>
      <c r="I3" s="16">
        <f>SQRT($Q$9^2+E15^2-(2*E15*$Q$9*COS($F$15)))</f>
        <v>30.7</v>
      </c>
      <c r="J3" s="23">
        <f>$Q$9*SQRT(($E$3-$G$3*$D$3)/(E3-G3*D3))</f>
        <v>30.7</v>
      </c>
      <c r="K3" s="28">
        <f>ABS(J3-I3)</f>
        <v>0</v>
      </c>
      <c r="L3" s="29">
        <f>K3/I3</f>
        <v>0</v>
      </c>
      <c r="M3" s="26">
        <f>$Q$9*SQRT(V14*($E$3-$G$3*$D$3)/(E3-G3*D3))</f>
        <v>30.7</v>
      </c>
      <c r="N3" s="24">
        <f>ABS(M3-I3)</f>
        <v>0</v>
      </c>
      <c r="O3" s="27">
        <f>N3/I3</f>
        <v>0</v>
      </c>
      <c r="Q3" s="9"/>
      <c r="S3" s="12">
        <v>71.969099999999997</v>
      </c>
      <c r="T3">
        <v>73.662599999999998</v>
      </c>
      <c r="U3">
        <v>76.290700000000001</v>
      </c>
      <c r="V3">
        <v>62.454099999999997</v>
      </c>
      <c r="W3">
        <v>65.41</v>
      </c>
      <c r="X3">
        <v>39.396599999999999</v>
      </c>
      <c r="Y3">
        <v>56.333300000000001</v>
      </c>
      <c r="Z3">
        <v>45.431199999999997</v>
      </c>
    </row>
    <row r="4" spans="2:26" x14ac:dyDescent="0.3">
      <c r="B4" s="2"/>
      <c r="C4" s="24">
        <v>2</v>
      </c>
      <c r="D4" s="1">
        <v>739</v>
      </c>
      <c r="E4" s="44">
        <v>4316.0200000000004</v>
      </c>
      <c r="F4" s="45">
        <v>738</v>
      </c>
      <c r="G4" s="45">
        <f>AVERAGE(T3:T6)</f>
        <v>65.794274999999999</v>
      </c>
      <c r="H4" s="43">
        <f t="shared" ref="H4:H10" si="0">E4-G4</f>
        <v>4250.2257250000002</v>
      </c>
      <c r="I4" s="16">
        <f t="shared" ref="I4:I10" si="1">SQRT($Q$9^2+E16^2-(2*E16*$Q$9*COS($F$15)))</f>
        <v>54.169631632893875</v>
      </c>
      <c r="J4" s="23">
        <f t="shared" ref="J4:J10" si="2">$Q$9*SQRT(($E$3-$G$3*$D$3)/(E4-G4*D4))</f>
        <v>49.164990579376514</v>
      </c>
      <c r="K4" s="30">
        <f t="shared" ref="K4:K10" si="3">ABS(J4-I4)</f>
        <v>5.0046410535173607</v>
      </c>
      <c r="L4" s="29">
        <f t="shared" ref="L4:L10" si="4">K4/I4</f>
        <v>9.2388316159018352E-2</v>
      </c>
      <c r="M4" s="16">
        <f t="shared" ref="M4:M10" si="5">$Q$9*SQRT(V15*($E$3-$G$3*$D$3)/(E4-G4*D4))</f>
        <v>93.662747921668</v>
      </c>
      <c r="N4" s="16">
        <f t="shared" ref="N4:N10" si="6">ABS(M4-I4)</f>
        <v>39.493116288774125</v>
      </c>
      <c r="O4" s="25">
        <f t="shared" ref="O4:O10" si="7">N4/I4</f>
        <v>0.72906377795621546</v>
      </c>
      <c r="P4" s="9"/>
      <c r="Q4" s="9"/>
      <c r="S4" s="13">
        <v>67.045000000000002</v>
      </c>
      <c r="T4">
        <v>64.203000000000003</v>
      </c>
      <c r="U4">
        <v>49.077500000000001</v>
      </c>
      <c r="V4">
        <v>62.819400000000002</v>
      </c>
      <c r="W4">
        <v>64.282200000000003</v>
      </c>
      <c r="X4">
        <v>54.307400000000001</v>
      </c>
      <c r="Y4">
        <v>59.968800000000002</v>
      </c>
      <c r="Z4">
        <v>54.484699999999997</v>
      </c>
    </row>
    <row r="5" spans="2:26" x14ac:dyDescent="0.3">
      <c r="B5" s="2"/>
      <c r="C5" s="24">
        <v>3</v>
      </c>
      <c r="D5" s="1">
        <v>371</v>
      </c>
      <c r="E5" s="45">
        <v>3003.97</v>
      </c>
      <c r="F5" s="45">
        <v>375</v>
      </c>
      <c r="G5" s="45">
        <f>AVERAGE(U3:U6)</f>
        <v>63.155499999999996</v>
      </c>
      <c r="H5" s="43">
        <f t="shared" si="0"/>
        <v>2940.8145</v>
      </c>
      <c r="I5" s="16">
        <f t="shared" si="1"/>
        <v>78.708972086774068</v>
      </c>
      <c r="J5" s="23">
        <f t="shared" si="2"/>
        <v>72.40818471440366</v>
      </c>
      <c r="K5" s="30">
        <f t="shared" si="3"/>
        <v>6.300787372370408</v>
      </c>
      <c r="L5" s="29">
        <f t="shared" si="4"/>
        <v>8.0051704466728338E-2</v>
      </c>
      <c r="M5" s="16">
        <f t="shared" si="5"/>
        <v>89.787870761618578</v>
      </c>
      <c r="N5" s="16">
        <f t="shared" si="6"/>
        <v>11.07889867484451</v>
      </c>
      <c r="O5" s="25">
        <f t="shared" si="7"/>
        <v>0.1407577609148597</v>
      </c>
      <c r="P5" s="9"/>
      <c r="S5">
        <v>72.145300000000006</v>
      </c>
      <c r="T5">
        <v>63.5456</v>
      </c>
      <c r="U5">
        <v>70.470699999999994</v>
      </c>
      <c r="V5">
        <v>62.134799999999998</v>
      </c>
      <c r="W5">
        <v>67.409800000000004</v>
      </c>
      <c r="X5">
        <v>50.910299999999999</v>
      </c>
      <c r="Y5">
        <v>59.592599999999997</v>
      </c>
      <c r="Z5">
        <v>45.320999999999998</v>
      </c>
    </row>
    <row r="6" spans="2:26" x14ac:dyDescent="0.3">
      <c r="B6" s="2"/>
      <c r="C6" s="24">
        <v>4</v>
      </c>
      <c r="D6">
        <v>372</v>
      </c>
      <c r="E6" s="44">
        <v>2101.41</v>
      </c>
      <c r="F6" s="44">
        <v>370</v>
      </c>
      <c r="G6" s="44">
        <f>AVERAGE(V3:V6)</f>
        <v>62.341974999999998</v>
      </c>
      <c r="H6" s="43">
        <f t="shared" si="0"/>
        <v>2039.0680249999998</v>
      </c>
      <c r="I6" s="16">
        <f t="shared" si="1"/>
        <v>103.46500410916636</v>
      </c>
      <c r="J6" s="23">
        <f t="shared" si="2"/>
        <v>71.260801708073672</v>
      </c>
      <c r="K6" s="30">
        <f t="shared" si="3"/>
        <v>32.204202401092687</v>
      </c>
      <c r="L6" s="29">
        <f t="shared" si="4"/>
        <v>0.31125695763868039</v>
      </c>
      <c r="M6" s="16">
        <f t="shared" si="5"/>
        <v>165.72767027480378</v>
      </c>
      <c r="N6" s="16">
        <f t="shared" si="6"/>
        <v>62.262666165637427</v>
      </c>
      <c r="O6" s="25">
        <f t="shared" si="7"/>
        <v>0.6017751287183426</v>
      </c>
      <c r="S6">
        <v>63.088299999999997</v>
      </c>
      <c r="T6">
        <v>61.765900000000002</v>
      </c>
      <c r="U6">
        <v>56.783099999999997</v>
      </c>
      <c r="V6">
        <v>61.959600000000002</v>
      </c>
      <c r="W6">
        <v>74.05</v>
      </c>
      <c r="X6">
        <v>59.234999999999999</v>
      </c>
      <c r="Y6">
        <v>51.222200000000001</v>
      </c>
      <c r="Z6">
        <v>46.148099999999999</v>
      </c>
    </row>
    <row r="7" spans="2:26" x14ac:dyDescent="0.3">
      <c r="B7" s="2"/>
      <c r="C7" s="24">
        <v>5</v>
      </c>
      <c r="D7" s="1">
        <v>204</v>
      </c>
      <c r="E7" s="45">
        <v>310.41199999999998</v>
      </c>
      <c r="F7" s="45">
        <v>200</v>
      </c>
      <c r="G7" s="45">
        <f>AVERAGE(W3:W6)</f>
        <v>67.788000000000011</v>
      </c>
      <c r="H7" s="43">
        <f t="shared" si="0"/>
        <v>242.62399999999997</v>
      </c>
      <c r="I7" s="16">
        <f t="shared" si="1"/>
        <v>131.09552938153311</v>
      </c>
      <c r="J7" s="23">
        <f t="shared" si="2"/>
        <v>89.007233048717382</v>
      </c>
      <c r="K7" s="30">
        <f t="shared" si="3"/>
        <v>42.08829633281573</v>
      </c>
      <c r="L7" s="29">
        <f t="shared" si="4"/>
        <v>0.32105058449647284</v>
      </c>
      <c r="M7" s="26">
        <f t="shared" si="5"/>
        <v>90.459885966697044</v>
      </c>
      <c r="N7" s="16">
        <f t="shared" si="6"/>
        <v>40.635643414836068</v>
      </c>
      <c r="O7" s="27">
        <f t="shared" si="7"/>
        <v>0.30996971145043672</v>
      </c>
    </row>
    <row r="8" spans="2:26" x14ac:dyDescent="0.3">
      <c r="B8" s="2"/>
      <c r="C8" s="24">
        <v>6</v>
      </c>
      <c r="D8" s="1">
        <v>232</v>
      </c>
      <c r="E8" s="45">
        <v>677.74599999999998</v>
      </c>
      <c r="F8" s="45">
        <v>232</v>
      </c>
      <c r="G8" s="45">
        <f>AVERAGE(X3:X6)</f>
        <v>50.962325000000007</v>
      </c>
      <c r="H8" s="43">
        <f t="shared" si="0"/>
        <v>626.78367500000002</v>
      </c>
      <c r="I8" s="16">
        <f t="shared" si="1"/>
        <v>158.0139991735669</v>
      </c>
      <c r="J8" s="23">
        <f t="shared" si="2"/>
        <v>98.025020960592826</v>
      </c>
      <c r="K8" s="30">
        <f t="shared" si="3"/>
        <v>59.988978212974075</v>
      </c>
      <c r="L8" s="29">
        <f t="shared" si="4"/>
        <v>0.37964343999091205</v>
      </c>
      <c r="M8" s="16">
        <f t="shared" si="5"/>
        <v>376.85359435131556</v>
      </c>
      <c r="N8" s="16">
        <f t="shared" si="6"/>
        <v>218.83959517774866</v>
      </c>
      <c r="O8" s="25">
        <f t="shared" si="7"/>
        <v>1.3849380201900292</v>
      </c>
    </row>
    <row r="9" spans="2:26" x14ac:dyDescent="0.3">
      <c r="B9" s="2"/>
      <c r="C9" s="24">
        <v>7</v>
      </c>
      <c r="D9" s="1">
        <v>156</v>
      </c>
      <c r="E9" s="45">
        <v>325.58999999999997</v>
      </c>
      <c r="F9" s="44">
        <v>156</v>
      </c>
      <c r="G9" s="45">
        <f>AVERAGE(Y3:Y6)</f>
        <v>56.779224999999997</v>
      </c>
      <c r="H9" s="43">
        <f t="shared" si="0"/>
        <v>268.81077499999998</v>
      </c>
      <c r="I9" s="16">
        <f t="shared" si="1"/>
        <v>182.71325206976053</v>
      </c>
      <c r="J9" s="23">
        <f t="shared" si="2"/>
        <v>112.03722567551165</v>
      </c>
      <c r="K9" s="30">
        <f t="shared" si="3"/>
        <v>70.676026394248879</v>
      </c>
      <c r="L9" s="29">
        <f t="shared" si="4"/>
        <v>0.38681390426603834</v>
      </c>
      <c r="M9" s="26">
        <f t="shared" si="5"/>
        <v>149.77835954546728</v>
      </c>
      <c r="N9" s="16">
        <f t="shared" si="6"/>
        <v>32.934892524293247</v>
      </c>
      <c r="O9" s="27">
        <f t="shared" si="7"/>
        <v>0.18025453628135629</v>
      </c>
      <c r="P9" t="s">
        <v>16</v>
      </c>
      <c r="Q9">
        <v>30.7</v>
      </c>
    </row>
    <row r="10" spans="2:26" x14ac:dyDescent="0.3">
      <c r="B10" s="2"/>
      <c r="C10" s="24">
        <v>8</v>
      </c>
      <c r="D10" s="1">
        <v>159</v>
      </c>
      <c r="E10" s="45">
        <v>249.79900000000001</v>
      </c>
      <c r="F10" s="45">
        <v>169</v>
      </c>
      <c r="G10" s="45">
        <f>AVERAGE(Z3:Z6)</f>
        <v>47.846249999999998</v>
      </c>
      <c r="H10" s="43">
        <f t="shared" si="0"/>
        <v>201.95275000000001</v>
      </c>
      <c r="I10" s="16">
        <f t="shared" si="1"/>
        <v>207.49740319274619</v>
      </c>
      <c r="J10" s="23">
        <f t="shared" si="2"/>
        <v>120.64638936696605</v>
      </c>
      <c r="K10" s="30">
        <f t="shared" si="3"/>
        <v>86.851013825780143</v>
      </c>
      <c r="L10" s="29">
        <f t="shared" si="4"/>
        <v>0.41856434099613027</v>
      </c>
      <c r="M10" s="26">
        <f t="shared" si="5"/>
        <v>183.31736629275045</v>
      </c>
      <c r="N10" s="16">
        <f t="shared" si="6"/>
        <v>24.180036899995741</v>
      </c>
      <c r="O10" s="27">
        <f t="shared" si="7"/>
        <v>0.11653175667714111</v>
      </c>
    </row>
    <row r="11" spans="2:26" x14ac:dyDescent="0.3">
      <c r="L11" s="41">
        <f>AVERAGE(L3:L10)</f>
        <v>0.2487211560017476</v>
      </c>
    </row>
    <row r="12" spans="2:26" x14ac:dyDescent="0.3">
      <c r="U12" t="s">
        <v>21</v>
      </c>
    </row>
    <row r="13" spans="2:26" x14ac:dyDescent="0.3">
      <c r="S13" t="s">
        <v>26</v>
      </c>
      <c r="T13" s="14" t="s">
        <v>22</v>
      </c>
      <c r="U13" s="14" t="s">
        <v>23</v>
      </c>
      <c r="V13" s="14" t="s">
        <v>24</v>
      </c>
    </row>
    <row r="14" spans="2:26" x14ac:dyDescent="0.3">
      <c r="C14" s="21" t="s">
        <v>32</v>
      </c>
      <c r="D14" s="21" t="s">
        <v>15</v>
      </c>
      <c r="E14" s="21" t="s">
        <v>31</v>
      </c>
      <c r="F14" t="s">
        <v>17</v>
      </c>
      <c r="S14">
        <v>7408</v>
      </c>
      <c r="T14">
        <v>1</v>
      </c>
      <c r="U14">
        <f>1651.61-AVERAGE(49.2618,48.1346,47.1095)</f>
        <v>1603.4413666666665</v>
      </c>
      <c r="V14">
        <f>U14/$U$14</f>
        <v>1</v>
      </c>
    </row>
    <row r="15" spans="2:26" x14ac:dyDescent="0.3">
      <c r="C15" s="24">
        <v>1</v>
      </c>
      <c r="D15" s="24">
        <v>0</v>
      </c>
      <c r="E15" s="24">
        <f>SUM($D$15:D15)</f>
        <v>0</v>
      </c>
      <c r="F15">
        <f>PI()-ASIN(6.96/Q9)</f>
        <v>2.912894160031712</v>
      </c>
      <c r="G15">
        <f>DEGREES(F15)</f>
        <v>166.89654153812211</v>
      </c>
      <c r="S15">
        <v>7991</v>
      </c>
      <c r="T15">
        <v>2</v>
      </c>
      <c r="U15">
        <f>5872.6-AVERAGE(56.6443,51.2473,51.8393)</f>
        <v>5819.3563666666669</v>
      </c>
      <c r="V15">
        <f>U15/$U$14</f>
        <v>3.6292916520947109</v>
      </c>
    </row>
    <row r="16" spans="2:26" x14ac:dyDescent="0.3">
      <c r="C16" s="24">
        <v>2</v>
      </c>
      <c r="D16" s="24">
        <v>23.82</v>
      </c>
      <c r="E16" s="24">
        <f>SUM($D$15:D16)</f>
        <v>23.82</v>
      </c>
      <c r="F16" s="11">
        <f>ASIN(6.96/Q9)</f>
        <v>0.22869849355808106</v>
      </c>
      <c r="G16">
        <f>DEGREES(F16)</f>
        <v>13.10345846187789</v>
      </c>
      <c r="S16">
        <v>8769</v>
      </c>
      <c r="T16">
        <v>3</v>
      </c>
      <c r="U16">
        <f>2521.31-AVERAGE(58.1355,51.6339,57.5226)</f>
        <v>2465.5459999999998</v>
      </c>
      <c r="V16">
        <f>U16/$U$14</f>
        <v>1.537658969797898</v>
      </c>
    </row>
    <row r="17" spans="3:22" x14ac:dyDescent="0.3">
      <c r="C17" s="24">
        <v>3</v>
      </c>
      <c r="D17" s="24">
        <v>24.68</v>
      </c>
      <c r="E17" s="24">
        <f>SUM($D$15:D17)</f>
        <v>48.5</v>
      </c>
      <c r="S17">
        <v>3005</v>
      </c>
      <c r="T17">
        <v>4</v>
      </c>
      <c r="U17">
        <f>8724.31-AVERAGE(58.0612,45.7429,51.7806)</f>
        <v>8672.448433333333</v>
      </c>
      <c r="V17">
        <f t="shared" ref="V17:V21" si="8">U17/$U$14</f>
        <v>5.4086470597688008</v>
      </c>
    </row>
    <row r="18" spans="3:22" x14ac:dyDescent="0.3">
      <c r="C18" s="24">
        <v>4</v>
      </c>
      <c r="D18" s="24">
        <v>24.83</v>
      </c>
      <c r="E18" s="24">
        <f>SUM($D$15:D18)</f>
        <v>73.33</v>
      </c>
      <c r="H18">
        <f>6.96/30.7</f>
        <v>0.22671009771986972</v>
      </c>
      <c r="S18">
        <v>7871</v>
      </c>
      <c r="T18">
        <v>5</v>
      </c>
      <c r="U18">
        <f>1707.44-AVERAGE(51.438,52.7263,49.5354)</f>
        <v>1656.2067666666667</v>
      </c>
      <c r="V18">
        <f>U18/$U$14</f>
        <v>1.0329075955609728</v>
      </c>
    </row>
    <row r="19" spans="3:22" x14ac:dyDescent="0.3">
      <c r="C19" s="24">
        <v>5</v>
      </c>
      <c r="D19" s="24">
        <v>27.68</v>
      </c>
      <c r="E19" s="24">
        <f>SUM($D$15:D19)</f>
        <v>101.00999999999999</v>
      </c>
      <c r="S19">
        <v>6127</v>
      </c>
      <c r="T19">
        <v>6</v>
      </c>
      <c r="U19">
        <f>23758.5-AVERAGE(62.9859,56.7398,59.6749)</f>
        <v>23698.699799999999</v>
      </c>
      <c r="V19">
        <f t="shared" si="8"/>
        <v>14.779897969868601</v>
      </c>
    </row>
    <row r="20" spans="3:22" x14ac:dyDescent="0.3">
      <c r="C20" s="24">
        <v>6</v>
      </c>
      <c r="D20" s="24">
        <v>26.95</v>
      </c>
      <c r="E20" s="24">
        <f>SUM($D$15:D20)</f>
        <v>127.96</v>
      </c>
      <c r="S20">
        <v>9081</v>
      </c>
      <c r="T20">
        <v>7</v>
      </c>
      <c r="U20">
        <f>2919.05-AVERAGE(55.4988,50.6233,54.0109)</f>
        <v>2865.6723333333334</v>
      </c>
      <c r="V20">
        <f t="shared" si="8"/>
        <v>1.7872011991873897</v>
      </c>
    </row>
    <row r="21" spans="3:22" x14ac:dyDescent="0.3">
      <c r="C21" s="24">
        <v>7</v>
      </c>
      <c r="D21" s="24">
        <v>24.72</v>
      </c>
      <c r="E21" s="24">
        <f>SUM($D$15:D21)</f>
        <v>152.68</v>
      </c>
      <c r="S21">
        <v>9539</v>
      </c>
      <c r="T21">
        <v>8</v>
      </c>
      <c r="U21">
        <f>3756.88-AVERAGE(55.1801,54.9503,54.6316)</f>
        <v>3701.9593333333332</v>
      </c>
      <c r="V21">
        <f t="shared" si="8"/>
        <v>2.3087587798917752</v>
      </c>
    </row>
    <row r="22" spans="3:22" x14ac:dyDescent="0.3">
      <c r="C22" s="24">
        <v>8</v>
      </c>
      <c r="D22" s="24">
        <v>24.8</v>
      </c>
      <c r="E22" s="24">
        <f>SUM($D$15:D22)</f>
        <v>177.48000000000002</v>
      </c>
    </row>
    <row r="23" spans="3:22" x14ac:dyDescent="0.3">
      <c r="C23" s="24">
        <v>9</v>
      </c>
      <c r="D23" s="24">
        <v>24.72</v>
      </c>
      <c r="E23" s="24">
        <f>SUM($D$15:D23)</f>
        <v>202.20000000000002</v>
      </c>
    </row>
  </sheetData>
  <pageMargins left="0.7" right="0.7" top="0.75" bottom="0.75" header="0.3" footer="0.3"/>
  <ignoredErrors>
    <ignoredError sqref="E16:E22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88F90-2270-4B41-9DFA-3B89347A490B}">
  <dimension ref="B1:X21"/>
  <sheetViews>
    <sheetView tabSelected="1" topLeftCell="I1" workbookViewId="0">
      <selection activeCell="L12" sqref="L12"/>
    </sheetView>
  </sheetViews>
  <sheetFormatPr baseColWidth="10" defaultRowHeight="14.4" x14ac:dyDescent="0.3"/>
  <cols>
    <col min="4" max="4" width="11.5546875" customWidth="1"/>
    <col min="5" max="5" width="10.44140625" customWidth="1"/>
    <col min="6" max="8" width="11.5546875" customWidth="1"/>
    <col min="9" max="9" width="9.109375" customWidth="1"/>
    <col min="10" max="10" width="14" customWidth="1"/>
    <col min="11" max="11" width="14.21875" customWidth="1"/>
    <col min="13" max="13" width="22.88671875" customWidth="1"/>
  </cols>
  <sheetData>
    <row r="1" spans="2:24" ht="15" thickBot="1" x14ac:dyDescent="0.35">
      <c r="I1" t="s">
        <v>9</v>
      </c>
      <c r="J1" t="s">
        <v>7</v>
      </c>
      <c r="L1" t="s">
        <v>8</v>
      </c>
    </row>
    <row r="2" spans="2:24" ht="15" thickBot="1" x14ac:dyDescent="0.35">
      <c r="B2" s="6" t="s">
        <v>6</v>
      </c>
      <c r="C2" s="19" t="s">
        <v>36</v>
      </c>
      <c r="D2" s="39" t="s">
        <v>1</v>
      </c>
      <c r="E2" s="32" t="s">
        <v>33</v>
      </c>
      <c r="F2" s="32" t="s">
        <v>2</v>
      </c>
      <c r="G2" s="32" t="s">
        <v>37</v>
      </c>
      <c r="H2" s="17" t="s">
        <v>35</v>
      </c>
      <c r="I2" s="17" t="s">
        <v>3</v>
      </c>
      <c r="J2" s="17" t="s">
        <v>4</v>
      </c>
      <c r="K2" s="18" t="s">
        <v>28</v>
      </c>
      <c r="L2" s="19" t="s">
        <v>5</v>
      </c>
      <c r="M2" s="7" t="s">
        <v>25</v>
      </c>
      <c r="N2" s="8"/>
      <c r="O2" s="8"/>
      <c r="Q2" t="s">
        <v>10</v>
      </c>
      <c r="R2" t="s">
        <v>11</v>
      </c>
      <c r="S2" t="s">
        <v>12</v>
      </c>
      <c r="T2" t="s">
        <v>18</v>
      </c>
      <c r="U2" t="s">
        <v>13</v>
      </c>
      <c r="V2" t="s">
        <v>14</v>
      </c>
      <c r="W2" t="s">
        <v>19</v>
      </c>
      <c r="X2" t="s">
        <v>20</v>
      </c>
    </row>
    <row r="3" spans="2:24" x14ac:dyDescent="0.3">
      <c r="B3" s="3" t="s">
        <v>27</v>
      </c>
      <c r="C3" s="38">
        <v>0</v>
      </c>
      <c r="D3" s="33">
        <v>38821</v>
      </c>
      <c r="E3" s="47">
        <v>8211.77</v>
      </c>
      <c r="F3" s="47">
        <v>38820</v>
      </c>
      <c r="G3" s="47">
        <f>AVERAGE(54.9899,60.9948,72.8555)</f>
        <v>62.946733333333334</v>
      </c>
      <c r="H3" s="46">
        <f t="shared" ref="H3:H7" si="0">E3-G3</f>
        <v>8148.8232666666672</v>
      </c>
      <c r="I3" s="34">
        <f>SQRT($O$9^2+E15^2-(2*E15*$O$9*COS($F$15)))</f>
        <v>1.84</v>
      </c>
      <c r="J3" s="35">
        <f>$O$9*SQRT(($E$3-$G$3*$D$3)/(E3-G3*D3))</f>
        <v>1.84</v>
      </c>
      <c r="K3" s="36">
        <f>ABS(J3-I3)</f>
        <v>0</v>
      </c>
      <c r="L3" s="37">
        <f>K3/I3</f>
        <v>0</v>
      </c>
      <c r="M3">
        <f>$O$9*SQRT(T14*($E$3-$G$3*$D$3)/(E3-G3*D3))</f>
        <v>1.84</v>
      </c>
      <c r="O3" s="9"/>
      <c r="Q3" s="12">
        <v>71.969099999999997</v>
      </c>
      <c r="R3">
        <v>73.662599999999998</v>
      </c>
      <c r="S3">
        <v>76.290700000000001</v>
      </c>
      <c r="T3">
        <v>62.454099999999997</v>
      </c>
      <c r="U3">
        <v>65.41</v>
      </c>
      <c r="V3">
        <v>39.396599999999999</v>
      </c>
      <c r="W3">
        <v>56.333300000000001</v>
      </c>
      <c r="X3">
        <v>45.431199999999997</v>
      </c>
    </row>
    <row r="4" spans="2:24" x14ac:dyDescent="0.3">
      <c r="B4" s="2"/>
      <c r="C4" s="33">
        <v>1</v>
      </c>
      <c r="D4" s="33">
        <v>19206</v>
      </c>
      <c r="E4" s="47">
        <v>8089.82</v>
      </c>
      <c r="F4" s="47">
        <v>19205</v>
      </c>
      <c r="G4" s="47">
        <f>AVERAGE(53.8059,57.7332,89.3902)</f>
        <v>66.976433333333333</v>
      </c>
      <c r="H4" s="46">
        <f t="shared" si="0"/>
        <v>8022.8435666666664</v>
      </c>
      <c r="I4" s="34">
        <f>SQRT($O$9^2+E16^2-(2*E16*$O$9*COS($F$15)))</f>
        <v>2.3848191294545336</v>
      </c>
      <c r="J4" s="35">
        <f>$O$9*SQRT(($E$3-$G$3*$D$3)/(E4-G4*D4))</f>
        <v>2.5397871166417976</v>
      </c>
      <c r="K4" s="40">
        <f t="shared" ref="K4:K7" si="1">ABS(J4-I4)</f>
        <v>0.15496798718726401</v>
      </c>
      <c r="L4" s="37">
        <f t="shared" ref="L4:L7" si="2">K4/I4</f>
        <v>6.4981023203511859E-2</v>
      </c>
      <c r="M4">
        <f>$O$9*SQRT(T15*($E$3-$G$3*$D$3)/(E4-G4*D4))</f>
        <v>4.8384722071015069</v>
      </c>
      <c r="N4" s="9"/>
      <c r="O4" s="9"/>
      <c r="Q4" s="13">
        <v>67.045000000000002</v>
      </c>
      <c r="R4">
        <v>64.203000000000003</v>
      </c>
      <c r="S4">
        <v>49.077500000000001</v>
      </c>
      <c r="T4">
        <v>62.819400000000002</v>
      </c>
      <c r="U4">
        <v>64.282200000000003</v>
      </c>
      <c r="V4">
        <v>54.307400000000001</v>
      </c>
      <c r="W4">
        <v>59.968800000000002</v>
      </c>
      <c r="X4">
        <v>54.484699999999997</v>
      </c>
    </row>
    <row r="5" spans="2:24" x14ac:dyDescent="0.3">
      <c r="B5" s="2"/>
      <c r="C5" s="33">
        <v>2</v>
      </c>
      <c r="D5" s="33">
        <v>12443</v>
      </c>
      <c r="E5" s="47">
        <v>6061.68</v>
      </c>
      <c r="F5" s="47">
        <v>12441</v>
      </c>
      <c r="G5" s="47">
        <f>AVERAGE(57.8835,58.3895,58.6654)</f>
        <v>58.312800000000003</v>
      </c>
      <c r="H5" s="46">
        <f t="shared" si="0"/>
        <v>6003.3672000000006</v>
      </c>
      <c r="I5" s="34">
        <f>SQRT($O$9^2+E17^2-(2*E17*$O$9*COS($F$15)))</f>
        <v>2.9948496724250715</v>
      </c>
      <c r="J5" s="35">
        <f>$O$9*SQRT(($E$3-$G$3*$D$3)/(E5-G5*D5))</f>
        <v>3.3851978008034771</v>
      </c>
      <c r="K5" s="40">
        <f t="shared" si="1"/>
        <v>0.3903481283784056</v>
      </c>
      <c r="L5" s="37">
        <f t="shared" si="2"/>
        <v>0.13033980702688233</v>
      </c>
      <c r="M5">
        <f>$O$9*SQRT(T16*($E$3-$G$3*$D$3)/(E5-G5*D5))</f>
        <v>4.1977257659463936</v>
      </c>
      <c r="N5" s="9"/>
      <c r="Q5">
        <v>72.145300000000006</v>
      </c>
      <c r="R5">
        <v>63.5456</v>
      </c>
      <c r="S5">
        <v>70.470699999999994</v>
      </c>
      <c r="T5">
        <v>62.134799999999998</v>
      </c>
      <c r="U5">
        <v>67.409800000000004</v>
      </c>
      <c r="V5">
        <v>50.910299999999999</v>
      </c>
      <c r="W5">
        <v>59.592599999999997</v>
      </c>
      <c r="X5">
        <v>45.320999999999998</v>
      </c>
    </row>
    <row r="6" spans="2:24" x14ac:dyDescent="0.3">
      <c r="B6" s="2"/>
      <c r="C6" s="33">
        <v>3</v>
      </c>
      <c r="D6" s="33">
        <v>9320</v>
      </c>
      <c r="E6" s="47">
        <v>5145.84</v>
      </c>
      <c r="F6" s="47">
        <v>9323</v>
      </c>
      <c r="G6" s="47">
        <f>AVERAGE(80.1674,83.5172,79.7861)</f>
        <v>81.156899999999993</v>
      </c>
      <c r="H6" s="46">
        <f t="shared" si="0"/>
        <v>5064.6831000000002</v>
      </c>
      <c r="I6" s="34">
        <f>SQRT($O$9^2+E18^2-(2*E18*$O$9*COS($F$15)))</f>
        <v>3.6374286028232685</v>
      </c>
      <c r="J6" s="35">
        <f>$O$9*SQRT(($E$3-$G$3*$D$3)/(E6-G6*D6))</f>
        <v>3.312977674562414</v>
      </c>
      <c r="K6" s="40">
        <f t="shared" si="1"/>
        <v>0.32445092826085453</v>
      </c>
      <c r="L6" s="37">
        <f t="shared" si="2"/>
        <v>8.9197882264692413E-2</v>
      </c>
      <c r="M6">
        <f>$O$9*SQRT(T17*($E$3-$G$3*$D$3)/(E6-G6*D6))</f>
        <v>7.7048259143492031</v>
      </c>
      <c r="Q6">
        <v>63.088299999999997</v>
      </c>
      <c r="R6">
        <v>61.765900000000002</v>
      </c>
      <c r="S6">
        <v>56.783099999999997</v>
      </c>
      <c r="T6">
        <v>61.959600000000002</v>
      </c>
      <c r="U6">
        <v>74.05</v>
      </c>
      <c r="V6">
        <v>59.234999999999999</v>
      </c>
      <c r="W6">
        <v>51.222200000000001</v>
      </c>
      <c r="X6">
        <v>46.148099999999999</v>
      </c>
    </row>
    <row r="7" spans="2:24" x14ac:dyDescent="0.3">
      <c r="B7" s="2"/>
      <c r="C7" s="33">
        <v>4</v>
      </c>
      <c r="D7" s="33">
        <v>7121</v>
      </c>
      <c r="E7" s="47">
        <v>4118.26</v>
      </c>
      <c r="F7" s="47">
        <v>7118</v>
      </c>
      <c r="G7" s="47">
        <f>AVERAGE(83.8321,83.398,77.8804)</f>
        <v>81.703500000000005</v>
      </c>
      <c r="H7" s="46">
        <f t="shared" si="0"/>
        <v>4036.5565000000001</v>
      </c>
      <c r="I7" s="34">
        <f>SQRT($O$9^2+E19^2-(2*E19*$O$9*COS($F$15)))</f>
        <v>4.2979819823783716</v>
      </c>
      <c r="J7" s="35">
        <f>$O$9*SQRT(($E$3-$G$3*$D$3)/(E7-G7*D7))</f>
        <v>3.7779701918803568</v>
      </c>
      <c r="K7" s="40">
        <f t="shared" si="1"/>
        <v>0.52001179049801483</v>
      </c>
      <c r="L7" s="37">
        <f t="shared" si="2"/>
        <v>0.12098975580401485</v>
      </c>
      <c r="M7">
        <f>$O$9*SQRT(T18*($E$3-$G$3*$D$3)/(E7-G7*D7))</f>
        <v>3.8396289946011568</v>
      </c>
    </row>
    <row r="8" spans="2:24" x14ac:dyDescent="0.3">
      <c r="B8" s="2"/>
      <c r="C8" s="1"/>
      <c r="D8" s="1"/>
      <c r="E8" s="10"/>
      <c r="F8" s="1"/>
      <c r="G8" s="1"/>
      <c r="H8" s="4"/>
      <c r="I8" s="1"/>
      <c r="J8" s="4"/>
      <c r="K8" s="15"/>
      <c r="L8" s="5"/>
    </row>
    <row r="9" spans="2:24" x14ac:dyDescent="0.3">
      <c r="B9" s="2"/>
      <c r="C9" s="1"/>
      <c r="D9" s="1"/>
      <c r="E9" s="10"/>
      <c r="G9" s="1"/>
      <c r="H9" s="4"/>
      <c r="I9" s="1"/>
      <c r="J9" s="4"/>
      <c r="K9" s="15"/>
      <c r="L9" s="5"/>
      <c r="N9" t="s">
        <v>16</v>
      </c>
      <c r="O9">
        <v>1.84</v>
      </c>
    </row>
    <row r="10" spans="2:24" x14ac:dyDescent="0.3">
      <c r="B10" s="2"/>
      <c r="C10" s="1"/>
      <c r="D10" s="1"/>
      <c r="E10" s="10"/>
      <c r="F10" s="1"/>
      <c r="G10" s="1"/>
      <c r="H10" s="4"/>
      <c r="I10" s="1"/>
      <c r="J10" s="4"/>
      <c r="K10" s="15"/>
      <c r="L10" s="5"/>
    </row>
    <row r="11" spans="2:24" x14ac:dyDescent="0.3">
      <c r="L11" s="41">
        <f>AVERAGE(L3:L7)</f>
        <v>8.1101693659820298E-2</v>
      </c>
    </row>
    <row r="12" spans="2:24" x14ac:dyDescent="0.3">
      <c r="S12" t="s">
        <v>21</v>
      </c>
    </row>
    <row r="13" spans="2:24" x14ac:dyDescent="0.3">
      <c r="Q13" t="s">
        <v>26</v>
      </c>
      <c r="R13" s="14" t="s">
        <v>22</v>
      </c>
      <c r="S13" s="14" t="s">
        <v>23</v>
      </c>
      <c r="T13" s="14" t="s">
        <v>24</v>
      </c>
    </row>
    <row r="14" spans="2:24" x14ac:dyDescent="0.3">
      <c r="C14" s="21" t="s">
        <v>32</v>
      </c>
      <c r="D14" s="21" t="s">
        <v>15</v>
      </c>
      <c r="E14" s="21" t="s">
        <v>31</v>
      </c>
      <c r="F14" t="s">
        <v>17</v>
      </c>
      <c r="Q14">
        <v>7408</v>
      </c>
      <c r="R14">
        <v>1</v>
      </c>
      <c r="S14">
        <f>1651.61-AVERAGE(49.2618,48.1346,47.1095)</f>
        <v>1603.4413666666665</v>
      </c>
      <c r="T14">
        <f>S14/$S$14</f>
        <v>1</v>
      </c>
    </row>
    <row r="15" spans="2:24" x14ac:dyDescent="0.3">
      <c r="C15" s="24">
        <v>0</v>
      </c>
      <c r="D15" s="24">
        <v>0</v>
      </c>
      <c r="E15" s="24">
        <f>SUM($D$15:D15)</f>
        <v>0</v>
      </c>
      <c r="F15">
        <f>PI()-ASIN((130.8/100)/O9)</f>
        <v>2.3508588501734744</v>
      </c>
      <c r="G15">
        <f>DEGREES(F15)</f>
        <v>134.69429034591761</v>
      </c>
      <c r="Q15">
        <v>7991</v>
      </c>
      <c r="R15">
        <v>2</v>
      </c>
      <c r="S15">
        <f>5872.6-AVERAGE(56.6443,51.2473,51.8393)</f>
        <v>5819.3563666666669</v>
      </c>
      <c r="T15">
        <f>S15/$S$14</f>
        <v>3.6292916520947109</v>
      </c>
    </row>
    <row r="16" spans="2:24" x14ac:dyDescent="0.3">
      <c r="C16" s="24">
        <v>1</v>
      </c>
      <c r="D16" s="24">
        <f>70/100</f>
        <v>0.7</v>
      </c>
      <c r="E16" s="24">
        <f>SUM($D$15:D16)</f>
        <v>0.7</v>
      </c>
      <c r="F16" s="11">
        <f>ASIN((130.8/100)/O9)</f>
        <v>0.7907338034163186</v>
      </c>
      <c r="G16">
        <f>DEGREES(F16)</f>
        <v>45.305709654082371</v>
      </c>
      <c r="Q16">
        <v>8769</v>
      </c>
      <c r="R16">
        <v>3</v>
      </c>
      <c r="S16">
        <f>2521.31-AVERAGE(58.1355,51.6339,57.5226)</f>
        <v>2465.5459999999998</v>
      </c>
      <c r="T16">
        <f>S16/$S$14</f>
        <v>1.537658969797898</v>
      </c>
    </row>
    <row r="17" spans="3:20" x14ac:dyDescent="0.3">
      <c r="C17" s="24">
        <v>2</v>
      </c>
      <c r="D17" s="24">
        <f>70/100</f>
        <v>0.7</v>
      </c>
      <c r="E17" s="24">
        <f>SUM($D$15:D17)</f>
        <v>1.4</v>
      </c>
      <c r="Q17">
        <v>3005</v>
      </c>
      <c r="R17">
        <v>4</v>
      </c>
      <c r="S17">
        <f>8724.31-AVERAGE(58.0612,45.7429,51.7806)</f>
        <v>8672.448433333333</v>
      </c>
      <c r="T17">
        <f t="shared" ref="T17:T21" si="3">S17/$S$14</f>
        <v>5.4086470597688008</v>
      </c>
    </row>
    <row r="18" spans="3:20" x14ac:dyDescent="0.3">
      <c r="C18" s="24">
        <v>3</v>
      </c>
      <c r="D18" s="24">
        <f>70/100</f>
        <v>0.7</v>
      </c>
      <c r="E18" s="24">
        <f>SUM($D$15:D18)</f>
        <v>2.0999999999999996</v>
      </c>
      <c r="Q18">
        <v>7871</v>
      </c>
      <c r="R18">
        <v>5</v>
      </c>
      <c r="S18">
        <f>1707.44-AVERAGE(51.438,52.7263,49.5354)</f>
        <v>1656.2067666666667</v>
      </c>
      <c r="T18">
        <f>S18/$S$14</f>
        <v>1.0329075955609728</v>
      </c>
    </row>
    <row r="19" spans="3:20" x14ac:dyDescent="0.3">
      <c r="C19" s="24">
        <v>4</v>
      </c>
      <c r="D19" s="24">
        <f>70/100</f>
        <v>0.7</v>
      </c>
      <c r="E19" s="24">
        <f>SUM($D$15:D19)</f>
        <v>2.8</v>
      </c>
      <c r="Q19">
        <v>6127</v>
      </c>
      <c r="R19">
        <v>6</v>
      </c>
      <c r="S19">
        <f>23758.5-AVERAGE(62.9859,56.7398,59.6749)</f>
        <v>23698.699799999999</v>
      </c>
      <c r="T19">
        <f t="shared" si="3"/>
        <v>14.779897969868601</v>
      </c>
    </row>
    <row r="20" spans="3:20" x14ac:dyDescent="0.3">
      <c r="Q20">
        <v>9081</v>
      </c>
      <c r="R20">
        <v>7</v>
      </c>
      <c r="S20">
        <f>2919.05-AVERAGE(55.4988,50.6233,54.0109)</f>
        <v>2865.6723333333334</v>
      </c>
      <c r="T20">
        <f t="shared" si="3"/>
        <v>1.7872011991873897</v>
      </c>
    </row>
    <row r="21" spans="3:20" x14ac:dyDescent="0.3">
      <c r="Q21">
        <v>9539</v>
      </c>
      <c r="R21">
        <v>8</v>
      </c>
      <c r="S21">
        <f>3756.88-AVERAGE(55.1801,54.9503,54.6316)</f>
        <v>3701.9593333333332</v>
      </c>
      <c r="T21">
        <f t="shared" si="3"/>
        <v>2.3087587798917752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Calle</vt:lpstr>
      <vt:lpstr>Lampara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Leidy Johana Contreras Ardila</dc:creator>
  <cp:lastModifiedBy>JOHANA MURCIA ROCHA</cp:lastModifiedBy>
  <dcterms:created xsi:type="dcterms:W3CDTF">2024-11-11T18:31:41Z</dcterms:created>
  <dcterms:modified xsi:type="dcterms:W3CDTF">2024-11-24T15:06:20Z</dcterms:modified>
</cp:coreProperties>
</file>