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mc:AlternateContent xmlns:mc="http://schemas.openxmlformats.org/markup-compatibility/2006">
    <mc:Choice Requires="x15">
      <x15ac:absPath xmlns:x15ac="http://schemas.microsoft.com/office/spreadsheetml/2010/11/ac" url="C:\Lilly Project\Report Generator\Report History\"/>
    </mc:Choice>
  </mc:AlternateContent>
  <xr:revisionPtr revIDLastSave="0" documentId="13_ncr:1_{2FDF6951-66E1-46DE-8575-491394D1124A}" xr6:coauthVersionLast="47" xr6:coauthVersionMax="47" xr10:uidLastSave="{00000000-0000-0000-0000-000000000000}"/>
  <bookViews>
    <workbookView xWindow="2280" yWindow="2280" windowWidth="14400" windowHeight="7270" xr2:uid="{00000000-000D-0000-FFFF-FFFF00000000}"/>
  </bookViews>
  <sheets>
    <sheet name="Tasks" sheetId="1" r:id="rId1"/>
    <sheet name="Dashboard" sheetId="3" r:id="rId2"/>
    <sheet name="Pivot Tables" sheetId="4" r:id="rId3"/>
  </sheets>
  <definedNames>
    <definedName name="Slicer_Bucket_Name">#N/A</definedName>
    <definedName name="Slicer_Category">#N/A</definedName>
    <definedName name="Slicer_Client_Verification_Days">#N/A</definedName>
    <definedName name="Slicer_Complete_Bucket_Time">#N/A</definedName>
    <definedName name="Slicer_Demo_Bucket_Time">#N/A</definedName>
    <definedName name="Slicer_Effective_Configuration_Days">#N/A</definedName>
    <definedName name="Slicer_Effective_Demo_Rework_Days">#N/A</definedName>
    <definedName name="Slicer_Effective_Peer_Review_Rework_Days">#N/A</definedName>
    <definedName name="Slicer_Effective_Rework_Client_Verification_Days">#N/A</definedName>
    <definedName name="Slicer_Peer_Review_Days">#N/A</definedName>
    <definedName name="Slicer_Peer_Review_Rework_Bucket_Time">#N/A</definedName>
    <definedName name="Slicer_Ready_for_Client_Verification_Bucket_Time">#N/A</definedName>
    <definedName name="Slicer_Ready_for_Demo_Bucket_Time">#N/A</definedName>
    <definedName name="Slicer_Site">#N/A</definedName>
    <definedName name="Slicer_Verification_Complete_Bucket_Time">#N/A</definedName>
  </definedNames>
  <calcPr calcId="191028"/>
  <pivotCaches>
    <pivotCache cacheId="57"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J2" i="1"/>
  <c r="M2" i="1"/>
  <c r="N2" i="1"/>
  <c r="O2" i="1"/>
  <c r="S2" i="1"/>
  <c r="T2" i="1"/>
  <c r="X2" i="1"/>
  <c r="Y2" i="1"/>
  <c r="Z2" i="1"/>
  <c r="AD2" i="1"/>
  <c r="AE2" i="1"/>
  <c r="AF2" i="1"/>
  <c r="AG2" i="1"/>
  <c r="AH2" i="1"/>
  <c r="AI2" i="1"/>
  <c r="I3" i="1"/>
  <c r="J3" i="1"/>
  <c r="M3" i="1"/>
  <c r="N3" i="1"/>
  <c r="O3" i="1"/>
  <c r="S3" i="1"/>
  <c r="T3" i="1"/>
  <c r="X3" i="1"/>
  <c r="Y3" i="1"/>
  <c r="Z3" i="1"/>
  <c r="AD3" i="1"/>
  <c r="AE3" i="1"/>
  <c r="AF3" i="1"/>
  <c r="AG3" i="1"/>
  <c r="AH3" i="1"/>
  <c r="AI3" i="1"/>
  <c r="I4" i="1"/>
  <c r="J4" i="1"/>
  <c r="M4" i="1"/>
  <c r="N4" i="1"/>
  <c r="O4" i="1"/>
  <c r="S4" i="1"/>
  <c r="T4" i="1"/>
  <c r="X4" i="1"/>
  <c r="Y4" i="1"/>
  <c r="Z4" i="1"/>
  <c r="AD4" i="1"/>
  <c r="AE4" i="1"/>
  <c r="AF4" i="1"/>
  <c r="AG4" i="1"/>
  <c r="AH4" i="1"/>
  <c r="AI4" i="1"/>
  <c r="I5" i="1"/>
  <c r="J5" i="1"/>
  <c r="M5" i="1"/>
  <c r="N5" i="1"/>
  <c r="O5" i="1"/>
  <c r="S5" i="1"/>
  <c r="T5" i="1"/>
  <c r="X5" i="1"/>
  <c r="Y5" i="1"/>
  <c r="Z5" i="1"/>
  <c r="AD5" i="1"/>
  <c r="AE5" i="1"/>
  <c r="AF5" i="1"/>
  <c r="AG5" i="1"/>
  <c r="AH5" i="1"/>
  <c r="AI5" i="1"/>
  <c r="I6" i="1"/>
  <c r="J6" i="1"/>
  <c r="M6" i="1"/>
  <c r="N6" i="1"/>
  <c r="O6" i="1"/>
  <c r="S6" i="1"/>
  <c r="T6" i="1"/>
  <c r="X6" i="1"/>
  <c r="Y6" i="1"/>
  <c r="Z6" i="1"/>
  <c r="AD6" i="1"/>
  <c r="AE6" i="1"/>
  <c r="AF6" i="1"/>
  <c r="AG6" i="1"/>
  <c r="AH6" i="1"/>
  <c r="AI6" i="1"/>
  <c r="I7" i="1"/>
  <c r="J7" i="1"/>
  <c r="M7" i="1"/>
  <c r="N7" i="1"/>
  <c r="O7" i="1"/>
  <c r="S7" i="1"/>
  <c r="T7" i="1"/>
  <c r="X7" i="1"/>
  <c r="Y7" i="1"/>
  <c r="Z7" i="1"/>
  <c r="AD7" i="1"/>
  <c r="AE7" i="1"/>
  <c r="AF7" i="1"/>
  <c r="AG7" i="1"/>
  <c r="AH7" i="1"/>
  <c r="AI7" i="1"/>
  <c r="I8" i="1"/>
  <c r="J8" i="1"/>
  <c r="M8" i="1"/>
  <c r="N8" i="1"/>
  <c r="O8" i="1"/>
  <c r="S8" i="1"/>
  <c r="T8" i="1"/>
  <c r="X8" i="1"/>
  <c r="Y8" i="1"/>
  <c r="Z8" i="1"/>
  <c r="AD8" i="1"/>
  <c r="AE8" i="1"/>
  <c r="AF8" i="1"/>
  <c r="AG8" i="1"/>
  <c r="AH8" i="1"/>
  <c r="AI8" i="1"/>
  <c r="I9" i="1"/>
  <c r="J9" i="1"/>
  <c r="M9" i="1"/>
  <c r="N9" i="1"/>
  <c r="O9" i="1"/>
  <c r="S9" i="1"/>
  <c r="T9" i="1"/>
  <c r="X9" i="1"/>
  <c r="Y9" i="1"/>
  <c r="Z9" i="1"/>
  <c r="AD9" i="1"/>
  <c r="AE9" i="1"/>
  <c r="AF9" i="1"/>
  <c r="AG9" i="1"/>
  <c r="AH9" i="1"/>
  <c r="AI9" i="1"/>
  <c r="I10" i="1"/>
  <c r="J10" i="1"/>
  <c r="M10" i="1"/>
  <c r="N10" i="1"/>
  <c r="O10" i="1"/>
  <c r="S10" i="1"/>
  <c r="T10" i="1"/>
  <c r="X10" i="1"/>
  <c r="Y10" i="1"/>
  <c r="Z10" i="1"/>
  <c r="AD10" i="1"/>
  <c r="AE10" i="1"/>
  <c r="AF10" i="1"/>
  <c r="AG10" i="1"/>
  <c r="AH10" i="1"/>
  <c r="AI10" i="1"/>
  <c r="I11" i="1"/>
  <c r="J11" i="1"/>
  <c r="M11" i="1"/>
  <c r="N11" i="1"/>
  <c r="O11" i="1"/>
  <c r="S11" i="1"/>
  <c r="T11" i="1"/>
  <c r="X11" i="1"/>
  <c r="Y11" i="1"/>
  <c r="Z11" i="1"/>
  <c r="AD11" i="1"/>
  <c r="AE11" i="1"/>
  <c r="AF11" i="1"/>
  <c r="AG11" i="1"/>
  <c r="AH11" i="1"/>
  <c r="AI11" i="1"/>
  <c r="I12" i="1"/>
  <c r="J12" i="1"/>
  <c r="M12" i="1"/>
  <c r="N12" i="1"/>
  <c r="O12" i="1"/>
  <c r="S12" i="1"/>
  <c r="T12" i="1"/>
  <c r="X12" i="1"/>
  <c r="Y12" i="1"/>
  <c r="Z12" i="1"/>
  <c r="AD12" i="1"/>
  <c r="AE12" i="1"/>
  <c r="AF12" i="1"/>
  <c r="AG12" i="1"/>
  <c r="AH12" i="1"/>
  <c r="AI12" i="1"/>
  <c r="I13" i="1"/>
  <c r="J13" i="1"/>
  <c r="M13" i="1"/>
  <c r="N13" i="1"/>
  <c r="O13" i="1"/>
  <c r="S13" i="1"/>
  <c r="T13" i="1"/>
  <c r="X13" i="1"/>
  <c r="Y13" i="1"/>
  <c r="Z13" i="1"/>
  <c r="AD13" i="1"/>
  <c r="AE13" i="1"/>
  <c r="AF13" i="1"/>
  <c r="AG13" i="1"/>
  <c r="AH13" i="1"/>
  <c r="AI13" i="1"/>
  <c r="I14" i="1"/>
  <c r="J14" i="1"/>
  <c r="M14" i="1"/>
  <c r="N14" i="1"/>
  <c r="O14" i="1"/>
  <c r="S14" i="1"/>
  <c r="T14" i="1"/>
  <c r="X14" i="1"/>
  <c r="Y14" i="1"/>
  <c r="Z14" i="1"/>
  <c r="AD14" i="1"/>
  <c r="AE14" i="1"/>
  <c r="AF14" i="1"/>
  <c r="AG14" i="1"/>
  <c r="AH14" i="1"/>
  <c r="AI14" i="1"/>
  <c r="I15" i="1"/>
  <c r="J15" i="1"/>
  <c r="M15" i="1"/>
  <c r="N15" i="1"/>
  <c r="O15" i="1"/>
  <c r="S15" i="1"/>
  <c r="T15" i="1"/>
  <c r="X15" i="1"/>
  <c r="Y15" i="1"/>
  <c r="Z15" i="1"/>
  <c r="AD15" i="1"/>
  <c r="AE15" i="1"/>
  <c r="AF15" i="1"/>
  <c r="AG15" i="1"/>
  <c r="AH15" i="1"/>
  <c r="AI15" i="1"/>
  <c r="I16" i="1"/>
  <c r="J16" i="1"/>
  <c r="M16" i="1"/>
  <c r="N16" i="1"/>
  <c r="O16" i="1"/>
  <c r="S16" i="1"/>
  <c r="T16" i="1"/>
  <c r="X16" i="1"/>
  <c r="Y16" i="1"/>
  <c r="Z16" i="1"/>
  <c r="AD16" i="1"/>
  <c r="AE16" i="1"/>
  <c r="AF16" i="1"/>
  <c r="AG16" i="1"/>
  <c r="AH16" i="1"/>
  <c r="AI16" i="1"/>
  <c r="I17" i="1"/>
  <c r="J17" i="1"/>
  <c r="M17" i="1"/>
  <c r="N17" i="1"/>
  <c r="O17" i="1"/>
  <c r="S17" i="1"/>
  <c r="T17" i="1"/>
  <c r="X17" i="1"/>
  <c r="Y17" i="1"/>
  <c r="Z17" i="1"/>
  <c r="AD17" i="1"/>
  <c r="AE17" i="1"/>
  <c r="AF17" i="1"/>
  <c r="AG17" i="1"/>
  <c r="AH17" i="1"/>
  <c r="AI17" i="1"/>
  <c r="I18" i="1"/>
  <c r="J18" i="1"/>
  <c r="M18" i="1"/>
  <c r="N18" i="1"/>
  <c r="O18" i="1"/>
  <c r="S18" i="1"/>
  <c r="T18" i="1"/>
  <c r="X18" i="1"/>
  <c r="Y18" i="1"/>
  <c r="Z18" i="1"/>
  <c r="AD18" i="1"/>
  <c r="AE18" i="1"/>
  <c r="AF18" i="1"/>
  <c r="AG18" i="1"/>
  <c r="AH18" i="1"/>
  <c r="AI18" i="1"/>
  <c r="I19" i="1"/>
  <c r="J19" i="1"/>
  <c r="M19" i="1"/>
  <c r="N19" i="1"/>
  <c r="O19" i="1"/>
  <c r="S19" i="1"/>
  <c r="T19" i="1"/>
  <c r="X19" i="1"/>
  <c r="Y19" i="1"/>
  <c r="Z19" i="1"/>
  <c r="AD19" i="1"/>
  <c r="AE19" i="1"/>
  <c r="AF19" i="1"/>
  <c r="AG19" i="1"/>
  <c r="AH19" i="1"/>
  <c r="AI19" i="1"/>
  <c r="I20" i="1"/>
  <c r="J20" i="1"/>
  <c r="M20" i="1"/>
  <c r="N20" i="1"/>
  <c r="O20" i="1"/>
  <c r="S20" i="1"/>
  <c r="T20" i="1"/>
  <c r="X20" i="1"/>
  <c r="Y20" i="1"/>
  <c r="Z20" i="1"/>
  <c r="AD20" i="1"/>
  <c r="AE20" i="1"/>
  <c r="AF20" i="1"/>
  <c r="AG20" i="1"/>
  <c r="AH20" i="1"/>
  <c r="AI20" i="1"/>
  <c r="I21" i="1"/>
  <c r="J21" i="1"/>
  <c r="M21" i="1"/>
  <c r="N21" i="1"/>
  <c r="O21" i="1"/>
  <c r="S21" i="1"/>
  <c r="T21" i="1"/>
  <c r="X21" i="1"/>
  <c r="Y21" i="1"/>
  <c r="Z21" i="1"/>
  <c r="AD21" i="1"/>
  <c r="AE21" i="1"/>
  <c r="AF21" i="1"/>
  <c r="AG21" i="1"/>
  <c r="AH21" i="1"/>
  <c r="AI21" i="1"/>
  <c r="I22" i="1"/>
  <c r="J22" i="1"/>
  <c r="M22" i="1"/>
  <c r="N22" i="1"/>
  <c r="O22" i="1"/>
  <c r="S22" i="1"/>
  <c r="T22" i="1"/>
  <c r="X22" i="1"/>
  <c r="Y22" i="1"/>
  <c r="Z22" i="1"/>
  <c r="AD22" i="1"/>
  <c r="AE22" i="1"/>
  <c r="AF22" i="1"/>
  <c r="AG22" i="1"/>
  <c r="AH22" i="1"/>
  <c r="AI22" i="1"/>
  <c r="I23" i="1"/>
  <c r="J23" i="1"/>
  <c r="M23" i="1"/>
  <c r="N23" i="1"/>
  <c r="O23" i="1"/>
  <c r="S23" i="1"/>
  <c r="T23" i="1"/>
  <c r="X23" i="1"/>
  <c r="Y23" i="1"/>
  <c r="Z23" i="1"/>
  <c r="AD23" i="1"/>
  <c r="AE23" i="1"/>
  <c r="AF23" i="1"/>
  <c r="AG23" i="1"/>
  <c r="AH23" i="1"/>
  <c r="AI23" i="1"/>
  <c r="I24" i="1"/>
  <c r="J24" i="1"/>
  <c r="M24" i="1"/>
  <c r="N24" i="1"/>
  <c r="O24" i="1"/>
  <c r="S24" i="1"/>
  <c r="T24" i="1"/>
  <c r="X24" i="1"/>
  <c r="Y24" i="1"/>
  <c r="Z24" i="1"/>
  <c r="AD24" i="1"/>
  <c r="AE24" i="1"/>
  <c r="AF24" i="1"/>
  <c r="AG24" i="1"/>
  <c r="AH24" i="1"/>
  <c r="AI24" i="1"/>
  <c r="I25" i="1"/>
  <c r="J25" i="1"/>
  <c r="M25" i="1"/>
  <c r="N25" i="1"/>
  <c r="O25" i="1"/>
  <c r="S25" i="1"/>
  <c r="T25" i="1"/>
  <c r="X25" i="1"/>
  <c r="Y25" i="1"/>
  <c r="Z25" i="1"/>
  <c r="AD25" i="1"/>
  <c r="AE25" i="1"/>
  <c r="AF25" i="1"/>
  <c r="AG25" i="1"/>
  <c r="AH25" i="1"/>
  <c r="AI25" i="1"/>
  <c r="I26" i="1"/>
  <c r="J26" i="1"/>
  <c r="M26" i="1"/>
  <c r="N26" i="1"/>
  <c r="O26" i="1"/>
  <c r="S26" i="1"/>
  <c r="T26" i="1"/>
  <c r="X26" i="1"/>
  <c r="Y26" i="1"/>
  <c r="Z26" i="1"/>
  <c r="AD26" i="1"/>
  <c r="AE26" i="1"/>
  <c r="AF26" i="1"/>
  <c r="AG26" i="1"/>
  <c r="AH26" i="1"/>
  <c r="AI26" i="1"/>
  <c r="I27" i="1"/>
  <c r="J27" i="1"/>
  <c r="M27" i="1"/>
  <c r="N27" i="1"/>
  <c r="O27" i="1"/>
  <c r="S27" i="1"/>
  <c r="T27" i="1"/>
  <c r="X27" i="1"/>
  <c r="Y27" i="1"/>
  <c r="Z27" i="1"/>
  <c r="AD27" i="1"/>
  <c r="AE27" i="1"/>
  <c r="AF27" i="1"/>
  <c r="AG27" i="1"/>
  <c r="AH27" i="1"/>
  <c r="AI27" i="1"/>
  <c r="I28" i="1"/>
  <c r="J28" i="1"/>
  <c r="M28" i="1"/>
  <c r="N28" i="1"/>
  <c r="O28" i="1"/>
  <c r="S28" i="1"/>
  <c r="T28" i="1"/>
  <c r="X28" i="1"/>
  <c r="Y28" i="1"/>
  <c r="Z28" i="1"/>
  <c r="AD28" i="1"/>
  <c r="AE28" i="1"/>
  <c r="AF28" i="1"/>
  <c r="AG28" i="1"/>
  <c r="AH28" i="1"/>
  <c r="AI28" i="1"/>
  <c r="I29" i="1"/>
  <c r="J29" i="1"/>
  <c r="M29" i="1"/>
  <c r="N29" i="1"/>
  <c r="O29" i="1"/>
  <c r="S29" i="1"/>
  <c r="T29" i="1"/>
  <c r="X29" i="1"/>
  <c r="Y29" i="1"/>
  <c r="Z29" i="1"/>
  <c r="AD29" i="1"/>
  <c r="AE29" i="1"/>
  <c r="AF29" i="1"/>
  <c r="AG29" i="1"/>
  <c r="AH29" i="1"/>
  <c r="AI29" i="1"/>
  <c r="I30" i="1"/>
  <c r="J30" i="1"/>
  <c r="M30" i="1"/>
  <c r="N30" i="1"/>
  <c r="O30" i="1"/>
  <c r="S30" i="1"/>
  <c r="T30" i="1"/>
  <c r="X30" i="1"/>
  <c r="Y30" i="1"/>
  <c r="Z30" i="1"/>
  <c r="AD30" i="1"/>
  <c r="AE30" i="1"/>
  <c r="AF30" i="1"/>
  <c r="AG30" i="1"/>
  <c r="AH30" i="1"/>
  <c r="AI30" i="1"/>
  <c r="I31" i="1"/>
  <c r="J31" i="1"/>
  <c r="M31" i="1"/>
  <c r="N31" i="1"/>
  <c r="O31" i="1"/>
  <c r="S31" i="1"/>
  <c r="T31" i="1"/>
  <c r="X31" i="1"/>
  <c r="Y31" i="1"/>
  <c r="Z31" i="1"/>
  <c r="AD31" i="1"/>
  <c r="AE31" i="1"/>
  <c r="AF31" i="1"/>
  <c r="AG31" i="1"/>
  <c r="AH31" i="1"/>
  <c r="AI31" i="1"/>
  <c r="I32" i="1"/>
  <c r="J32" i="1"/>
  <c r="M32" i="1"/>
  <c r="N32" i="1"/>
  <c r="O32" i="1"/>
  <c r="S32" i="1"/>
  <c r="T32" i="1"/>
  <c r="X32" i="1"/>
  <c r="Y32" i="1"/>
  <c r="Z32" i="1"/>
  <c r="AD32" i="1"/>
  <c r="AE32" i="1"/>
  <c r="AF32" i="1"/>
  <c r="AG32" i="1"/>
  <c r="AH32" i="1"/>
  <c r="AI32" i="1"/>
  <c r="I33" i="1"/>
  <c r="J33" i="1"/>
  <c r="M33" i="1"/>
  <c r="N33" i="1"/>
  <c r="O33" i="1"/>
  <c r="S33" i="1"/>
  <c r="T33" i="1"/>
  <c r="X33" i="1"/>
  <c r="Y33" i="1"/>
  <c r="Z33" i="1"/>
  <c r="AD33" i="1"/>
  <c r="AE33" i="1"/>
  <c r="AF33" i="1"/>
  <c r="AG33" i="1"/>
  <c r="AH33" i="1"/>
  <c r="AI33" i="1"/>
  <c r="I34" i="1"/>
  <c r="J34" i="1"/>
  <c r="M34" i="1"/>
  <c r="N34" i="1"/>
  <c r="O34" i="1"/>
  <c r="S34" i="1"/>
  <c r="T34" i="1"/>
  <c r="X34" i="1"/>
  <c r="Y34" i="1"/>
  <c r="Z34" i="1"/>
  <c r="AD34" i="1"/>
  <c r="AE34" i="1"/>
  <c r="AF34" i="1"/>
  <c r="AG34" i="1"/>
  <c r="AH34" i="1"/>
  <c r="AI34" i="1"/>
  <c r="I35" i="1"/>
  <c r="J35" i="1"/>
  <c r="M35" i="1"/>
  <c r="N35" i="1"/>
  <c r="O35" i="1"/>
  <c r="S35" i="1"/>
  <c r="T35" i="1"/>
  <c r="X35" i="1"/>
  <c r="Y35" i="1"/>
  <c r="Z35" i="1"/>
  <c r="AD35" i="1"/>
  <c r="AE35" i="1"/>
  <c r="AF35" i="1"/>
  <c r="AG35" i="1"/>
  <c r="AH35" i="1"/>
  <c r="AI35" i="1"/>
  <c r="I36" i="1"/>
  <c r="J36" i="1"/>
  <c r="M36" i="1"/>
  <c r="N36" i="1"/>
  <c r="O36" i="1"/>
  <c r="S36" i="1"/>
  <c r="T36" i="1"/>
  <c r="X36" i="1"/>
  <c r="Y36" i="1"/>
  <c r="Z36" i="1"/>
  <c r="AD36" i="1"/>
  <c r="AE36" i="1"/>
  <c r="AF36" i="1"/>
  <c r="AG36" i="1"/>
  <c r="AH36" i="1"/>
  <c r="AI36" i="1"/>
  <c r="I37" i="1"/>
  <c r="J37" i="1"/>
  <c r="M37" i="1"/>
  <c r="N37" i="1"/>
  <c r="O37" i="1"/>
  <c r="S37" i="1"/>
  <c r="T37" i="1"/>
  <c r="X37" i="1"/>
  <c r="Y37" i="1"/>
  <c r="Z37" i="1"/>
  <c r="AD37" i="1"/>
  <c r="AE37" i="1"/>
  <c r="AF37" i="1"/>
  <c r="AG37" i="1"/>
  <c r="AH37" i="1"/>
  <c r="AI37" i="1"/>
  <c r="I38" i="1"/>
  <c r="J38" i="1"/>
  <c r="M38" i="1"/>
  <c r="N38" i="1"/>
  <c r="O38" i="1"/>
  <c r="S38" i="1"/>
  <c r="T38" i="1"/>
  <c r="X38" i="1"/>
  <c r="Y38" i="1"/>
  <c r="Z38" i="1"/>
  <c r="AD38" i="1"/>
  <c r="AE38" i="1"/>
  <c r="AF38" i="1"/>
  <c r="AG38" i="1"/>
  <c r="AH38" i="1"/>
  <c r="AI38" i="1"/>
  <c r="I39" i="1"/>
  <c r="J39" i="1"/>
  <c r="M39" i="1"/>
  <c r="N39" i="1"/>
  <c r="O39" i="1"/>
  <c r="S39" i="1"/>
  <c r="T39" i="1"/>
  <c r="X39" i="1"/>
  <c r="Y39" i="1"/>
  <c r="Z39" i="1"/>
  <c r="AD39" i="1"/>
  <c r="AE39" i="1"/>
  <c r="AF39" i="1"/>
  <c r="AG39" i="1"/>
  <c r="AH39" i="1"/>
  <c r="AI39" i="1"/>
  <c r="I40" i="1"/>
  <c r="J40" i="1"/>
  <c r="M40" i="1"/>
  <c r="N40" i="1"/>
  <c r="O40" i="1"/>
  <c r="S40" i="1"/>
  <c r="T40" i="1"/>
  <c r="X40" i="1"/>
  <c r="Y40" i="1"/>
  <c r="Z40" i="1"/>
  <c r="AD40" i="1"/>
  <c r="AE40" i="1"/>
  <c r="AF40" i="1"/>
  <c r="AG40" i="1"/>
  <c r="AH40" i="1"/>
  <c r="AI40" i="1"/>
  <c r="I41" i="1"/>
  <c r="J41" i="1"/>
  <c r="M41" i="1"/>
  <c r="N41" i="1"/>
  <c r="O41" i="1"/>
  <c r="S41" i="1"/>
  <c r="T41" i="1"/>
  <c r="X41" i="1"/>
  <c r="Y41" i="1"/>
  <c r="Z41" i="1"/>
  <c r="AD41" i="1"/>
  <c r="AE41" i="1"/>
  <c r="AF41" i="1"/>
  <c r="AG41" i="1"/>
  <c r="AH41" i="1"/>
  <c r="AI41" i="1"/>
  <c r="I42" i="1"/>
  <c r="J42" i="1"/>
  <c r="M42" i="1"/>
  <c r="N42" i="1"/>
  <c r="O42" i="1"/>
  <c r="S42" i="1"/>
  <c r="T42" i="1"/>
  <c r="X42" i="1"/>
  <c r="Y42" i="1"/>
  <c r="Z42" i="1"/>
  <c r="AD42" i="1"/>
  <c r="AE42" i="1"/>
  <c r="AF42" i="1"/>
  <c r="AG42" i="1"/>
  <c r="AH42" i="1"/>
  <c r="AI42" i="1"/>
  <c r="I43" i="1"/>
  <c r="J43" i="1"/>
  <c r="M43" i="1"/>
  <c r="N43" i="1"/>
  <c r="O43" i="1"/>
  <c r="S43" i="1"/>
  <c r="T43" i="1"/>
  <c r="X43" i="1"/>
  <c r="Y43" i="1"/>
  <c r="Z43" i="1"/>
  <c r="AD43" i="1"/>
  <c r="AE43" i="1"/>
  <c r="AF43" i="1"/>
  <c r="AG43" i="1"/>
  <c r="AH43" i="1"/>
  <c r="AI43" i="1"/>
  <c r="I44" i="1"/>
  <c r="J44" i="1"/>
  <c r="M44" i="1"/>
  <c r="N44" i="1"/>
  <c r="O44" i="1"/>
  <c r="S44" i="1"/>
  <c r="T44" i="1"/>
  <c r="X44" i="1"/>
  <c r="Y44" i="1"/>
  <c r="Z44" i="1"/>
  <c r="AD44" i="1"/>
  <c r="AE44" i="1"/>
  <c r="AF44" i="1"/>
  <c r="AG44" i="1"/>
  <c r="AH44" i="1"/>
  <c r="AI44" i="1"/>
  <c r="I45" i="1"/>
  <c r="J45" i="1"/>
  <c r="M45" i="1"/>
  <c r="N45" i="1"/>
  <c r="O45" i="1"/>
  <c r="S45" i="1"/>
  <c r="T45" i="1"/>
  <c r="X45" i="1"/>
  <c r="Y45" i="1"/>
  <c r="Z45" i="1"/>
  <c r="AD45" i="1"/>
  <c r="AE45" i="1"/>
  <c r="AF45" i="1"/>
  <c r="AG45" i="1"/>
  <c r="AH45" i="1"/>
  <c r="AI45" i="1"/>
  <c r="I46" i="1"/>
  <c r="J46" i="1"/>
  <c r="M46" i="1"/>
  <c r="N46" i="1"/>
  <c r="O46" i="1"/>
  <c r="S46" i="1"/>
  <c r="T46" i="1"/>
  <c r="X46" i="1"/>
  <c r="Y46" i="1"/>
  <c r="Z46" i="1"/>
  <c r="AD46" i="1"/>
  <c r="AE46" i="1"/>
  <c r="AF46" i="1"/>
  <c r="AG46" i="1"/>
  <c r="AH46" i="1"/>
  <c r="AI46" i="1"/>
  <c r="I47" i="1"/>
  <c r="J47" i="1"/>
  <c r="M47" i="1"/>
  <c r="N47" i="1"/>
  <c r="O47" i="1"/>
  <c r="S47" i="1"/>
  <c r="T47" i="1"/>
  <c r="X47" i="1"/>
  <c r="Y47" i="1"/>
  <c r="Z47" i="1"/>
  <c r="AD47" i="1"/>
  <c r="AE47" i="1"/>
  <c r="AF47" i="1"/>
  <c r="AG47" i="1"/>
  <c r="AH47" i="1"/>
  <c r="AI47" i="1"/>
  <c r="I48" i="1"/>
  <c r="J48" i="1"/>
  <c r="M48" i="1"/>
  <c r="N48" i="1"/>
  <c r="O48" i="1"/>
  <c r="S48" i="1"/>
  <c r="T48" i="1"/>
  <c r="X48" i="1"/>
  <c r="Y48" i="1"/>
  <c r="Z48" i="1"/>
  <c r="AD48" i="1"/>
  <c r="AE48" i="1"/>
  <c r="AF48" i="1"/>
  <c r="AG48" i="1"/>
  <c r="AH48" i="1"/>
  <c r="AI48" i="1"/>
  <c r="I49" i="1"/>
  <c r="J49" i="1"/>
  <c r="M49" i="1"/>
  <c r="N49" i="1"/>
  <c r="O49" i="1"/>
  <c r="S49" i="1"/>
  <c r="T49" i="1"/>
  <c r="X49" i="1"/>
  <c r="Y49" i="1"/>
  <c r="Z49" i="1"/>
  <c r="AD49" i="1"/>
  <c r="AE49" i="1"/>
  <c r="AF49" i="1"/>
  <c r="AG49" i="1"/>
  <c r="AH49" i="1"/>
  <c r="AI49" i="1"/>
  <c r="I50" i="1"/>
  <c r="J50" i="1"/>
  <c r="M50" i="1"/>
  <c r="N50" i="1"/>
  <c r="O50" i="1"/>
  <c r="S50" i="1"/>
  <c r="T50" i="1"/>
  <c r="X50" i="1"/>
  <c r="Y50" i="1"/>
  <c r="Z50" i="1"/>
  <c r="AD50" i="1"/>
  <c r="AE50" i="1"/>
  <c r="AF50" i="1"/>
  <c r="AG50" i="1"/>
  <c r="AH50" i="1"/>
  <c r="AI50" i="1"/>
  <c r="I51" i="1"/>
  <c r="J51" i="1"/>
  <c r="M51" i="1"/>
  <c r="N51" i="1"/>
  <c r="O51" i="1"/>
  <c r="S51" i="1"/>
  <c r="T51" i="1"/>
  <c r="X51" i="1"/>
  <c r="Y51" i="1"/>
  <c r="Z51" i="1"/>
  <c r="AD51" i="1"/>
  <c r="AE51" i="1"/>
  <c r="AF51" i="1"/>
  <c r="AG51" i="1"/>
  <c r="AH51" i="1"/>
  <c r="AI51" i="1"/>
  <c r="I52" i="1"/>
  <c r="J52" i="1"/>
  <c r="M52" i="1"/>
  <c r="N52" i="1"/>
  <c r="O52" i="1"/>
  <c r="S52" i="1"/>
  <c r="T52" i="1"/>
  <c r="X52" i="1"/>
  <c r="Y52" i="1"/>
  <c r="Z52" i="1"/>
  <c r="AD52" i="1"/>
  <c r="AE52" i="1"/>
  <c r="AF52" i="1"/>
  <c r="AG52" i="1"/>
  <c r="AH52" i="1"/>
  <c r="AI52" i="1"/>
  <c r="I53" i="1"/>
  <c r="J53" i="1"/>
  <c r="M53" i="1"/>
  <c r="N53" i="1"/>
  <c r="O53" i="1"/>
  <c r="S53" i="1"/>
  <c r="T53" i="1"/>
  <c r="X53" i="1"/>
  <c r="Y53" i="1"/>
  <c r="Z53" i="1"/>
  <c r="AD53" i="1"/>
  <c r="AE53" i="1"/>
  <c r="AF53" i="1"/>
  <c r="AG53" i="1"/>
  <c r="AH53" i="1"/>
  <c r="AI53" i="1"/>
  <c r="I54" i="1"/>
  <c r="J54" i="1"/>
  <c r="M54" i="1"/>
  <c r="N54" i="1"/>
  <c r="O54" i="1"/>
  <c r="S54" i="1"/>
  <c r="T54" i="1"/>
  <c r="X54" i="1"/>
  <c r="Y54" i="1"/>
  <c r="Z54" i="1"/>
  <c r="AD54" i="1"/>
  <c r="AE54" i="1"/>
  <c r="AF54" i="1"/>
  <c r="AG54" i="1"/>
  <c r="AH54" i="1"/>
  <c r="AI54" i="1"/>
  <c r="I55" i="1"/>
  <c r="J55" i="1"/>
  <c r="M55" i="1"/>
  <c r="N55" i="1"/>
  <c r="O55" i="1"/>
  <c r="S55" i="1"/>
  <c r="T55" i="1"/>
  <c r="X55" i="1"/>
  <c r="Y55" i="1"/>
  <c r="Z55" i="1"/>
  <c r="AD55" i="1"/>
  <c r="AE55" i="1"/>
  <c r="AF55" i="1"/>
  <c r="AG55" i="1"/>
  <c r="AH55" i="1"/>
  <c r="AI55" i="1"/>
  <c r="I56" i="1"/>
  <c r="J56" i="1"/>
  <c r="M56" i="1"/>
  <c r="N56" i="1"/>
  <c r="O56" i="1"/>
  <c r="S56" i="1"/>
  <c r="T56" i="1"/>
  <c r="X56" i="1"/>
  <c r="Y56" i="1"/>
  <c r="Z56" i="1"/>
  <c r="AD56" i="1"/>
  <c r="AE56" i="1"/>
  <c r="AF56" i="1"/>
  <c r="AG56" i="1"/>
  <c r="AH56" i="1"/>
  <c r="AI56" i="1"/>
  <c r="I57" i="1"/>
  <c r="J57" i="1"/>
  <c r="M57" i="1"/>
  <c r="N57" i="1"/>
  <c r="O57" i="1"/>
  <c r="S57" i="1"/>
  <c r="T57" i="1"/>
  <c r="X57" i="1"/>
  <c r="Y57" i="1"/>
  <c r="Z57" i="1"/>
  <c r="AD57" i="1"/>
  <c r="AE57" i="1"/>
  <c r="AF57" i="1"/>
  <c r="AG57" i="1"/>
  <c r="AH57" i="1"/>
  <c r="AI57" i="1"/>
  <c r="I58" i="1"/>
  <c r="J58" i="1"/>
  <c r="M58" i="1"/>
  <c r="N58" i="1"/>
  <c r="O58" i="1"/>
  <c r="S58" i="1"/>
  <c r="T58" i="1"/>
  <c r="X58" i="1"/>
  <c r="Y58" i="1"/>
  <c r="Z58" i="1"/>
  <c r="AD58" i="1"/>
  <c r="AE58" i="1"/>
  <c r="AF58" i="1"/>
  <c r="AG58" i="1"/>
  <c r="AH58" i="1"/>
  <c r="AI58" i="1"/>
  <c r="I59" i="1"/>
  <c r="J59" i="1"/>
  <c r="M59" i="1"/>
  <c r="N59" i="1"/>
  <c r="O59" i="1"/>
  <c r="S59" i="1"/>
  <c r="T59" i="1"/>
  <c r="X59" i="1"/>
  <c r="Y59" i="1"/>
  <c r="Z59" i="1"/>
  <c r="AD59" i="1"/>
  <c r="AE59" i="1"/>
  <c r="AF59" i="1"/>
  <c r="AG59" i="1"/>
  <c r="AH59" i="1"/>
  <c r="AI59" i="1"/>
  <c r="I60" i="1"/>
  <c r="J60" i="1"/>
  <c r="M60" i="1"/>
  <c r="N60" i="1"/>
  <c r="O60" i="1"/>
  <c r="S60" i="1"/>
  <c r="T60" i="1"/>
  <c r="X60" i="1"/>
  <c r="Y60" i="1"/>
  <c r="Z60" i="1"/>
  <c r="AD60" i="1"/>
  <c r="AE60" i="1"/>
  <c r="AF60" i="1"/>
  <c r="AG60" i="1"/>
  <c r="AH60" i="1"/>
  <c r="AI60" i="1"/>
  <c r="I61" i="1"/>
  <c r="J61" i="1"/>
  <c r="M61" i="1"/>
  <c r="N61" i="1"/>
  <c r="O61" i="1"/>
  <c r="S61" i="1"/>
  <c r="T61" i="1"/>
  <c r="X61" i="1"/>
  <c r="Y61" i="1"/>
  <c r="Z61" i="1"/>
  <c r="AD61" i="1"/>
  <c r="AE61" i="1"/>
  <c r="AF61" i="1"/>
  <c r="AG61" i="1"/>
  <c r="AH61" i="1"/>
  <c r="AI61" i="1"/>
  <c r="I62" i="1"/>
  <c r="J62" i="1"/>
  <c r="M62" i="1"/>
  <c r="N62" i="1"/>
  <c r="O62" i="1"/>
  <c r="S62" i="1"/>
  <c r="T62" i="1"/>
  <c r="X62" i="1"/>
  <c r="Y62" i="1"/>
  <c r="Z62" i="1"/>
  <c r="AD62" i="1"/>
  <c r="AE62" i="1"/>
  <c r="AF62" i="1"/>
  <c r="AG62" i="1"/>
  <c r="AH62" i="1"/>
  <c r="AI62" i="1"/>
  <c r="I63" i="1"/>
  <c r="J63" i="1"/>
  <c r="M63" i="1"/>
  <c r="N63" i="1"/>
  <c r="O63" i="1"/>
  <c r="S63" i="1"/>
  <c r="T63" i="1"/>
  <c r="X63" i="1"/>
  <c r="Y63" i="1"/>
  <c r="Z63" i="1"/>
  <c r="AD63" i="1"/>
  <c r="AE63" i="1"/>
  <c r="AF63" i="1"/>
  <c r="AG63" i="1"/>
  <c r="AH63" i="1"/>
  <c r="AI63" i="1"/>
  <c r="I64" i="1"/>
  <c r="J64" i="1"/>
  <c r="M64" i="1"/>
  <c r="N64" i="1"/>
  <c r="O64" i="1"/>
  <c r="S64" i="1"/>
  <c r="T64" i="1"/>
  <c r="X64" i="1"/>
  <c r="Y64" i="1"/>
  <c r="Z64" i="1"/>
  <c r="AD64" i="1"/>
  <c r="AE64" i="1"/>
  <c r="AF64" i="1"/>
  <c r="AG64" i="1"/>
  <c r="AH64" i="1"/>
  <c r="AI64" i="1"/>
  <c r="I65" i="1"/>
  <c r="J65" i="1"/>
  <c r="M65" i="1"/>
  <c r="N65" i="1"/>
  <c r="O65" i="1"/>
  <c r="S65" i="1"/>
  <c r="T65" i="1"/>
  <c r="X65" i="1"/>
  <c r="Y65" i="1"/>
  <c r="Z65" i="1"/>
  <c r="AD65" i="1"/>
  <c r="AE65" i="1"/>
  <c r="AF65" i="1"/>
  <c r="AG65" i="1"/>
  <c r="AH65" i="1"/>
  <c r="AI65" i="1"/>
  <c r="I66" i="1"/>
  <c r="J66" i="1"/>
  <c r="M66" i="1"/>
  <c r="N66" i="1"/>
  <c r="O66" i="1"/>
  <c r="S66" i="1"/>
  <c r="T66" i="1"/>
  <c r="X66" i="1"/>
  <c r="Y66" i="1"/>
  <c r="Z66" i="1"/>
  <c r="AD66" i="1"/>
  <c r="AE66" i="1"/>
  <c r="AF66" i="1"/>
  <c r="AG66" i="1"/>
  <c r="AH66" i="1"/>
  <c r="AI66" i="1"/>
  <c r="I67" i="1"/>
  <c r="J67" i="1"/>
  <c r="M67" i="1"/>
  <c r="N67" i="1"/>
  <c r="O67" i="1"/>
  <c r="S67" i="1"/>
  <c r="T67" i="1"/>
  <c r="X67" i="1"/>
  <c r="Y67" i="1"/>
  <c r="Z67" i="1"/>
  <c r="AD67" i="1"/>
  <c r="AE67" i="1"/>
  <c r="AF67" i="1"/>
  <c r="AG67" i="1"/>
  <c r="AH67" i="1"/>
  <c r="AI67" i="1"/>
  <c r="I68" i="1"/>
  <c r="J68" i="1"/>
  <c r="M68" i="1"/>
  <c r="N68" i="1"/>
  <c r="O68" i="1"/>
  <c r="S68" i="1"/>
  <c r="T68" i="1"/>
  <c r="X68" i="1"/>
  <c r="Y68" i="1"/>
  <c r="Z68" i="1"/>
  <c r="AD68" i="1"/>
  <c r="AE68" i="1"/>
  <c r="AF68" i="1"/>
  <c r="AG68" i="1"/>
  <c r="AH68" i="1"/>
  <c r="AI68" i="1"/>
  <c r="I69" i="1"/>
  <c r="J69" i="1"/>
  <c r="M69" i="1"/>
  <c r="N69" i="1"/>
  <c r="O69" i="1"/>
  <c r="S69" i="1"/>
  <c r="T69" i="1"/>
  <c r="X69" i="1"/>
  <c r="Y69" i="1"/>
  <c r="Z69" i="1"/>
  <c r="AD69" i="1"/>
  <c r="AE69" i="1"/>
  <c r="AF69" i="1"/>
  <c r="AG69" i="1"/>
  <c r="AH69" i="1"/>
  <c r="AI69" i="1"/>
  <c r="I70" i="1"/>
  <c r="J70" i="1"/>
  <c r="M70" i="1"/>
  <c r="N70" i="1"/>
  <c r="O70" i="1"/>
  <c r="S70" i="1"/>
  <c r="T70" i="1"/>
  <c r="X70" i="1"/>
  <c r="Y70" i="1"/>
  <c r="Z70" i="1"/>
  <c r="AD70" i="1"/>
  <c r="AE70" i="1"/>
  <c r="AF70" i="1"/>
  <c r="AG70" i="1"/>
  <c r="AH70" i="1"/>
  <c r="AI70" i="1"/>
  <c r="I71" i="1"/>
  <c r="J71" i="1"/>
  <c r="M71" i="1"/>
  <c r="N71" i="1"/>
  <c r="O71" i="1"/>
  <c r="S71" i="1"/>
  <c r="T71" i="1"/>
  <c r="X71" i="1"/>
  <c r="Y71" i="1"/>
  <c r="Z71" i="1"/>
  <c r="AD71" i="1"/>
  <c r="AE71" i="1"/>
  <c r="AF71" i="1"/>
  <c r="AG71" i="1"/>
  <c r="AH71" i="1"/>
  <c r="AI71" i="1"/>
  <c r="I72" i="1"/>
  <c r="J72" i="1"/>
  <c r="M72" i="1"/>
  <c r="N72" i="1"/>
  <c r="O72" i="1"/>
  <c r="S72" i="1"/>
  <c r="T72" i="1"/>
  <c r="X72" i="1"/>
  <c r="Y72" i="1"/>
  <c r="Z72" i="1"/>
  <c r="AD72" i="1"/>
  <c r="AE72" i="1"/>
  <c r="AF72" i="1"/>
  <c r="AG72" i="1"/>
  <c r="AH72" i="1"/>
  <c r="AI72" i="1"/>
  <c r="I73" i="1"/>
  <c r="J73" i="1"/>
  <c r="M73" i="1"/>
  <c r="N73" i="1"/>
  <c r="O73" i="1"/>
  <c r="S73" i="1"/>
  <c r="T73" i="1"/>
  <c r="X73" i="1"/>
  <c r="Y73" i="1"/>
  <c r="Z73" i="1"/>
  <c r="AD73" i="1"/>
  <c r="AE73" i="1"/>
  <c r="AF73" i="1"/>
  <c r="AG73" i="1"/>
  <c r="AH73" i="1"/>
  <c r="AI73" i="1"/>
  <c r="I74" i="1"/>
  <c r="J74" i="1"/>
  <c r="M74" i="1"/>
  <c r="N74" i="1"/>
  <c r="O74" i="1"/>
  <c r="S74" i="1"/>
  <c r="T74" i="1"/>
  <c r="X74" i="1"/>
  <c r="Y74" i="1"/>
  <c r="Z74" i="1"/>
  <c r="AD74" i="1"/>
  <c r="AE74" i="1"/>
  <c r="AF74" i="1"/>
  <c r="AG74" i="1"/>
  <c r="AH74" i="1"/>
  <c r="AI74" i="1"/>
  <c r="I75" i="1"/>
  <c r="J75" i="1"/>
  <c r="M75" i="1"/>
  <c r="N75" i="1"/>
  <c r="O75" i="1"/>
  <c r="S75" i="1"/>
  <c r="T75" i="1"/>
  <c r="X75" i="1"/>
  <c r="Y75" i="1"/>
  <c r="Z75" i="1"/>
  <c r="AD75" i="1"/>
  <c r="AE75" i="1"/>
  <c r="AF75" i="1"/>
  <c r="AG75" i="1"/>
  <c r="AH75" i="1"/>
  <c r="AI75" i="1"/>
  <c r="I76" i="1"/>
  <c r="J76" i="1"/>
  <c r="M76" i="1"/>
  <c r="N76" i="1"/>
  <c r="O76" i="1"/>
  <c r="S76" i="1"/>
  <c r="T76" i="1"/>
  <c r="X76" i="1"/>
  <c r="Y76" i="1"/>
  <c r="Z76" i="1"/>
  <c r="AD76" i="1"/>
  <c r="AE76" i="1"/>
  <c r="AF76" i="1"/>
  <c r="AG76" i="1"/>
  <c r="AH76" i="1"/>
  <c r="AI76" i="1"/>
  <c r="I77" i="1"/>
  <c r="J77" i="1"/>
  <c r="M77" i="1"/>
  <c r="N77" i="1"/>
  <c r="O77" i="1"/>
  <c r="S77" i="1"/>
  <c r="T77" i="1"/>
  <c r="X77" i="1"/>
  <c r="Y77" i="1"/>
  <c r="Z77" i="1"/>
  <c r="AD77" i="1"/>
  <c r="AE77" i="1"/>
  <c r="AF77" i="1"/>
  <c r="AG77" i="1"/>
  <c r="AH77" i="1"/>
  <c r="AI77" i="1"/>
  <c r="I78" i="1"/>
  <c r="J78" i="1"/>
  <c r="M78" i="1"/>
  <c r="N78" i="1"/>
  <c r="O78" i="1"/>
  <c r="S78" i="1"/>
  <c r="T78" i="1"/>
  <c r="X78" i="1"/>
  <c r="Y78" i="1"/>
  <c r="Z78" i="1"/>
  <c r="AD78" i="1"/>
  <c r="AE78" i="1"/>
  <c r="AF78" i="1"/>
  <c r="AG78" i="1"/>
  <c r="AH78" i="1"/>
  <c r="AI78" i="1"/>
  <c r="I79" i="1"/>
  <c r="J79" i="1"/>
  <c r="M79" i="1"/>
  <c r="N79" i="1"/>
  <c r="O79" i="1"/>
  <c r="S79" i="1"/>
  <c r="T79" i="1"/>
  <c r="X79" i="1"/>
  <c r="Y79" i="1"/>
  <c r="Z79" i="1"/>
  <c r="AD79" i="1"/>
  <c r="AE79" i="1"/>
  <c r="AF79" i="1"/>
  <c r="AG79" i="1"/>
  <c r="AH79" i="1"/>
  <c r="AI79" i="1"/>
  <c r="I80" i="1"/>
  <c r="J80" i="1"/>
  <c r="M80" i="1"/>
  <c r="N80" i="1"/>
  <c r="O80" i="1"/>
  <c r="S80" i="1"/>
  <c r="T80" i="1"/>
  <c r="X80" i="1"/>
  <c r="Y80" i="1"/>
  <c r="Z80" i="1"/>
  <c r="AD80" i="1"/>
  <c r="AE80" i="1"/>
  <c r="AF80" i="1"/>
  <c r="AG80" i="1"/>
  <c r="AH80" i="1"/>
  <c r="AI80" i="1"/>
  <c r="I81" i="1"/>
  <c r="J81" i="1"/>
  <c r="M81" i="1"/>
  <c r="N81" i="1"/>
  <c r="O81" i="1"/>
  <c r="S81" i="1"/>
  <c r="T81" i="1"/>
  <c r="X81" i="1"/>
  <c r="Y81" i="1"/>
  <c r="Z81" i="1"/>
  <c r="AD81" i="1"/>
  <c r="AE81" i="1"/>
  <c r="AF81" i="1"/>
  <c r="AG81" i="1"/>
  <c r="AH81" i="1"/>
  <c r="AI81" i="1"/>
  <c r="I82" i="1"/>
  <c r="J82" i="1"/>
  <c r="M82" i="1"/>
  <c r="N82" i="1"/>
  <c r="O82" i="1"/>
  <c r="S82" i="1"/>
  <c r="T82" i="1"/>
  <c r="X82" i="1"/>
  <c r="Y82" i="1"/>
  <c r="Z82" i="1"/>
  <c r="AD82" i="1"/>
  <c r="AE82" i="1"/>
  <c r="AF82" i="1"/>
  <c r="AG82" i="1"/>
  <c r="AH82" i="1"/>
  <c r="AI82" i="1"/>
  <c r="I83" i="1"/>
  <c r="J83" i="1"/>
  <c r="M83" i="1"/>
  <c r="N83" i="1"/>
  <c r="O83" i="1"/>
  <c r="S83" i="1"/>
  <c r="T83" i="1"/>
  <c r="X83" i="1"/>
  <c r="Y83" i="1"/>
  <c r="Z83" i="1"/>
  <c r="AD83" i="1"/>
  <c r="AE83" i="1"/>
  <c r="AF83" i="1"/>
  <c r="AG83" i="1"/>
  <c r="AH83" i="1"/>
  <c r="AI83" i="1"/>
  <c r="I84" i="1"/>
  <c r="J84" i="1"/>
  <c r="M84" i="1"/>
  <c r="N84" i="1"/>
  <c r="O84" i="1"/>
  <c r="S84" i="1"/>
  <c r="T84" i="1"/>
  <c r="X84" i="1"/>
  <c r="Y84" i="1"/>
  <c r="Z84" i="1"/>
  <c r="AD84" i="1"/>
  <c r="AE84" i="1"/>
  <c r="AF84" i="1"/>
  <c r="AG84" i="1"/>
  <c r="AH84" i="1"/>
  <c r="AI84" i="1"/>
  <c r="I85" i="1"/>
  <c r="J85" i="1"/>
  <c r="M85" i="1"/>
  <c r="N85" i="1"/>
  <c r="O85" i="1"/>
  <c r="S85" i="1"/>
  <c r="T85" i="1"/>
  <c r="X85" i="1"/>
  <c r="Y85" i="1"/>
  <c r="Z85" i="1"/>
  <c r="AD85" i="1"/>
  <c r="AE85" i="1"/>
  <c r="AF85" i="1"/>
  <c r="AG85" i="1"/>
  <c r="AH85" i="1"/>
  <c r="AI85" i="1"/>
  <c r="I86" i="1"/>
  <c r="J86" i="1"/>
  <c r="M86" i="1"/>
  <c r="N86" i="1"/>
  <c r="O86" i="1"/>
  <c r="S86" i="1"/>
  <c r="T86" i="1"/>
  <c r="X86" i="1"/>
  <c r="Y86" i="1"/>
  <c r="Z86" i="1"/>
  <c r="AD86" i="1"/>
  <c r="AE86" i="1"/>
  <c r="AF86" i="1"/>
  <c r="AG86" i="1"/>
  <c r="AH86" i="1"/>
  <c r="AI86" i="1"/>
  <c r="I87" i="1"/>
  <c r="J87" i="1"/>
  <c r="M87" i="1"/>
  <c r="N87" i="1"/>
  <c r="O87" i="1"/>
  <c r="S87" i="1"/>
  <c r="T87" i="1"/>
  <c r="X87" i="1"/>
  <c r="Y87" i="1"/>
  <c r="Z87" i="1"/>
  <c r="AD87" i="1"/>
  <c r="AE87" i="1"/>
  <c r="AF87" i="1"/>
  <c r="AG87" i="1"/>
  <c r="AH87" i="1"/>
  <c r="AI87" i="1"/>
  <c r="I88" i="1"/>
  <c r="J88" i="1"/>
  <c r="M88" i="1"/>
  <c r="N88" i="1"/>
  <c r="O88" i="1"/>
  <c r="S88" i="1"/>
  <c r="T88" i="1"/>
  <c r="X88" i="1"/>
  <c r="Y88" i="1"/>
  <c r="Z88" i="1"/>
  <c r="AD88" i="1"/>
  <c r="AE88" i="1"/>
  <c r="AF88" i="1"/>
  <c r="AG88" i="1"/>
  <c r="AH88" i="1"/>
  <c r="AI88" i="1"/>
  <c r="I89" i="1"/>
  <c r="J89" i="1"/>
  <c r="M89" i="1"/>
  <c r="N89" i="1"/>
  <c r="O89" i="1"/>
  <c r="S89" i="1"/>
  <c r="T89" i="1"/>
  <c r="X89" i="1"/>
  <c r="Y89" i="1"/>
  <c r="Z89" i="1"/>
  <c r="AD89" i="1"/>
  <c r="AE89" i="1"/>
  <c r="AF89" i="1"/>
  <c r="AG89" i="1"/>
  <c r="AH89" i="1"/>
  <c r="AI89" i="1"/>
  <c r="I90" i="1"/>
  <c r="J90" i="1"/>
  <c r="M90" i="1"/>
  <c r="N90" i="1"/>
  <c r="O90" i="1"/>
  <c r="S90" i="1"/>
  <c r="T90" i="1"/>
  <c r="X90" i="1"/>
  <c r="Y90" i="1"/>
  <c r="Z90" i="1"/>
  <c r="AD90" i="1"/>
  <c r="AE90" i="1"/>
  <c r="AF90" i="1"/>
  <c r="AG90" i="1"/>
  <c r="AH90" i="1"/>
  <c r="AI90" i="1"/>
  <c r="I91" i="1"/>
  <c r="J91" i="1"/>
  <c r="M91" i="1"/>
  <c r="N91" i="1"/>
  <c r="O91" i="1"/>
  <c r="S91" i="1"/>
  <c r="T91" i="1"/>
  <c r="X91" i="1"/>
  <c r="Y91" i="1"/>
  <c r="Z91" i="1"/>
  <c r="AD91" i="1"/>
  <c r="AE91" i="1"/>
  <c r="AF91" i="1"/>
  <c r="AG91" i="1"/>
  <c r="AH91" i="1"/>
  <c r="AI91" i="1"/>
  <c r="I92" i="1"/>
  <c r="J92" i="1"/>
  <c r="M92" i="1"/>
  <c r="N92" i="1"/>
  <c r="O92" i="1"/>
  <c r="S92" i="1"/>
  <c r="T92" i="1"/>
  <c r="X92" i="1"/>
  <c r="Y92" i="1"/>
  <c r="Z92" i="1"/>
  <c r="AD92" i="1"/>
  <c r="AE92" i="1"/>
  <c r="AF92" i="1"/>
  <c r="AG92" i="1"/>
  <c r="AH92" i="1"/>
  <c r="AI92" i="1"/>
  <c r="I93" i="1"/>
  <c r="J93" i="1"/>
  <c r="M93" i="1"/>
  <c r="N93" i="1"/>
  <c r="O93" i="1"/>
  <c r="S93" i="1"/>
  <c r="T93" i="1"/>
  <c r="X93" i="1"/>
  <c r="Y93" i="1"/>
  <c r="Z93" i="1"/>
  <c r="AD93" i="1"/>
  <c r="AE93" i="1"/>
  <c r="AF93" i="1"/>
  <c r="AG93" i="1"/>
  <c r="AH93" i="1"/>
  <c r="AI93" i="1"/>
  <c r="I94" i="1"/>
  <c r="J94" i="1"/>
  <c r="M94" i="1"/>
  <c r="N94" i="1"/>
  <c r="O94" i="1"/>
  <c r="S94" i="1"/>
  <c r="T94" i="1"/>
  <c r="X94" i="1"/>
  <c r="Y94" i="1"/>
  <c r="Z94" i="1"/>
  <c r="AD94" i="1"/>
  <c r="AE94" i="1"/>
  <c r="AF94" i="1"/>
  <c r="AG94" i="1"/>
  <c r="AH94" i="1"/>
  <c r="AI94" i="1"/>
  <c r="I95" i="1"/>
  <c r="J95" i="1"/>
  <c r="M95" i="1"/>
  <c r="N95" i="1"/>
  <c r="O95" i="1"/>
  <c r="S95" i="1"/>
  <c r="T95" i="1"/>
  <c r="X95" i="1"/>
  <c r="Y95" i="1"/>
  <c r="Z95" i="1"/>
  <c r="AD95" i="1"/>
  <c r="AE95" i="1"/>
  <c r="AF95" i="1"/>
  <c r="AG95" i="1"/>
  <c r="AH95" i="1"/>
  <c r="AI95" i="1"/>
  <c r="I96" i="1"/>
  <c r="J96" i="1"/>
  <c r="M96" i="1"/>
  <c r="N96" i="1"/>
  <c r="O96" i="1"/>
  <c r="S96" i="1"/>
  <c r="T96" i="1"/>
  <c r="X96" i="1"/>
  <c r="Y96" i="1"/>
  <c r="Z96" i="1"/>
  <c r="AD96" i="1"/>
  <c r="AE96" i="1"/>
  <c r="AF96" i="1"/>
  <c r="AG96" i="1"/>
  <c r="AH96" i="1"/>
  <c r="AI96" i="1"/>
  <c r="I97" i="1"/>
  <c r="J97" i="1"/>
  <c r="M97" i="1"/>
  <c r="N97" i="1"/>
  <c r="O97" i="1"/>
  <c r="S97" i="1"/>
  <c r="T97" i="1"/>
  <c r="X97" i="1"/>
  <c r="Y97" i="1"/>
  <c r="Z97" i="1"/>
  <c r="AD97" i="1"/>
  <c r="AE97" i="1"/>
  <c r="AF97" i="1"/>
  <c r="AG97" i="1"/>
  <c r="AH97" i="1"/>
  <c r="AI97" i="1"/>
  <c r="I98" i="1"/>
  <c r="J98" i="1"/>
  <c r="M98" i="1"/>
  <c r="N98" i="1"/>
  <c r="O98" i="1"/>
  <c r="S98" i="1"/>
  <c r="T98" i="1"/>
  <c r="X98" i="1"/>
  <c r="Y98" i="1"/>
  <c r="Z98" i="1"/>
  <c r="AD98" i="1"/>
  <c r="AE98" i="1"/>
  <c r="AF98" i="1"/>
  <c r="AG98" i="1"/>
  <c r="AH98" i="1"/>
  <c r="AI98" i="1"/>
  <c r="I99" i="1"/>
  <c r="J99" i="1"/>
  <c r="M99" i="1"/>
  <c r="N99" i="1"/>
  <c r="O99" i="1"/>
  <c r="S99" i="1"/>
  <c r="T99" i="1"/>
  <c r="X99" i="1"/>
  <c r="Y99" i="1"/>
  <c r="Z99" i="1"/>
  <c r="AD99" i="1"/>
  <c r="AE99" i="1"/>
  <c r="AF99" i="1"/>
  <c r="AG99" i="1"/>
  <c r="AH99" i="1"/>
  <c r="AI99" i="1"/>
  <c r="I100" i="1"/>
  <c r="J100" i="1"/>
  <c r="M100" i="1"/>
  <c r="N100" i="1"/>
  <c r="O100" i="1"/>
  <c r="S100" i="1"/>
  <c r="T100" i="1"/>
  <c r="X100" i="1"/>
  <c r="Y100" i="1"/>
  <c r="Z100" i="1"/>
  <c r="AD100" i="1"/>
  <c r="AE100" i="1"/>
  <c r="AF100" i="1"/>
  <c r="AG100" i="1"/>
  <c r="AH100" i="1"/>
  <c r="AI100" i="1"/>
  <c r="I101" i="1"/>
  <c r="J101" i="1"/>
  <c r="M101" i="1"/>
  <c r="N101" i="1"/>
  <c r="O101" i="1"/>
  <c r="S101" i="1"/>
  <c r="T101" i="1"/>
  <c r="X101" i="1"/>
  <c r="Y101" i="1"/>
  <c r="Z101" i="1"/>
  <c r="AD101" i="1"/>
  <c r="AE101" i="1"/>
  <c r="AF101" i="1"/>
  <c r="AG101" i="1"/>
  <c r="AH101" i="1"/>
  <c r="AI101" i="1"/>
  <c r="I102" i="1"/>
  <c r="J102" i="1"/>
  <c r="M102" i="1"/>
  <c r="N102" i="1"/>
  <c r="O102" i="1"/>
  <c r="S102" i="1"/>
  <c r="T102" i="1"/>
  <c r="X102" i="1"/>
  <c r="Y102" i="1"/>
  <c r="Z102" i="1"/>
  <c r="AD102" i="1"/>
  <c r="AE102" i="1"/>
  <c r="AF102" i="1"/>
  <c r="AG102" i="1"/>
  <c r="AH102" i="1"/>
  <c r="AI102" i="1"/>
  <c r="I103" i="1"/>
  <c r="J103" i="1"/>
  <c r="M103" i="1"/>
  <c r="N103" i="1"/>
  <c r="O103" i="1"/>
  <c r="S103" i="1"/>
  <c r="T103" i="1"/>
  <c r="X103" i="1"/>
  <c r="Y103" i="1"/>
  <c r="Z103" i="1"/>
  <c r="AD103" i="1"/>
  <c r="AE103" i="1"/>
  <c r="AF103" i="1"/>
  <c r="AG103" i="1"/>
  <c r="AH103" i="1"/>
  <c r="AI103" i="1"/>
  <c r="I104" i="1"/>
  <c r="J104" i="1"/>
  <c r="M104" i="1"/>
  <c r="N104" i="1"/>
  <c r="O104" i="1"/>
  <c r="S104" i="1"/>
  <c r="T104" i="1"/>
  <c r="X104" i="1"/>
  <c r="Y104" i="1"/>
  <c r="Z104" i="1"/>
  <c r="AD104" i="1"/>
  <c r="AE104" i="1"/>
  <c r="AF104" i="1"/>
  <c r="AG104" i="1"/>
  <c r="AH104" i="1"/>
  <c r="AI104" i="1"/>
  <c r="I105" i="1"/>
  <c r="J105" i="1"/>
  <c r="M105" i="1"/>
  <c r="N105" i="1"/>
  <c r="O105" i="1"/>
  <c r="S105" i="1"/>
  <c r="T105" i="1"/>
  <c r="X105" i="1"/>
  <c r="Y105" i="1"/>
  <c r="Z105" i="1"/>
  <c r="AD105" i="1"/>
  <c r="AE105" i="1"/>
  <c r="AF105" i="1"/>
  <c r="AG105" i="1"/>
  <c r="AH105" i="1"/>
  <c r="AI105" i="1"/>
  <c r="I106" i="1"/>
  <c r="J106" i="1"/>
  <c r="M106" i="1"/>
  <c r="N106" i="1"/>
  <c r="O106" i="1"/>
  <c r="S106" i="1"/>
  <c r="T106" i="1"/>
  <c r="X106" i="1"/>
  <c r="Y106" i="1"/>
  <c r="Z106" i="1"/>
  <c r="AD106" i="1"/>
  <c r="AE106" i="1"/>
  <c r="AF106" i="1"/>
  <c r="AG106" i="1"/>
  <c r="AH106" i="1"/>
  <c r="AI106" i="1"/>
  <c r="I107" i="1"/>
  <c r="J107" i="1"/>
  <c r="M107" i="1"/>
  <c r="N107" i="1"/>
  <c r="O107" i="1"/>
  <c r="S107" i="1"/>
  <c r="T107" i="1"/>
  <c r="X107" i="1"/>
  <c r="Y107" i="1"/>
  <c r="Z107" i="1"/>
  <c r="AD107" i="1"/>
  <c r="AE107" i="1"/>
  <c r="AF107" i="1"/>
  <c r="AG107" i="1"/>
  <c r="AH107" i="1"/>
  <c r="AI107" i="1"/>
  <c r="I108" i="1"/>
  <c r="J108" i="1"/>
  <c r="M108" i="1"/>
  <c r="N108" i="1"/>
  <c r="O108" i="1"/>
  <c r="S108" i="1"/>
  <c r="T108" i="1"/>
  <c r="X108" i="1"/>
  <c r="Y108" i="1"/>
  <c r="Z108" i="1"/>
  <c r="AD108" i="1"/>
  <c r="AE108" i="1"/>
  <c r="AF108" i="1"/>
  <c r="AG108" i="1"/>
  <c r="AH108" i="1"/>
  <c r="AI108" i="1"/>
  <c r="I109" i="1"/>
  <c r="J109" i="1"/>
  <c r="M109" i="1"/>
  <c r="N109" i="1"/>
  <c r="O109" i="1"/>
  <c r="S109" i="1"/>
  <c r="T109" i="1"/>
  <c r="X109" i="1"/>
  <c r="Y109" i="1"/>
  <c r="Z109" i="1"/>
  <c r="AD109" i="1"/>
  <c r="AE109" i="1"/>
  <c r="AF109" i="1"/>
  <c r="AG109" i="1"/>
  <c r="AH109" i="1"/>
  <c r="AI109" i="1"/>
  <c r="I110" i="1"/>
  <c r="J110" i="1"/>
  <c r="M110" i="1"/>
  <c r="N110" i="1"/>
  <c r="O110" i="1"/>
  <c r="S110" i="1"/>
  <c r="T110" i="1"/>
  <c r="X110" i="1"/>
  <c r="Y110" i="1"/>
  <c r="Z110" i="1"/>
  <c r="AD110" i="1"/>
  <c r="AE110" i="1"/>
  <c r="AF110" i="1"/>
  <c r="AG110" i="1"/>
  <c r="AH110" i="1"/>
  <c r="AI110" i="1"/>
  <c r="I111" i="1"/>
  <c r="J111" i="1"/>
  <c r="M111" i="1"/>
  <c r="N111" i="1"/>
  <c r="O111" i="1"/>
  <c r="S111" i="1"/>
  <c r="T111" i="1"/>
  <c r="X111" i="1"/>
  <c r="Y111" i="1"/>
  <c r="Z111" i="1"/>
  <c r="AD111" i="1"/>
  <c r="AE111" i="1"/>
  <c r="AF111" i="1"/>
  <c r="AG111" i="1"/>
  <c r="AH111" i="1"/>
  <c r="AI111" i="1"/>
  <c r="I112" i="1"/>
  <c r="J112" i="1"/>
  <c r="M112" i="1"/>
  <c r="N112" i="1"/>
  <c r="O112" i="1"/>
  <c r="S112" i="1"/>
  <c r="T112" i="1"/>
  <c r="X112" i="1"/>
  <c r="Y112" i="1"/>
  <c r="Z112" i="1"/>
  <c r="AD112" i="1"/>
  <c r="AE112" i="1"/>
  <c r="AF112" i="1"/>
  <c r="AG112" i="1"/>
  <c r="AH112" i="1"/>
  <c r="AI112" i="1"/>
  <c r="I113" i="1"/>
  <c r="J113" i="1"/>
  <c r="M113" i="1"/>
  <c r="N113" i="1"/>
  <c r="O113" i="1"/>
  <c r="S113" i="1"/>
  <c r="T113" i="1"/>
  <c r="X113" i="1"/>
  <c r="Y113" i="1"/>
  <c r="Z113" i="1"/>
  <c r="AD113" i="1"/>
  <c r="AE113" i="1"/>
  <c r="AF113" i="1"/>
  <c r="AG113" i="1"/>
  <c r="AH113" i="1"/>
  <c r="AI113" i="1"/>
  <c r="I114" i="1"/>
  <c r="J114" i="1"/>
  <c r="M114" i="1"/>
  <c r="N114" i="1"/>
  <c r="O114" i="1"/>
  <c r="S114" i="1"/>
  <c r="T114" i="1"/>
  <c r="X114" i="1"/>
  <c r="Y114" i="1"/>
  <c r="Z114" i="1"/>
  <c r="AD114" i="1"/>
  <c r="AE114" i="1"/>
  <c r="AF114" i="1"/>
  <c r="AG114" i="1"/>
  <c r="AH114" i="1"/>
  <c r="AI114" i="1"/>
  <c r="I115" i="1"/>
  <c r="J115" i="1"/>
  <c r="M115" i="1"/>
  <c r="N115" i="1"/>
  <c r="O115" i="1"/>
  <c r="S115" i="1"/>
  <c r="T115" i="1"/>
  <c r="X115" i="1"/>
  <c r="Y115" i="1"/>
  <c r="Z115" i="1"/>
  <c r="AD115" i="1"/>
  <c r="AE115" i="1"/>
  <c r="AF115" i="1"/>
  <c r="AG115" i="1"/>
  <c r="AH115" i="1"/>
  <c r="AI115" i="1"/>
  <c r="I116" i="1"/>
  <c r="J116" i="1"/>
  <c r="M116" i="1"/>
  <c r="N116" i="1"/>
  <c r="O116" i="1"/>
  <c r="S116" i="1"/>
  <c r="T116" i="1"/>
  <c r="X116" i="1"/>
  <c r="Y116" i="1"/>
  <c r="Z116" i="1"/>
  <c r="AD116" i="1"/>
  <c r="AE116" i="1"/>
  <c r="AF116" i="1"/>
  <c r="AG116" i="1"/>
  <c r="AH116" i="1"/>
  <c r="AI116" i="1"/>
  <c r="I117" i="1"/>
  <c r="J117" i="1"/>
  <c r="M117" i="1"/>
  <c r="N117" i="1"/>
  <c r="O117" i="1"/>
  <c r="S117" i="1"/>
  <c r="T117" i="1"/>
  <c r="X117" i="1"/>
  <c r="Y117" i="1"/>
  <c r="Z117" i="1"/>
  <c r="AD117" i="1"/>
  <c r="AE117" i="1"/>
  <c r="AF117" i="1"/>
  <c r="AG117" i="1"/>
  <c r="AH117" i="1"/>
  <c r="AI117" i="1"/>
  <c r="I118" i="1"/>
  <c r="J118" i="1"/>
  <c r="M118" i="1"/>
  <c r="N118" i="1"/>
  <c r="O118" i="1"/>
  <c r="S118" i="1"/>
  <c r="T118" i="1"/>
  <c r="X118" i="1"/>
  <c r="Y118" i="1"/>
  <c r="Z118" i="1"/>
  <c r="AD118" i="1"/>
  <c r="AE118" i="1"/>
  <c r="AF118" i="1"/>
  <c r="AG118" i="1"/>
  <c r="AH118" i="1"/>
  <c r="AI118" i="1"/>
  <c r="I119" i="1"/>
  <c r="J119" i="1"/>
  <c r="M119" i="1"/>
  <c r="N119" i="1"/>
  <c r="O119" i="1"/>
  <c r="S119" i="1"/>
  <c r="T119" i="1"/>
  <c r="X119" i="1"/>
  <c r="Y119" i="1"/>
  <c r="Z119" i="1"/>
  <c r="AD119" i="1"/>
  <c r="AE119" i="1"/>
  <c r="AF119" i="1"/>
  <c r="AG119" i="1"/>
  <c r="AH119" i="1"/>
  <c r="AI119" i="1"/>
  <c r="I120" i="1"/>
  <c r="J120" i="1"/>
  <c r="M120" i="1"/>
  <c r="N120" i="1"/>
  <c r="O120" i="1"/>
  <c r="S120" i="1"/>
  <c r="T120" i="1"/>
  <c r="X120" i="1"/>
  <c r="Y120" i="1"/>
  <c r="Z120" i="1"/>
  <c r="AD120" i="1"/>
  <c r="AE120" i="1"/>
  <c r="AF120" i="1"/>
  <c r="AG120" i="1"/>
  <c r="AH120" i="1"/>
  <c r="AI120" i="1"/>
  <c r="I121" i="1"/>
  <c r="J121" i="1"/>
  <c r="M121" i="1"/>
  <c r="N121" i="1"/>
  <c r="O121" i="1"/>
  <c r="S121" i="1"/>
  <c r="T121" i="1"/>
  <c r="X121" i="1"/>
  <c r="Y121" i="1"/>
  <c r="Z121" i="1"/>
  <c r="AD121" i="1"/>
  <c r="AE121" i="1"/>
  <c r="AF121" i="1"/>
  <c r="AG121" i="1"/>
  <c r="AH121" i="1"/>
  <c r="AI121" i="1"/>
  <c r="I122" i="1"/>
  <c r="J122" i="1"/>
  <c r="M122" i="1"/>
  <c r="N122" i="1"/>
  <c r="O122" i="1"/>
  <c r="S122" i="1"/>
  <c r="T122" i="1"/>
  <c r="X122" i="1"/>
  <c r="Y122" i="1"/>
  <c r="Z122" i="1"/>
  <c r="AD122" i="1"/>
  <c r="AE122" i="1"/>
  <c r="AF122" i="1"/>
  <c r="AG122" i="1"/>
  <c r="AH122" i="1"/>
  <c r="AI122" i="1"/>
  <c r="I123" i="1"/>
  <c r="J123" i="1"/>
  <c r="M123" i="1"/>
  <c r="N123" i="1"/>
  <c r="O123" i="1"/>
  <c r="S123" i="1"/>
  <c r="T123" i="1"/>
  <c r="X123" i="1"/>
  <c r="Y123" i="1"/>
  <c r="Z123" i="1"/>
  <c r="AD123" i="1"/>
  <c r="AE123" i="1"/>
  <c r="AF123" i="1"/>
  <c r="AG123" i="1"/>
  <c r="AH123" i="1"/>
  <c r="AI123" i="1"/>
  <c r="I124" i="1"/>
  <c r="J124" i="1"/>
  <c r="M124" i="1"/>
  <c r="N124" i="1"/>
  <c r="O124" i="1"/>
  <c r="S124" i="1"/>
  <c r="T124" i="1"/>
  <c r="X124" i="1"/>
  <c r="Y124" i="1"/>
  <c r="Z124" i="1"/>
  <c r="AD124" i="1"/>
  <c r="AE124" i="1"/>
  <c r="AF124" i="1"/>
  <c r="AG124" i="1"/>
  <c r="AH124" i="1"/>
  <c r="AI124" i="1"/>
  <c r="I125" i="1"/>
  <c r="J125" i="1"/>
  <c r="M125" i="1"/>
  <c r="N125" i="1"/>
  <c r="O125" i="1"/>
  <c r="S125" i="1"/>
  <c r="T125" i="1"/>
  <c r="X125" i="1"/>
  <c r="Y125" i="1"/>
  <c r="Z125" i="1"/>
  <c r="AD125" i="1"/>
  <c r="AE125" i="1"/>
  <c r="AF125" i="1"/>
  <c r="AG125" i="1"/>
  <c r="AH125" i="1"/>
  <c r="AI125" i="1"/>
  <c r="I126" i="1"/>
  <c r="J126" i="1"/>
  <c r="M126" i="1"/>
  <c r="N126" i="1"/>
  <c r="O126" i="1"/>
  <c r="S126" i="1"/>
  <c r="T126" i="1"/>
  <c r="X126" i="1"/>
  <c r="Y126" i="1"/>
  <c r="Z126" i="1"/>
  <c r="AD126" i="1"/>
  <c r="AE126" i="1"/>
  <c r="AF126" i="1"/>
  <c r="AG126" i="1"/>
  <c r="AH126" i="1"/>
  <c r="AI126" i="1"/>
  <c r="I127" i="1"/>
  <c r="J127" i="1"/>
  <c r="M127" i="1"/>
  <c r="N127" i="1"/>
  <c r="O127" i="1"/>
  <c r="S127" i="1"/>
  <c r="T127" i="1"/>
  <c r="X127" i="1"/>
  <c r="Y127" i="1"/>
  <c r="Z127" i="1"/>
  <c r="AD127" i="1"/>
  <c r="AE127" i="1"/>
  <c r="AF127" i="1"/>
  <c r="AG127" i="1"/>
  <c r="AH127" i="1"/>
  <c r="AI127" i="1"/>
  <c r="I128" i="1"/>
  <c r="J128" i="1"/>
  <c r="M128" i="1"/>
  <c r="N128" i="1"/>
  <c r="O128" i="1"/>
  <c r="S128" i="1"/>
  <c r="T128" i="1"/>
  <c r="X128" i="1"/>
  <c r="Y128" i="1"/>
  <c r="Z128" i="1"/>
  <c r="AD128" i="1"/>
  <c r="AE128" i="1"/>
  <c r="AF128" i="1"/>
  <c r="AG128" i="1"/>
  <c r="AH128" i="1"/>
  <c r="AI128" i="1"/>
  <c r="I129" i="1"/>
  <c r="J129" i="1"/>
  <c r="M129" i="1"/>
  <c r="N129" i="1"/>
  <c r="O129" i="1"/>
  <c r="S129" i="1"/>
  <c r="T129" i="1"/>
  <c r="X129" i="1"/>
  <c r="Y129" i="1"/>
  <c r="Z129" i="1"/>
  <c r="AD129" i="1"/>
  <c r="AE129" i="1"/>
  <c r="AF129" i="1"/>
  <c r="AG129" i="1"/>
  <c r="AH129" i="1"/>
  <c r="AI129" i="1"/>
  <c r="I130" i="1"/>
  <c r="J130" i="1"/>
  <c r="M130" i="1"/>
  <c r="N130" i="1"/>
  <c r="O130" i="1"/>
  <c r="S130" i="1"/>
  <c r="T130" i="1"/>
  <c r="X130" i="1"/>
  <c r="Y130" i="1"/>
  <c r="Z130" i="1"/>
  <c r="AD130" i="1"/>
  <c r="AE130" i="1"/>
  <c r="AF130" i="1"/>
  <c r="AG130" i="1"/>
  <c r="AH130" i="1"/>
  <c r="AI130" i="1"/>
  <c r="I131" i="1"/>
  <c r="J131" i="1"/>
  <c r="M131" i="1"/>
  <c r="N131" i="1"/>
  <c r="O131" i="1"/>
  <c r="S131" i="1"/>
  <c r="T131" i="1"/>
  <c r="X131" i="1"/>
  <c r="Y131" i="1"/>
  <c r="Z131" i="1"/>
  <c r="AD131" i="1"/>
  <c r="AE131" i="1"/>
  <c r="AF131" i="1"/>
  <c r="AG131" i="1"/>
  <c r="AH131" i="1"/>
  <c r="AI131" i="1"/>
  <c r="I132" i="1"/>
  <c r="J132" i="1"/>
  <c r="M132" i="1"/>
  <c r="N132" i="1"/>
  <c r="O132" i="1"/>
  <c r="S132" i="1"/>
  <c r="T132" i="1"/>
  <c r="X132" i="1"/>
  <c r="Y132" i="1"/>
  <c r="Z132" i="1"/>
  <c r="AD132" i="1"/>
  <c r="AE132" i="1"/>
  <c r="AF132" i="1"/>
  <c r="AG132" i="1"/>
  <c r="AH132" i="1"/>
  <c r="AI132" i="1"/>
  <c r="I133" i="1"/>
  <c r="J133" i="1"/>
  <c r="M133" i="1"/>
  <c r="N133" i="1"/>
  <c r="O133" i="1"/>
  <c r="S133" i="1"/>
  <c r="T133" i="1"/>
  <c r="X133" i="1"/>
  <c r="Y133" i="1"/>
  <c r="Z133" i="1"/>
  <c r="AD133" i="1"/>
  <c r="AE133" i="1"/>
  <c r="AF133" i="1"/>
  <c r="AG133" i="1"/>
  <c r="AH133" i="1"/>
  <c r="AI133" i="1"/>
  <c r="I134" i="1"/>
  <c r="J134" i="1"/>
  <c r="M134" i="1"/>
  <c r="N134" i="1"/>
  <c r="O134" i="1"/>
  <c r="S134" i="1"/>
  <c r="T134" i="1"/>
  <c r="X134" i="1"/>
  <c r="Y134" i="1"/>
  <c r="Z134" i="1"/>
  <c r="AD134" i="1"/>
  <c r="AE134" i="1"/>
  <c r="AF134" i="1"/>
  <c r="AG134" i="1"/>
  <c r="AH134" i="1"/>
  <c r="AI134" i="1"/>
  <c r="I135" i="1"/>
  <c r="J135" i="1"/>
  <c r="M135" i="1"/>
  <c r="N135" i="1"/>
  <c r="O135" i="1"/>
  <c r="S135" i="1"/>
  <c r="T135" i="1"/>
  <c r="X135" i="1"/>
  <c r="Y135" i="1"/>
  <c r="Z135" i="1"/>
  <c r="AD135" i="1"/>
  <c r="AE135" i="1"/>
  <c r="AF135" i="1"/>
  <c r="AG135" i="1"/>
  <c r="AH135" i="1"/>
  <c r="AI135" i="1"/>
  <c r="I136" i="1"/>
  <c r="J136" i="1"/>
  <c r="M136" i="1"/>
  <c r="N136" i="1"/>
  <c r="O136" i="1"/>
  <c r="S136" i="1"/>
  <c r="T136" i="1"/>
  <c r="X136" i="1"/>
  <c r="Y136" i="1"/>
  <c r="Z136" i="1"/>
  <c r="AD136" i="1"/>
  <c r="AE136" i="1"/>
  <c r="AF136" i="1"/>
  <c r="AG136" i="1"/>
  <c r="AH136" i="1"/>
  <c r="AI136" i="1"/>
  <c r="I137" i="1"/>
  <c r="J137" i="1"/>
  <c r="M137" i="1"/>
  <c r="N137" i="1"/>
  <c r="O137" i="1"/>
  <c r="S137" i="1"/>
  <c r="T137" i="1"/>
  <c r="X137" i="1"/>
  <c r="Y137" i="1"/>
  <c r="Z137" i="1"/>
  <c r="AD137" i="1"/>
  <c r="AE137" i="1"/>
  <c r="AF137" i="1"/>
  <c r="AG137" i="1"/>
  <c r="AH137" i="1"/>
  <c r="AI137" i="1"/>
  <c r="I138" i="1"/>
  <c r="J138" i="1"/>
  <c r="M138" i="1"/>
  <c r="N138" i="1"/>
  <c r="O138" i="1"/>
  <c r="S138" i="1"/>
  <c r="T138" i="1"/>
  <c r="X138" i="1"/>
  <c r="Y138" i="1"/>
  <c r="Z138" i="1"/>
  <c r="AD138" i="1"/>
  <c r="AE138" i="1"/>
  <c r="AF138" i="1"/>
  <c r="AG138" i="1"/>
  <c r="AH138" i="1"/>
  <c r="AI138" i="1"/>
  <c r="I139" i="1"/>
  <c r="J139" i="1"/>
  <c r="M139" i="1"/>
  <c r="N139" i="1"/>
  <c r="O139" i="1"/>
  <c r="S139" i="1"/>
  <c r="T139" i="1"/>
  <c r="X139" i="1"/>
  <c r="Y139" i="1"/>
  <c r="Z139" i="1"/>
  <c r="AD139" i="1"/>
  <c r="AE139" i="1"/>
  <c r="AF139" i="1"/>
  <c r="AG139" i="1"/>
  <c r="AH139" i="1"/>
  <c r="AI139" i="1"/>
  <c r="I140" i="1"/>
  <c r="J140" i="1"/>
  <c r="M140" i="1"/>
  <c r="N140" i="1"/>
  <c r="O140" i="1"/>
  <c r="S140" i="1"/>
  <c r="T140" i="1"/>
  <c r="X140" i="1"/>
  <c r="Y140" i="1"/>
  <c r="Z140" i="1"/>
  <c r="AD140" i="1"/>
  <c r="AE140" i="1"/>
  <c r="AF140" i="1"/>
  <c r="AG140" i="1"/>
  <c r="AH140" i="1"/>
  <c r="AI140" i="1"/>
  <c r="I141" i="1"/>
  <c r="J141" i="1"/>
  <c r="M141" i="1"/>
  <c r="N141" i="1"/>
  <c r="O141" i="1"/>
  <c r="S141" i="1"/>
  <c r="T141" i="1"/>
  <c r="X141" i="1"/>
  <c r="Y141" i="1"/>
  <c r="Z141" i="1"/>
  <c r="AD141" i="1"/>
  <c r="AE141" i="1"/>
  <c r="AF141" i="1"/>
  <c r="AG141" i="1"/>
  <c r="AH141" i="1"/>
  <c r="AI141" i="1"/>
  <c r="I142" i="1"/>
  <c r="J142" i="1"/>
  <c r="M142" i="1"/>
  <c r="N142" i="1"/>
  <c r="O142" i="1"/>
  <c r="S142" i="1"/>
  <c r="T142" i="1"/>
  <c r="X142" i="1"/>
  <c r="Y142" i="1"/>
  <c r="Z142" i="1"/>
  <c r="AD142" i="1"/>
  <c r="AE142" i="1"/>
  <c r="AF142" i="1"/>
  <c r="AG142" i="1"/>
  <c r="AH142" i="1"/>
  <c r="AI142" i="1"/>
  <c r="I143" i="1"/>
  <c r="J143" i="1"/>
  <c r="M143" i="1"/>
  <c r="N143" i="1"/>
  <c r="O143" i="1"/>
  <c r="S143" i="1"/>
  <c r="T143" i="1"/>
  <c r="X143" i="1"/>
  <c r="Y143" i="1"/>
  <c r="Z143" i="1"/>
  <c r="AD143" i="1"/>
  <c r="AE143" i="1"/>
  <c r="AF143" i="1"/>
  <c r="AG143" i="1"/>
  <c r="AH143" i="1"/>
  <c r="AI143" i="1"/>
  <c r="I144" i="1"/>
  <c r="J144" i="1"/>
  <c r="M144" i="1"/>
  <c r="N144" i="1"/>
  <c r="O144" i="1"/>
  <c r="S144" i="1"/>
  <c r="T144" i="1"/>
  <c r="X144" i="1"/>
  <c r="Y144" i="1"/>
  <c r="Z144" i="1"/>
  <c r="AD144" i="1"/>
  <c r="AE144" i="1"/>
  <c r="AF144" i="1"/>
  <c r="AG144" i="1"/>
  <c r="AH144" i="1"/>
  <c r="AI144" i="1"/>
  <c r="I145" i="1"/>
  <c r="J145" i="1"/>
  <c r="M145" i="1"/>
  <c r="N145" i="1"/>
  <c r="O145" i="1"/>
  <c r="S145" i="1"/>
  <c r="T145" i="1"/>
  <c r="X145" i="1"/>
  <c r="Y145" i="1"/>
  <c r="Z145" i="1"/>
  <c r="AD145" i="1"/>
  <c r="AE145" i="1"/>
  <c r="AF145" i="1"/>
  <c r="AG145" i="1"/>
  <c r="AH145" i="1"/>
  <c r="AI145" i="1"/>
  <c r="I146" i="1"/>
  <c r="J146" i="1"/>
  <c r="M146" i="1"/>
  <c r="N146" i="1"/>
  <c r="O146" i="1"/>
  <c r="S146" i="1"/>
  <c r="T146" i="1"/>
  <c r="X146" i="1"/>
  <c r="Y146" i="1"/>
  <c r="Z146" i="1"/>
  <c r="AD146" i="1"/>
  <c r="AE146" i="1"/>
  <c r="AF146" i="1"/>
  <c r="AG146" i="1"/>
  <c r="AH146" i="1"/>
  <c r="AI146" i="1"/>
  <c r="I147" i="1"/>
  <c r="J147" i="1"/>
  <c r="M147" i="1"/>
  <c r="N147" i="1"/>
  <c r="O147" i="1"/>
  <c r="S147" i="1"/>
  <c r="T147" i="1"/>
  <c r="X147" i="1"/>
  <c r="Y147" i="1"/>
  <c r="Z147" i="1"/>
  <c r="AD147" i="1"/>
  <c r="AE147" i="1"/>
  <c r="AF147" i="1"/>
  <c r="AG147" i="1"/>
  <c r="AH147" i="1"/>
  <c r="AI147" i="1"/>
  <c r="I148" i="1"/>
  <c r="J148" i="1"/>
  <c r="M148" i="1"/>
  <c r="N148" i="1"/>
  <c r="O148" i="1"/>
  <c r="S148" i="1"/>
  <c r="T148" i="1"/>
  <c r="X148" i="1"/>
  <c r="Y148" i="1"/>
  <c r="Z148" i="1"/>
  <c r="AD148" i="1"/>
  <c r="AE148" i="1"/>
  <c r="AF148" i="1"/>
  <c r="AG148" i="1"/>
  <c r="AH148" i="1"/>
  <c r="AI148" i="1"/>
  <c r="I149" i="1"/>
  <c r="J149" i="1"/>
  <c r="M149" i="1"/>
  <c r="N149" i="1"/>
  <c r="O149" i="1"/>
  <c r="S149" i="1"/>
  <c r="T149" i="1"/>
  <c r="X149" i="1"/>
  <c r="Y149" i="1"/>
  <c r="Z149" i="1"/>
  <c r="AD149" i="1"/>
  <c r="AE149" i="1"/>
  <c r="AF149" i="1"/>
  <c r="AG149" i="1"/>
  <c r="AH149" i="1"/>
  <c r="AI149" i="1"/>
  <c r="I150" i="1"/>
  <c r="J150" i="1"/>
  <c r="M150" i="1"/>
  <c r="N150" i="1"/>
  <c r="O150" i="1"/>
  <c r="S150" i="1"/>
  <c r="T150" i="1"/>
  <c r="X150" i="1"/>
  <c r="Y150" i="1"/>
  <c r="Z150" i="1"/>
  <c r="AD150" i="1"/>
  <c r="AE150" i="1"/>
  <c r="AF150" i="1"/>
  <c r="AG150" i="1"/>
  <c r="AH150" i="1"/>
  <c r="AI150" i="1"/>
  <c r="I151" i="1"/>
  <c r="J151" i="1"/>
  <c r="M151" i="1"/>
  <c r="N151" i="1"/>
  <c r="O151" i="1"/>
  <c r="S151" i="1"/>
  <c r="T151" i="1"/>
  <c r="X151" i="1"/>
  <c r="Y151" i="1"/>
  <c r="Z151" i="1"/>
  <c r="AD151" i="1"/>
  <c r="AE151" i="1"/>
  <c r="AF151" i="1"/>
  <c r="AG151" i="1"/>
  <c r="AH151" i="1"/>
  <c r="AI151" i="1"/>
  <c r="I152" i="1"/>
  <c r="J152" i="1"/>
  <c r="M152" i="1"/>
  <c r="N152" i="1"/>
  <c r="O152" i="1"/>
  <c r="S152" i="1"/>
  <c r="T152" i="1"/>
  <c r="X152" i="1"/>
  <c r="Y152" i="1"/>
  <c r="Z152" i="1"/>
  <c r="AD152" i="1"/>
  <c r="AE152" i="1"/>
  <c r="AF152" i="1"/>
  <c r="AG152" i="1"/>
  <c r="AH152" i="1"/>
  <c r="AI152" i="1"/>
  <c r="I153" i="1"/>
  <c r="J153" i="1"/>
  <c r="M153" i="1"/>
  <c r="N153" i="1"/>
  <c r="O153" i="1"/>
  <c r="S153" i="1"/>
  <c r="T153" i="1"/>
  <c r="X153" i="1"/>
  <c r="Y153" i="1"/>
  <c r="Z153" i="1"/>
  <c r="AD153" i="1"/>
  <c r="AE153" i="1"/>
  <c r="AF153" i="1"/>
  <c r="AG153" i="1"/>
  <c r="AH153" i="1"/>
  <c r="AI153" i="1"/>
  <c r="I154" i="1"/>
  <c r="J154" i="1"/>
  <c r="M154" i="1"/>
  <c r="N154" i="1"/>
  <c r="O154" i="1"/>
  <c r="S154" i="1"/>
  <c r="T154" i="1"/>
  <c r="X154" i="1"/>
  <c r="Y154" i="1"/>
  <c r="Z154" i="1"/>
  <c r="AD154" i="1"/>
  <c r="AE154" i="1"/>
  <c r="AF154" i="1"/>
  <c r="AG154" i="1"/>
  <c r="AH154" i="1"/>
  <c r="AI154" i="1"/>
  <c r="I155" i="1"/>
  <c r="J155" i="1"/>
  <c r="M155" i="1"/>
  <c r="N155" i="1"/>
  <c r="O155" i="1"/>
  <c r="S155" i="1"/>
  <c r="T155" i="1"/>
  <c r="X155" i="1"/>
  <c r="Y155" i="1"/>
  <c r="Z155" i="1"/>
  <c r="AD155" i="1"/>
  <c r="AE155" i="1"/>
  <c r="AF155" i="1"/>
  <c r="AG155" i="1"/>
  <c r="AH155" i="1"/>
  <c r="AI155" i="1"/>
  <c r="I156" i="1"/>
  <c r="J156" i="1"/>
  <c r="M156" i="1"/>
  <c r="N156" i="1"/>
  <c r="O156" i="1"/>
  <c r="S156" i="1"/>
  <c r="T156" i="1"/>
  <c r="X156" i="1"/>
  <c r="Y156" i="1"/>
  <c r="Z156" i="1"/>
  <c r="AD156" i="1"/>
  <c r="AE156" i="1"/>
  <c r="AF156" i="1"/>
  <c r="AG156" i="1"/>
  <c r="AH156" i="1"/>
  <c r="AI156" i="1"/>
  <c r="I157" i="1"/>
  <c r="J157" i="1"/>
  <c r="M157" i="1"/>
  <c r="N157" i="1"/>
  <c r="O157" i="1"/>
  <c r="S157" i="1"/>
  <c r="T157" i="1"/>
  <c r="X157" i="1"/>
  <c r="Y157" i="1"/>
  <c r="Z157" i="1"/>
  <c r="AD157" i="1"/>
  <c r="AE157" i="1"/>
  <c r="AF157" i="1"/>
  <c r="AG157" i="1"/>
  <c r="AH157" i="1"/>
  <c r="AI157" i="1"/>
  <c r="I158" i="1"/>
  <c r="J158" i="1"/>
  <c r="M158" i="1"/>
  <c r="N158" i="1"/>
  <c r="O158" i="1"/>
  <c r="S158" i="1"/>
  <c r="T158" i="1"/>
  <c r="X158" i="1"/>
  <c r="Y158" i="1"/>
  <c r="Z158" i="1"/>
  <c r="AD158" i="1"/>
  <c r="AE158" i="1"/>
  <c r="AF158" i="1"/>
  <c r="AG158" i="1"/>
  <c r="AH158" i="1"/>
  <c r="AI158" i="1"/>
  <c r="I159" i="1"/>
  <c r="J159" i="1"/>
  <c r="M159" i="1"/>
  <c r="N159" i="1"/>
  <c r="O159" i="1"/>
  <c r="S159" i="1"/>
  <c r="T159" i="1"/>
  <c r="X159" i="1"/>
  <c r="Y159" i="1"/>
  <c r="Z159" i="1"/>
  <c r="AD159" i="1"/>
  <c r="AE159" i="1"/>
  <c r="AF159" i="1"/>
  <c r="AG159" i="1"/>
  <c r="AH159" i="1"/>
  <c r="AI159" i="1"/>
  <c r="I160" i="1"/>
  <c r="J160" i="1"/>
  <c r="M160" i="1"/>
  <c r="N160" i="1"/>
  <c r="O160" i="1"/>
  <c r="S160" i="1"/>
  <c r="T160" i="1"/>
  <c r="X160" i="1"/>
  <c r="Y160" i="1"/>
  <c r="Z160" i="1"/>
  <c r="AD160" i="1"/>
  <c r="AE160" i="1"/>
  <c r="AF160" i="1"/>
  <c r="AG160" i="1"/>
  <c r="AH160" i="1"/>
  <c r="AI160" i="1"/>
  <c r="I161" i="1"/>
  <c r="J161" i="1"/>
  <c r="M161" i="1"/>
  <c r="N161" i="1"/>
  <c r="O161" i="1"/>
  <c r="S161" i="1"/>
  <c r="T161" i="1"/>
  <c r="X161" i="1"/>
  <c r="Y161" i="1"/>
  <c r="Z161" i="1"/>
  <c r="AD161" i="1"/>
  <c r="AE161" i="1"/>
  <c r="AF161" i="1"/>
  <c r="AG161" i="1"/>
  <c r="AH161" i="1"/>
  <c r="AI161" i="1"/>
  <c r="I162" i="1"/>
  <c r="J162" i="1"/>
  <c r="M162" i="1"/>
  <c r="N162" i="1"/>
  <c r="O162" i="1"/>
  <c r="S162" i="1"/>
  <c r="T162" i="1"/>
  <c r="X162" i="1"/>
  <c r="Y162" i="1"/>
  <c r="Z162" i="1"/>
  <c r="AD162" i="1"/>
  <c r="AE162" i="1"/>
  <c r="AF162" i="1"/>
  <c r="AG162" i="1"/>
  <c r="AH162" i="1"/>
  <c r="AI162" i="1"/>
  <c r="I163" i="1"/>
  <c r="J163" i="1"/>
  <c r="M163" i="1"/>
  <c r="N163" i="1"/>
  <c r="O163" i="1"/>
  <c r="S163" i="1"/>
  <c r="T163" i="1"/>
  <c r="X163" i="1"/>
  <c r="Y163" i="1"/>
  <c r="Z163" i="1"/>
  <c r="AD163" i="1"/>
  <c r="AE163" i="1"/>
  <c r="AF163" i="1"/>
  <c r="AG163" i="1"/>
  <c r="AH163" i="1"/>
  <c r="AI163" i="1"/>
  <c r="I164" i="1"/>
  <c r="J164" i="1"/>
  <c r="M164" i="1"/>
  <c r="N164" i="1"/>
  <c r="O164" i="1"/>
  <c r="S164" i="1"/>
  <c r="T164" i="1"/>
  <c r="X164" i="1"/>
  <c r="Y164" i="1"/>
  <c r="Z164" i="1"/>
  <c r="AD164" i="1"/>
  <c r="AE164" i="1"/>
  <c r="AF164" i="1"/>
  <c r="AG164" i="1"/>
  <c r="AH164" i="1"/>
  <c r="AI164" i="1"/>
  <c r="I165" i="1"/>
  <c r="J165" i="1"/>
  <c r="M165" i="1"/>
  <c r="N165" i="1"/>
  <c r="O165" i="1"/>
  <c r="S165" i="1"/>
  <c r="T165" i="1"/>
  <c r="X165" i="1"/>
  <c r="Y165" i="1"/>
  <c r="Z165" i="1"/>
  <c r="AD165" i="1"/>
  <c r="AE165" i="1"/>
  <c r="AF165" i="1"/>
  <c r="AG165" i="1"/>
  <c r="AH165" i="1"/>
  <c r="AI165" i="1"/>
  <c r="I166" i="1"/>
  <c r="J166" i="1"/>
  <c r="M166" i="1"/>
  <c r="N166" i="1"/>
  <c r="O166" i="1"/>
  <c r="S166" i="1"/>
  <c r="T166" i="1"/>
  <c r="X166" i="1"/>
  <c r="Y166" i="1"/>
  <c r="Z166" i="1"/>
  <c r="AD166" i="1"/>
  <c r="AE166" i="1"/>
  <c r="AF166" i="1"/>
  <c r="AG166" i="1"/>
  <c r="AH166" i="1"/>
  <c r="AI166" i="1"/>
  <c r="I167" i="1"/>
  <c r="J167" i="1"/>
  <c r="M167" i="1"/>
  <c r="N167" i="1"/>
  <c r="O167" i="1"/>
  <c r="S167" i="1"/>
  <c r="T167" i="1"/>
  <c r="X167" i="1"/>
  <c r="Y167" i="1"/>
  <c r="Z167" i="1"/>
  <c r="AD167" i="1"/>
  <c r="AE167" i="1"/>
  <c r="AF167" i="1"/>
  <c r="AG167" i="1"/>
  <c r="AH167" i="1"/>
  <c r="AI167" i="1"/>
  <c r="I168" i="1"/>
  <c r="J168" i="1"/>
  <c r="M168" i="1"/>
  <c r="N168" i="1"/>
  <c r="O168" i="1"/>
  <c r="S168" i="1"/>
  <c r="T168" i="1"/>
  <c r="X168" i="1"/>
  <c r="Y168" i="1"/>
  <c r="Z168" i="1"/>
  <c r="AD168" i="1"/>
  <c r="AE168" i="1"/>
  <c r="AF168" i="1"/>
  <c r="AG168" i="1"/>
  <c r="AH168" i="1"/>
  <c r="AI168" i="1"/>
  <c r="I169" i="1"/>
  <c r="J169" i="1"/>
  <c r="M169" i="1"/>
  <c r="N169" i="1"/>
  <c r="O169" i="1"/>
  <c r="S169" i="1"/>
  <c r="T169" i="1"/>
  <c r="X169" i="1"/>
  <c r="Y169" i="1"/>
  <c r="Z169" i="1"/>
  <c r="AD169" i="1"/>
  <c r="AE169" i="1"/>
  <c r="AF169" i="1"/>
  <c r="AG169" i="1"/>
  <c r="AH169" i="1"/>
  <c r="AI169" i="1"/>
  <c r="I170" i="1"/>
  <c r="J170" i="1"/>
  <c r="M170" i="1"/>
  <c r="N170" i="1"/>
  <c r="O170" i="1"/>
  <c r="S170" i="1"/>
  <c r="T170" i="1"/>
  <c r="X170" i="1"/>
  <c r="Y170" i="1"/>
  <c r="Z170" i="1"/>
  <c r="AD170" i="1"/>
  <c r="AE170" i="1"/>
  <c r="AF170" i="1"/>
  <c r="AG170" i="1"/>
  <c r="AH170" i="1"/>
  <c r="AI170" i="1"/>
  <c r="I171" i="1"/>
  <c r="J171" i="1"/>
  <c r="M171" i="1"/>
  <c r="N171" i="1"/>
  <c r="O171" i="1"/>
  <c r="S171" i="1"/>
  <c r="T171" i="1"/>
  <c r="X171" i="1"/>
  <c r="Y171" i="1"/>
  <c r="Z171" i="1"/>
  <c r="AD171" i="1"/>
  <c r="AE171" i="1"/>
  <c r="AF171" i="1"/>
  <c r="AG171" i="1"/>
  <c r="AH171" i="1"/>
  <c r="AI171" i="1"/>
  <c r="I172" i="1"/>
  <c r="J172" i="1"/>
  <c r="M172" i="1"/>
  <c r="N172" i="1"/>
  <c r="O172" i="1"/>
  <c r="S172" i="1"/>
  <c r="T172" i="1"/>
  <c r="X172" i="1"/>
  <c r="Y172" i="1"/>
  <c r="Z172" i="1"/>
  <c r="AD172" i="1"/>
  <c r="AE172" i="1"/>
  <c r="AF172" i="1"/>
  <c r="AG172" i="1"/>
  <c r="AH172" i="1"/>
  <c r="AI172" i="1"/>
  <c r="I173" i="1"/>
  <c r="J173" i="1"/>
  <c r="M173" i="1"/>
  <c r="N173" i="1"/>
  <c r="O173" i="1"/>
  <c r="S173" i="1"/>
  <c r="T173" i="1"/>
  <c r="X173" i="1"/>
  <c r="Y173" i="1"/>
  <c r="Z173" i="1"/>
  <c r="AD173" i="1"/>
  <c r="AE173" i="1"/>
  <c r="AF173" i="1"/>
  <c r="AG173" i="1"/>
  <c r="AH173" i="1"/>
  <c r="AI173" i="1"/>
  <c r="I174" i="1"/>
  <c r="J174" i="1"/>
  <c r="M174" i="1"/>
  <c r="N174" i="1"/>
  <c r="O174" i="1"/>
  <c r="S174" i="1"/>
  <c r="T174" i="1"/>
  <c r="X174" i="1"/>
  <c r="Y174" i="1"/>
  <c r="Z174" i="1"/>
  <c r="AD174" i="1"/>
  <c r="AE174" i="1"/>
  <c r="AF174" i="1"/>
  <c r="AG174" i="1"/>
  <c r="AH174" i="1"/>
  <c r="AI174" i="1"/>
  <c r="I175" i="1"/>
  <c r="J175" i="1"/>
  <c r="M175" i="1"/>
  <c r="N175" i="1"/>
  <c r="O175" i="1"/>
  <c r="S175" i="1"/>
  <c r="T175" i="1"/>
  <c r="X175" i="1"/>
  <c r="Y175" i="1"/>
  <c r="Z175" i="1"/>
  <c r="AD175" i="1"/>
  <c r="AE175" i="1"/>
  <c r="AF175" i="1"/>
  <c r="AG175" i="1"/>
  <c r="AH175" i="1"/>
  <c r="AI175" i="1"/>
  <c r="I176" i="1"/>
  <c r="J176" i="1"/>
  <c r="M176" i="1"/>
  <c r="N176" i="1"/>
  <c r="O176" i="1"/>
  <c r="S176" i="1"/>
  <c r="T176" i="1"/>
  <c r="X176" i="1"/>
  <c r="Y176" i="1"/>
  <c r="Z176" i="1"/>
  <c r="AD176" i="1"/>
  <c r="AE176" i="1"/>
  <c r="AF176" i="1"/>
  <c r="AG176" i="1"/>
  <c r="AH176" i="1"/>
  <c r="AI176" i="1"/>
  <c r="I177" i="1"/>
  <c r="J177" i="1"/>
  <c r="M177" i="1"/>
  <c r="N177" i="1"/>
  <c r="O177" i="1"/>
  <c r="S177" i="1"/>
  <c r="T177" i="1"/>
  <c r="X177" i="1"/>
  <c r="Y177" i="1"/>
  <c r="Z177" i="1"/>
  <c r="AD177" i="1"/>
  <c r="AE177" i="1"/>
  <c r="AF177" i="1"/>
  <c r="AG177" i="1"/>
  <c r="AH177" i="1"/>
  <c r="AI177" i="1"/>
  <c r="I178" i="1"/>
  <c r="J178" i="1"/>
  <c r="M178" i="1"/>
  <c r="N178" i="1"/>
  <c r="O178" i="1"/>
  <c r="S178" i="1"/>
  <c r="T178" i="1"/>
  <c r="X178" i="1"/>
  <c r="Y178" i="1"/>
  <c r="Z178" i="1"/>
  <c r="AD178" i="1"/>
  <c r="AE178" i="1"/>
  <c r="AF178" i="1"/>
  <c r="AG178" i="1"/>
  <c r="AH178" i="1"/>
  <c r="AI178" i="1"/>
  <c r="I179" i="1"/>
  <c r="J179" i="1"/>
  <c r="M179" i="1"/>
  <c r="N179" i="1"/>
  <c r="O179" i="1"/>
  <c r="S179" i="1"/>
  <c r="T179" i="1"/>
  <c r="X179" i="1"/>
  <c r="Y179" i="1"/>
  <c r="Z179" i="1"/>
  <c r="AD179" i="1"/>
  <c r="AE179" i="1"/>
  <c r="AF179" i="1"/>
  <c r="AG179" i="1"/>
  <c r="AH179" i="1"/>
  <c r="AI179" i="1"/>
  <c r="I180" i="1"/>
  <c r="J180" i="1"/>
  <c r="M180" i="1"/>
  <c r="N180" i="1"/>
  <c r="O180" i="1"/>
  <c r="S180" i="1"/>
  <c r="T180" i="1"/>
  <c r="X180" i="1"/>
  <c r="Y180" i="1"/>
  <c r="Z180" i="1"/>
  <c r="AD180" i="1"/>
  <c r="AE180" i="1"/>
  <c r="AF180" i="1"/>
  <c r="AG180" i="1"/>
  <c r="AH180" i="1"/>
  <c r="AI180" i="1"/>
  <c r="I181" i="1"/>
  <c r="J181" i="1"/>
  <c r="M181" i="1"/>
  <c r="N181" i="1"/>
  <c r="O181" i="1"/>
  <c r="S181" i="1"/>
  <c r="T181" i="1"/>
  <c r="X181" i="1"/>
  <c r="Y181" i="1"/>
  <c r="Z181" i="1"/>
  <c r="AD181" i="1"/>
  <c r="AE181" i="1"/>
  <c r="AF181" i="1"/>
  <c r="AG181" i="1"/>
  <c r="AH181" i="1"/>
  <c r="AI181" i="1"/>
  <c r="I182" i="1"/>
  <c r="J182" i="1"/>
  <c r="M182" i="1"/>
  <c r="N182" i="1"/>
  <c r="O182" i="1"/>
  <c r="S182" i="1"/>
  <c r="T182" i="1"/>
  <c r="X182" i="1"/>
  <c r="Y182" i="1"/>
  <c r="Z182" i="1"/>
  <c r="AD182" i="1"/>
  <c r="AE182" i="1"/>
  <c r="AF182" i="1"/>
  <c r="AG182" i="1"/>
  <c r="AH182" i="1"/>
  <c r="AI182" i="1"/>
  <c r="I183" i="1"/>
  <c r="J183" i="1"/>
  <c r="M183" i="1"/>
  <c r="N183" i="1"/>
  <c r="O183" i="1"/>
  <c r="S183" i="1"/>
  <c r="T183" i="1"/>
  <c r="X183" i="1"/>
  <c r="Y183" i="1"/>
  <c r="Z183" i="1"/>
  <c r="AD183" i="1"/>
  <c r="AE183" i="1"/>
  <c r="AF183" i="1"/>
  <c r="AG183" i="1"/>
  <c r="AH183" i="1"/>
  <c r="AI183" i="1"/>
  <c r="I184" i="1"/>
  <c r="J184" i="1"/>
  <c r="M184" i="1"/>
  <c r="N184" i="1"/>
  <c r="O184" i="1"/>
  <c r="S184" i="1"/>
  <c r="T184" i="1"/>
  <c r="X184" i="1"/>
  <c r="Y184" i="1"/>
  <c r="Z184" i="1"/>
  <c r="AD184" i="1"/>
  <c r="AE184" i="1"/>
  <c r="AF184" i="1"/>
  <c r="AG184" i="1"/>
  <c r="AH184" i="1"/>
  <c r="AI184" i="1"/>
  <c r="I185" i="1"/>
  <c r="J185" i="1"/>
  <c r="M185" i="1"/>
  <c r="N185" i="1"/>
  <c r="O185" i="1"/>
  <c r="S185" i="1"/>
  <c r="T185" i="1"/>
  <c r="X185" i="1"/>
  <c r="Y185" i="1"/>
  <c r="Z185" i="1"/>
  <c r="AD185" i="1"/>
  <c r="AE185" i="1"/>
  <c r="AF185" i="1"/>
  <c r="AG185" i="1"/>
  <c r="AH185" i="1"/>
  <c r="AI185" i="1"/>
  <c r="I186" i="1"/>
  <c r="J186" i="1"/>
  <c r="M186" i="1"/>
  <c r="N186" i="1"/>
  <c r="O186" i="1"/>
  <c r="S186" i="1"/>
  <c r="T186" i="1"/>
  <c r="X186" i="1"/>
  <c r="Y186" i="1"/>
  <c r="Z186" i="1"/>
  <c r="AD186" i="1"/>
  <c r="AE186" i="1"/>
  <c r="AF186" i="1"/>
  <c r="AG186" i="1"/>
  <c r="AH186" i="1"/>
  <c r="AI186" i="1"/>
  <c r="I187" i="1"/>
  <c r="J187" i="1"/>
  <c r="M187" i="1"/>
  <c r="N187" i="1"/>
  <c r="O187" i="1"/>
  <c r="S187" i="1"/>
  <c r="T187" i="1"/>
  <c r="X187" i="1"/>
  <c r="Y187" i="1"/>
  <c r="Z187" i="1"/>
  <c r="AD187" i="1"/>
  <c r="AE187" i="1"/>
  <c r="AF187" i="1"/>
  <c r="AG187" i="1"/>
  <c r="AH187" i="1"/>
  <c r="AI187" i="1"/>
  <c r="I188" i="1"/>
  <c r="J188" i="1"/>
  <c r="M188" i="1"/>
  <c r="N188" i="1"/>
  <c r="O188" i="1"/>
  <c r="S188" i="1"/>
  <c r="T188" i="1"/>
  <c r="X188" i="1"/>
  <c r="Y188" i="1"/>
  <c r="Z188" i="1"/>
  <c r="AD188" i="1"/>
  <c r="AE188" i="1"/>
  <c r="AF188" i="1"/>
  <c r="AG188" i="1"/>
  <c r="AH188" i="1"/>
  <c r="AI188" i="1"/>
  <c r="I189" i="1"/>
  <c r="J189" i="1"/>
  <c r="M189" i="1"/>
  <c r="N189" i="1"/>
  <c r="O189" i="1"/>
  <c r="S189" i="1"/>
  <c r="T189" i="1"/>
  <c r="X189" i="1"/>
  <c r="Y189" i="1"/>
  <c r="Z189" i="1"/>
  <c r="AD189" i="1"/>
  <c r="AE189" i="1"/>
  <c r="AF189" i="1"/>
  <c r="AG189" i="1"/>
  <c r="AH189" i="1"/>
  <c r="AI189" i="1"/>
  <c r="I190" i="1"/>
  <c r="J190" i="1"/>
  <c r="M190" i="1"/>
  <c r="N190" i="1"/>
  <c r="O190" i="1"/>
  <c r="S190" i="1"/>
  <c r="T190" i="1"/>
  <c r="X190" i="1"/>
  <c r="Y190" i="1"/>
  <c r="Z190" i="1"/>
  <c r="AD190" i="1"/>
  <c r="AE190" i="1"/>
  <c r="AF190" i="1"/>
  <c r="AG190" i="1"/>
  <c r="AH190" i="1"/>
  <c r="AI190" i="1"/>
  <c r="I191" i="1"/>
  <c r="J191" i="1"/>
  <c r="M191" i="1"/>
  <c r="N191" i="1"/>
  <c r="O191" i="1"/>
  <c r="S191" i="1"/>
  <c r="T191" i="1"/>
  <c r="X191" i="1"/>
  <c r="Y191" i="1"/>
  <c r="Z191" i="1"/>
  <c r="AD191" i="1"/>
  <c r="AE191" i="1"/>
  <c r="AF191" i="1"/>
  <c r="AG191" i="1"/>
  <c r="AH191" i="1"/>
  <c r="AI191" i="1"/>
  <c r="I192" i="1"/>
  <c r="J192" i="1"/>
  <c r="M192" i="1"/>
  <c r="N192" i="1"/>
  <c r="O192" i="1"/>
  <c r="S192" i="1"/>
  <c r="T192" i="1"/>
  <c r="X192" i="1"/>
  <c r="Y192" i="1"/>
  <c r="Z192" i="1"/>
  <c r="AD192" i="1"/>
  <c r="AE192" i="1"/>
  <c r="AF192" i="1"/>
  <c r="AG192" i="1"/>
  <c r="AH192" i="1"/>
  <c r="AI192" i="1"/>
  <c r="I193" i="1"/>
  <c r="J193" i="1"/>
  <c r="M193" i="1"/>
  <c r="N193" i="1"/>
  <c r="O193" i="1"/>
  <c r="S193" i="1"/>
  <c r="T193" i="1"/>
  <c r="X193" i="1"/>
  <c r="Y193" i="1"/>
  <c r="Z193" i="1"/>
  <c r="AD193" i="1"/>
  <c r="AE193" i="1"/>
  <c r="AF193" i="1"/>
  <c r="AG193" i="1"/>
  <c r="AH193" i="1"/>
  <c r="AI193" i="1"/>
  <c r="I194" i="1"/>
  <c r="J194" i="1"/>
  <c r="M194" i="1"/>
  <c r="N194" i="1"/>
  <c r="O194" i="1"/>
  <c r="S194" i="1"/>
  <c r="T194" i="1"/>
  <c r="X194" i="1"/>
  <c r="Y194" i="1"/>
  <c r="Z194" i="1"/>
  <c r="AD194" i="1"/>
  <c r="AE194" i="1"/>
  <c r="AF194" i="1"/>
  <c r="AG194" i="1"/>
  <c r="AH194" i="1"/>
  <c r="AI194" i="1"/>
  <c r="I195" i="1"/>
  <c r="J195" i="1"/>
  <c r="M195" i="1"/>
  <c r="N195" i="1"/>
  <c r="O195" i="1"/>
  <c r="S195" i="1"/>
  <c r="T195" i="1"/>
  <c r="X195" i="1"/>
  <c r="Y195" i="1"/>
  <c r="Z195" i="1"/>
  <c r="AD195" i="1"/>
  <c r="AE195" i="1"/>
  <c r="AF195" i="1"/>
  <c r="AG195" i="1"/>
  <c r="AH195" i="1"/>
  <c r="AI195" i="1"/>
  <c r="I196" i="1"/>
  <c r="J196" i="1"/>
  <c r="M196" i="1"/>
  <c r="N196" i="1"/>
  <c r="O196" i="1"/>
  <c r="S196" i="1"/>
  <c r="T196" i="1"/>
  <c r="X196" i="1"/>
  <c r="Y196" i="1"/>
  <c r="Z196" i="1"/>
  <c r="AD196" i="1"/>
  <c r="AE196" i="1"/>
  <c r="AF196" i="1"/>
  <c r="AG196" i="1"/>
  <c r="AH196" i="1"/>
  <c r="AI196" i="1"/>
  <c r="I197" i="1"/>
  <c r="J197" i="1"/>
  <c r="M197" i="1"/>
  <c r="N197" i="1"/>
  <c r="O197" i="1"/>
  <c r="S197" i="1"/>
  <c r="T197" i="1"/>
  <c r="X197" i="1"/>
  <c r="Y197" i="1"/>
  <c r="Z197" i="1"/>
  <c r="AD197" i="1"/>
  <c r="AE197" i="1"/>
  <c r="AF197" i="1"/>
  <c r="AG197" i="1"/>
  <c r="AH197" i="1"/>
  <c r="AI197" i="1"/>
  <c r="I198" i="1"/>
  <c r="J198" i="1"/>
  <c r="M198" i="1"/>
  <c r="N198" i="1"/>
  <c r="O198" i="1"/>
  <c r="S198" i="1"/>
  <c r="T198" i="1"/>
  <c r="X198" i="1"/>
  <c r="Y198" i="1"/>
  <c r="Z198" i="1"/>
  <c r="AD198" i="1"/>
  <c r="AE198" i="1"/>
  <c r="AF198" i="1"/>
  <c r="AG198" i="1"/>
  <c r="AH198" i="1"/>
  <c r="AI198" i="1"/>
  <c r="I199" i="1"/>
  <c r="J199" i="1"/>
  <c r="M199" i="1"/>
  <c r="N199" i="1"/>
  <c r="O199" i="1"/>
  <c r="S199" i="1"/>
  <c r="T199" i="1"/>
  <c r="X199" i="1"/>
  <c r="Y199" i="1"/>
  <c r="Z199" i="1"/>
  <c r="AD199" i="1"/>
  <c r="AE199" i="1"/>
  <c r="AF199" i="1"/>
  <c r="AG199" i="1"/>
  <c r="AH199" i="1"/>
  <c r="AI199" i="1"/>
  <c r="I200" i="1"/>
  <c r="J200" i="1"/>
  <c r="M200" i="1"/>
  <c r="N200" i="1"/>
  <c r="O200" i="1"/>
  <c r="S200" i="1"/>
  <c r="T200" i="1"/>
  <c r="X200" i="1"/>
  <c r="Y200" i="1"/>
  <c r="Z200" i="1"/>
  <c r="AD200" i="1"/>
  <c r="AE200" i="1"/>
  <c r="AF200" i="1"/>
  <c r="AG200" i="1"/>
  <c r="AH200" i="1"/>
  <c r="AI200" i="1"/>
  <c r="I201" i="1"/>
  <c r="J201" i="1"/>
  <c r="M201" i="1"/>
  <c r="N201" i="1"/>
  <c r="O201" i="1"/>
  <c r="S201" i="1"/>
  <c r="T201" i="1"/>
  <c r="X201" i="1"/>
  <c r="Y201" i="1"/>
  <c r="Z201" i="1"/>
  <c r="AD201" i="1"/>
  <c r="AE201" i="1"/>
  <c r="AF201" i="1"/>
  <c r="AG201" i="1"/>
  <c r="AH201" i="1"/>
  <c r="AI201" i="1"/>
  <c r="I202" i="1"/>
  <c r="J202" i="1"/>
  <c r="M202" i="1"/>
  <c r="N202" i="1"/>
  <c r="O202" i="1"/>
  <c r="S202" i="1"/>
  <c r="T202" i="1"/>
  <c r="X202" i="1"/>
  <c r="Y202" i="1"/>
  <c r="Z202" i="1"/>
  <c r="AD202" i="1"/>
  <c r="AE202" i="1"/>
  <c r="AF202" i="1"/>
  <c r="AG202" i="1"/>
  <c r="AH202" i="1"/>
  <c r="AI202" i="1"/>
  <c r="I203" i="1"/>
  <c r="J203" i="1"/>
  <c r="M203" i="1"/>
  <c r="N203" i="1"/>
  <c r="O203" i="1"/>
  <c r="S203" i="1"/>
  <c r="T203" i="1"/>
  <c r="X203" i="1"/>
  <c r="Y203" i="1"/>
  <c r="Z203" i="1"/>
  <c r="AD203" i="1"/>
  <c r="AE203" i="1"/>
  <c r="AF203" i="1"/>
  <c r="AG203" i="1"/>
  <c r="AH203" i="1"/>
  <c r="AI203" i="1"/>
  <c r="I204" i="1"/>
  <c r="J204" i="1"/>
  <c r="M204" i="1"/>
  <c r="N204" i="1"/>
  <c r="O204" i="1"/>
  <c r="S204" i="1"/>
  <c r="T204" i="1"/>
  <c r="X204" i="1"/>
  <c r="Y204" i="1"/>
  <c r="Z204" i="1"/>
  <c r="AD204" i="1"/>
  <c r="AE204" i="1"/>
  <c r="AF204" i="1"/>
  <c r="AG204" i="1"/>
  <c r="AH204" i="1"/>
  <c r="AI204" i="1"/>
  <c r="I205" i="1"/>
  <c r="J205" i="1"/>
  <c r="M205" i="1"/>
  <c r="N205" i="1"/>
  <c r="O205" i="1"/>
  <c r="S205" i="1"/>
  <c r="T205" i="1"/>
  <c r="X205" i="1"/>
  <c r="Y205" i="1"/>
  <c r="Z205" i="1"/>
  <c r="AD205" i="1"/>
  <c r="AE205" i="1"/>
  <c r="AF205" i="1"/>
  <c r="AG205" i="1"/>
  <c r="AH205" i="1"/>
  <c r="AI205" i="1"/>
  <c r="I206" i="1"/>
  <c r="J206" i="1"/>
  <c r="M206" i="1"/>
  <c r="N206" i="1"/>
  <c r="O206" i="1"/>
  <c r="S206" i="1"/>
  <c r="T206" i="1"/>
  <c r="X206" i="1"/>
  <c r="Y206" i="1"/>
  <c r="Z206" i="1"/>
  <c r="AD206" i="1"/>
  <c r="AE206" i="1"/>
  <c r="AF206" i="1"/>
  <c r="AG206" i="1"/>
  <c r="AH206" i="1"/>
  <c r="AI206" i="1"/>
  <c r="I207" i="1"/>
  <c r="J207" i="1"/>
  <c r="M207" i="1"/>
  <c r="N207" i="1"/>
  <c r="O207" i="1"/>
  <c r="S207" i="1"/>
  <c r="T207" i="1"/>
  <c r="X207" i="1"/>
  <c r="Y207" i="1"/>
  <c r="Z207" i="1"/>
  <c r="AD207" i="1"/>
  <c r="AE207" i="1"/>
  <c r="AF207" i="1"/>
  <c r="AG207" i="1"/>
  <c r="AH207" i="1"/>
  <c r="AI207" i="1"/>
  <c r="I208" i="1"/>
  <c r="J208" i="1"/>
  <c r="M208" i="1"/>
  <c r="N208" i="1"/>
  <c r="O208" i="1"/>
  <c r="S208" i="1"/>
  <c r="T208" i="1"/>
  <c r="X208" i="1"/>
  <c r="Y208" i="1"/>
  <c r="Z208" i="1"/>
  <c r="AD208" i="1"/>
  <c r="AE208" i="1"/>
  <c r="AF208" i="1"/>
  <c r="AG208" i="1"/>
  <c r="AH208" i="1"/>
  <c r="AI208" i="1"/>
  <c r="I209" i="1"/>
  <c r="J209" i="1"/>
  <c r="M209" i="1"/>
  <c r="N209" i="1"/>
  <c r="O209" i="1"/>
  <c r="S209" i="1"/>
  <c r="T209" i="1"/>
  <c r="X209" i="1"/>
  <c r="Y209" i="1"/>
  <c r="Z209" i="1"/>
  <c r="AD209" i="1"/>
  <c r="AE209" i="1"/>
  <c r="AF209" i="1"/>
  <c r="AG209" i="1"/>
  <c r="AH209" i="1"/>
  <c r="AI209" i="1"/>
  <c r="I210" i="1"/>
  <c r="J210" i="1"/>
  <c r="M210" i="1"/>
  <c r="N210" i="1"/>
  <c r="O210" i="1"/>
  <c r="S210" i="1"/>
  <c r="T210" i="1"/>
  <c r="X210" i="1"/>
  <c r="Y210" i="1"/>
  <c r="Z210" i="1"/>
  <c r="AD210" i="1"/>
  <c r="AE210" i="1"/>
  <c r="AF210" i="1"/>
  <c r="AG210" i="1"/>
  <c r="AH210" i="1"/>
  <c r="AI210" i="1"/>
  <c r="I211" i="1"/>
  <c r="J211" i="1"/>
  <c r="M211" i="1"/>
  <c r="N211" i="1"/>
  <c r="O211" i="1"/>
  <c r="S211" i="1"/>
  <c r="T211" i="1"/>
  <c r="X211" i="1"/>
  <c r="Y211" i="1"/>
  <c r="Z211" i="1"/>
  <c r="AD211" i="1"/>
  <c r="AE211" i="1"/>
  <c r="AF211" i="1"/>
  <c r="AG211" i="1"/>
  <c r="AH211" i="1"/>
  <c r="AI211" i="1"/>
  <c r="I212" i="1"/>
  <c r="J212" i="1"/>
  <c r="M212" i="1"/>
  <c r="N212" i="1"/>
  <c r="O212" i="1"/>
  <c r="S212" i="1"/>
  <c r="T212" i="1"/>
  <c r="X212" i="1"/>
  <c r="Y212" i="1"/>
  <c r="Z212" i="1"/>
  <c r="AD212" i="1"/>
  <c r="AE212" i="1"/>
  <c r="AF212" i="1"/>
  <c r="AG212" i="1"/>
  <c r="AH212" i="1"/>
  <c r="AI212" i="1"/>
  <c r="I213" i="1"/>
  <c r="J213" i="1"/>
  <c r="M213" i="1"/>
  <c r="N213" i="1"/>
  <c r="O213" i="1"/>
  <c r="S213" i="1"/>
  <c r="T213" i="1"/>
  <c r="X213" i="1"/>
  <c r="Y213" i="1"/>
  <c r="Z213" i="1"/>
  <c r="AD213" i="1"/>
  <c r="AE213" i="1"/>
  <c r="AF213" i="1"/>
  <c r="AG213" i="1"/>
  <c r="AH213" i="1"/>
  <c r="AI213" i="1"/>
  <c r="I214" i="1"/>
  <c r="J214" i="1"/>
  <c r="M214" i="1"/>
  <c r="N214" i="1"/>
  <c r="O214" i="1"/>
  <c r="S214" i="1"/>
  <c r="T214" i="1"/>
  <c r="X214" i="1"/>
  <c r="Y214" i="1"/>
  <c r="Z214" i="1"/>
  <c r="AD214" i="1"/>
  <c r="AE214" i="1"/>
  <c r="AF214" i="1"/>
  <c r="AG214" i="1"/>
  <c r="AH214" i="1"/>
  <c r="AI214" i="1"/>
  <c r="I215" i="1"/>
  <c r="J215" i="1"/>
  <c r="M215" i="1"/>
  <c r="N215" i="1"/>
  <c r="O215" i="1"/>
  <c r="S215" i="1"/>
  <c r="T215" i="1"/>
  <c r="X215" i="1"/>
  <c r="Y215" i="1"/>
  <c r="Z215" i="1"/>
  <c r="AD215" i="1"/>
  <c r="AE215" i="1"/>
  <c r="AF215" i="1"/>
  <c r="AG215" i="1"/>
  <c r="AH215" i="1"/>
  <c r="AI215" i="1"/>
  <c r="I216" i="1"/>
  <c r="J216" i="1"/>
  <c r="M216" i="1"/>
  <c r="N216" i="1"/>
  <c r="O216" i="1"/>
  <c r="S216" i="1"/>
  <c r="T216" i="1"/>
  <c r="X216" i="1"/>
  <c r="Y216" i="1"/>
  <c r="Z216" i="1"/>
  <c r="AD216" i="1"/>
  <c r="AE216" i="1"/>
  <c r="AF216" i="1"/>
  <c r="AG216" i="1"/>
  <c r="AH216" i="1"/>
  <c r="AI216" i="1"/>
  <c r="I217" i="1"/>
  <c r="J217" i="1"/>
  <c r="M217" i="1"/>
  <c r="N217" i="1"/>
  <c r="O217" i="1"/>
  <c r="S217" i="1"/>
  <c r="T217" i="1"/>
  <c r="X217" i="1"/>
  <c r="Y217" i="1"/>
  <c r="Z217" i="1"/>
  <c r="AD217" i="1"/>
  <c r="AE217" i="1"/>
  <c r="AF217" i="1"/>
  <c r="AG217" i="1"/>
  <c r="AH217" i="1"/>
  <c r="AI217" i="1"/>
  <c r="I218" i="1"/>
  <c r="J218" i="1"/>
  <c r="M218" i="1"/>
  <c r="N218" i="1"/>
  <c r="O218" i="1"/>
  <c r="S218" i="1"/>
  <c r="T218" i="1"/>
  <c r="X218" i="1"/>
  <c r="Y218" i="1"/>
  <c r="Z218" i="1"/>
  <c r="AD218" i="1"/>
  <c r="AE218" i="1"/>
  <c r="AF218" i="1"/>
  <c r="AG218" i="1"/>
  <c r="AH218" i="1"/>
  <c r="AI218" i="1"/>
  <c r="I219" i="1"/>
  <c r="J219" i="1"/>
  <c r="M219" i="1"/>
  <c r="N219" i="1"/>
  <c r="O219" i="1"/>
  <c r="S219" i="1"/>
  <c r="T219" i="1"/>
  <c r="X219" i="1"/>
  <c r="Y219" i="1"/>
  <c r="Z219" i="1"/>
  <c r="AD219" i="1"/>
  <c r="AE219" i="1"/>
  <c r="AF219" i="1"/>
  <c r="AG219" i="1"/>
  <c r="AH219" i="1"/>
  <c r="AI219" i="1"/>
  <c r="I220" i="1"/>
  <c r="J220" i="1"/>
  <c r="M220" i="1"/>
  <c r="N220" i="1"/>
  <c r="O220" i="1"/>
  <c r="S220" i="1"/>
  <c r="T220" i="1"/>
  <c r="X220" i="1"/>
  <c r="Y220" i="1"/>
  <c r="Z220" i="1"/>
  <c r="AD220" i="1"/>
  <c r="AE220" i="1"/>
  <c r="AF220" i="1"/>
  <c r="AG220" i="1"/>
  <c r="AH220" i="1"/>
  <c r="AI220" i="1"/>
  <c r="I221" i="1"/>
  <c r="J221" i="1"/>
  <c r="M221" i="1"/>
  <c r="N221" i="1"/>
  <c r="O221" i="1"/>
  <c r="S221" i="1"/>
  <c r="T221" i="1"/>
  <c r="X221" i="1"/>
  <c r="Y221" i="1"/>
  <c r="Z221" i="1"/>
  <c r="AD221" i="1"/>
  <c r="AE221" i="1"/>
  <c r="AF221" i="1"/>
  <c r="AG221" i="1"/>
  <c r="AH221" i="1"/>
  <c r="AI221" i="1"/>
  <c r="I222" i="1"/>
  <c r="J222" i="1"/>
  <c r="M222" i="1"/>
  <c r="N222" i="1"/>
  <c r="O222" i="1"/>
  <c r="S222" i="1"/>
  <c r="T222" i="1"/>
  <c r="X222" i="1"/>
  <c r="Y222" i="1"/>
  <c r="Z222" i="1"/>
  <c r="AD222" i="1"/>
  <c r="AE222" i="1"/>
  <c r="AF222" i="1"/>
  <c r="AG222" i="1"/>
  <c r="AH222" i="1"/>
  <c r="AI222" i="1"/>
  <c r="I223" i="1"/>
  <c r="J223" i="1"/>
  <c r="M223" i="1"/>
  <c r="N223" i="1"/>
  <c r="O223" i="1"/>
  <c r="S223" i="1"/>
  <c r="T223" i="1"/>
  <c r="X223" i="1"/>
  <c r="Y223" i="1"/>
  <c r="Z223" i="1"/>
  <c r="AD223" i="1"/>
  <c r="AE223" i="1"/>
  <c r="AF223" i="1"/>
  <c r="AG223" i="1"/>
  <c r="AH223" i="1"/>
  <c r="AI223" i="1"/>
  <c r="I224" i="1"/>
  <c r="J224" i="1"/>
  <c r="M224" i="1"/>
  <c r="N224" i="1"/>
  <c r="O224" i="1"/>
  <c r="S224" i="1"/>
  <c r="T224" i="1"/>
  <c r="X224" i="1"/>
  <c r="Y224" i="1"/>
  <c r="Z224" i="1"/>
  <c r="AD224" i="1"/>
  <c r="AE224" i="1"/>
  <c r="AF224" i="1"/>
  <c r="AG224" i="1"/>
  <c r="AH224" i="1"/>
  <c r="AI224" i="1"/>
  <c r="I225" i="1"/>
  <c r="J225" i="1"/>
  <c r="M225" i="1"/>
  <c r="N225" i="1"/>
  <c r="O225" i="1"/>
  <c r="S225" i="1"/>
  <c r="T225" i="1"/>
  <c r="X225" i="1"/>
  <c r="Y225" i="1"/>
  <c r="Z225" i="1"/>
  <c r="AD225" i="1"/>
  <c r="AE225" i="1"/>
  <c r="AF225" i="1"/>
  <c r="AG225" i="1"/>
  <c r="AH225" i="1"/>
  <c r="AI225" i="1"/>
  <c r="I226" i="1"/>
  <c r="J226" i="1"/>
  <c r="M226" i="1"/>
  <c r="N226" i="1"/>
  <c r="O226" i="1"/>
  <c r="S226" i="1"/>
  <c r="T226" i="1"/>
  <c r="X226" i="1"/>
  <c r="Y226" i="1"/>
  <c r="Z226" i="1"/>
  <c r="AD226" i="1"/>
  <c r="AE226" i="1"/>
  <c r="AF226" i="1"/>
  <c r="AG226" i="1"/>
  <c r="AH226" i="1"/>
  <c r="AI226" i="1"/>
  <c r="I227" i="1"/>
  <c r="J227" i="1"/>
  <c r="M227" i="1"/>
  <c r="N227" i="1"/>
  <c r="O227" i="1"/>
  <c r="S227" i="1"/>
  <c r="T227" i="1"/>
  <c r="X227" i="1"/>
  <c r="Y227" i="1"/>
  <c r="Z227" i="1"/>
  <c r="AD227" i="1"/>
  <c r="AE227" i="1"/>
  <c r="AF227" i="1"/>
  <c r="AG227" i="1"/>
  <c r="AH227" i="1"/>
  <c r="AI227" i="1"/>
  <c r="I228" i="1"/>
  <c r="J228" i="1"/>
  <c r="M228" i="1"/>
  <c r="N228" i="1"/>
  <c r="O228" i="1"/>
  <c r="S228" i="1"/>
  <c r="T228" i="1"/>
  <c r="X228" i="1"/>
  <c r="Y228" i="1"/>
  <c r="Z228" i="1"/>
  <c r="AD228" i="1"/>
  <c r="AE228" i="1"/>
  <c r="AF228" i="1"/>
  <c r="AG228" i="1"/>
  <c r="AH228" i="1"/>
  <c r="AI228" i="1"/>
  <c r="I229" i="1"/>
  <c r="J229" i="1"/>
  <c r="M229" i="1"/>
  <c r="N229" i="1"/>
  <c r="O229" i="1"/>
  <c r="S229" i="1"/>
  <c r="T229" i="1"/>
  <c r="X229" i="1"/>
  <c r="Y229" i="1"/>
  <c r="Z229" i="1"/>
  <c r="AD229" i="1"/>
  <c r="AE229" i="1"/>
  <c r="AF229" i="1"/>
  <c r="AG229" i="1"/>
  <c r="AH229" i="1"/>
  <c r="AI229" i="1"/>
  <c r="I230" i="1"/>
  <c r="J230" i="1"/>
  <c r="M230" i="1"/>
  <c r="N230" i="1"/>
  <c r="O230" i="1"/>
  <c r="S230" i="1"/>
  <c r="T230" i="1"/>
  <c r="X230" i="1"/>
  <c r="Y230" i="1"/>
  <c r="Z230" i="1"/>
  <c r="AD230" i="1"/>
  <c r="AE230" i="1"/>
  <c r="AF230" i="1"/>
  <c r="AG230" i="1"/>
  <c r="AH230" i="1"/>
  <c r="AI230" i="1"/>
  <c r="I231" i="1"/>
  <c r="J231" i="1"/>
  <c r="M231" i="1"/>
  <c r="N231" i="1"/>
  <c r="O231" i="1"/>
  <c r="S231" i="1"/>
  <c r="T231" i="1"/>
  <c r="X231" i="1"/>
  <c r="Y231" i="1"/>
  <c r="Z231" i="1"/>
  <c r="AD231" i="1"/>
  <c r="AE231" i="1"/>
  <c r="AF231" i="1"/>
  <c r="AG231" i="1"/>
  <c r="AH231" i="1"/>
  <c r="AI231" i="1"/>
  <c r="I232" i="1"/>
  <c r="J232" i="1"/>
  <c r="M232" i="1"/>
  <c r="N232" i="1"/>
  <c r="O232" i="1"/>
  <c r="S232" i="1"/>
  <c r="T232" i="1"/>
  <c r="X232" i="1"/>
  <c r="Y232" i="1"/>
  <c r="Z232" i="1"/>
  <c r="AD232" i="1"/>
  <c r="AE232" i="1"/>
  <c r="AF232" i="1"/>
  <c r="AG232" i="1"/>
  <c r="AH232" i="1"/>
  <c r="AI232" i="1"/>
  <c r="I233" i="1"/>
  <c r="J233" i="1"/>
  <c r="M233" i="1"/>
  <c r="N233" i="1"/>
  <c r="O233" i="1"/>
  <c r="S233" i="1"/>
  <c r="T233" i="1"/>
  <c r="X233" i="1"/>
  <c r="Y233" i="1"/>
  <c r="Z233" i="1"/>
  <c r="AD233" i="1"/>
  <c r="AE233" i="1"/>
  <c r="AF233" i="1"/>
  <c r="AG233" i="1"/>
  <c r="AH233" i="1"/>
  <c r="AI233" i="1"/>
  <c r="I234" i="1"/>
  <c r="J234" i="1"/>
  <c r="M234" i="1"/>
  <c r="N234" i="1"/>
  <c r="O234" i="1"/>
  <c r="S234" i="1"/>
  <c r="T234" i="1"/>
  <c r="X234" i="1"/>
  <c r="Y234" i="1"/>
  <c r="Z234" i="1"/>
  <c r="AD234" i="1"/>
  <c r="AE234" i="1"/>
  <c r="AF234" i="1"/>
  <c r="AG234" i="1"/>
  <c r="AH234" i="1"/>
  <c r="AI234" i="1"/>
  <c r="I235" i="1"/>
  <c r="J235" i="1"/>
  <c r="M235" i="1"/>
  <c r="N235" i="1"/>
  <c r="O235" i="1"/>
  <c r="S235" i="1"/>
  <c r="T235" i="1"/>
  <c r="X235" i="1"/>
  <c r="Y235" i="1"/>
  <c r="Z235" i="1"/>
  <c r="AD235" i="1"/>
  <c r="AE235" i="1"/>
  <c r="AF235" i="1"/>
  <c r="AG235" i="1"/>
  <c r="AH235" i="1"/>
  <c r="AI235" i="1"/>
  <c r="I236" i="1"/>
  <c r="J236" i="1"/>
  <c r="M236" i="1"/>
  <c r="N236" i="1"/>
  <c r="O236" i="1"/>
  <c r="S236" i="1"/>
  <c r="T236" i="1"/>
  <c r="X236" i="1"/>
  <c r="Y236" i="1"/>
  <c r="Z236" i="1"/>
  <c r="AD236" i="1"/>
  <c r="AE236" i="1"/>
  <c r="AF236" i="1"/>
  <c r="AG236" i="1"/>
  <c r="AH236" i="1"/>
  <c r="AI236" i="1"/>
  <c r="I237" i="1"/>
  <c r="J237" i="1"/>
  <c r="M237" i="1"/>
  <c r="N237" i="1"/>
  <c r="O237" i="1"/>
  <c r="S237" i="1"/>
  <c r="T237" i="1"/>
  <c r="X237" i="1"/>
  <c r="Y237" i="1"/>
  <c r="Z237" i="1"/>
  <c r="AD237" i="1"/>
  <c r="AE237" i="1"/>
  <c r="AF237" i="1"/>
  <c r="AG237" i="1"/>
  <c r="AH237" i="1"/>
  <c r="AI237" i="1"/>
  <c r="I238" i="1"/>
  <c r="J238" i="1"/>
  <c r="M238" i="1"/>
  <c r="N238" i="1"/>
  <c r="O238" i="1"/>
  <c r="S238" i="1"/>
  <c r="T238" i="1"/>
  <c r="X238" i="1"/>
  <c r="Y238" i="1"/>
  <c r="Z238" i="1"/>
  <c r="AD238" i="1"/>
  <c r="AE238" i="1"/>
  <c r="AF238" i="1"/>
  <c r="AG238" i="1"/>
  <c r="AH238" i="1"/>
  <c r="AI238" i="1"/>
  <c r="I239" i="1"/>
  <c r="J239" i="1"/>
  <c r="M239" i="1"/>
  <c r="N239" i="1"/>
  <c r="O239" i="1"/>
  <c r="S239" i="1"/>
  <c r="T239" i="1"/>
  <c r="X239" i="1"/>
  <c r="Y239" i="1"/>
  <c r="Z239" i="1"/>
  <c r="AD239" i="1"/>
  <c r="AE239" i="1"/>
  <c r="AF239" i="1"/>
  <c r="AG239" i="1"/>
  <c r="AH239" i="1"/>
  <c r="AI239" i="1"/>
  <c r="I240" i="1"/>
  <c r="J240" i="1"/>
  <c r="M240" i="1"/>
  <c r="N240" i="1"/>
  <c r="O240" i="1"/>
  <c r="S240" i="1"/>
  <c r="T240" i="1"/>
  <c r="X240" i="1"/>
  <c r="Y240" i="1"/>
  <c r="Z240" i="1"/>
  <c r="AD240" i="1"/>
  <c r="AE240" i="1"/>
  <c r="AF240" i="1"/>
  <c r="AG240" i="1"/>
  <c r="AH240" i="1"/>
  <c r="AI240" i="1"/>
  <c r="I241" i="1"/>
  <c r="J241" i="1"/>
  <c r="M241" i="1"/>
  <c r="N241" i="1"/>
  <c r="O241" i="1"/>
  <c r="S241" i="1"/>
  <c r="T241" i="1"/>
  <c r="X241" i="1"/>
  <c r="Y241" i="1"/>
  <c r="Z241" i="1"/>
  <c r="AD241" i="1"/>
  <c r="AE241" i="1"/>
  <c r="AF241" i="1"/>
  <c r="AG241" i="1"/>
  <c r="AH241" i="1"/>
  <c r="AI241" i="1"/>
  <c r="I242" i="1"/>
  <c r="J242" i="1"/>
  <c r="M242" i="1"/>
  <c r="N242" i="1"/>
  <c r="O242" i="1"/>
  <c r="S242" i="1"/>
  <c r="T242" i="1"/>
  <c r="X242" i="1"/>
  <c r="Y242" i="1"/>
  <c r="Z242" i="1"/>
  <c r="AD242" i="1"/>
  <c r="AE242" i="1"/>
  <c r="AF242" i="1"/>
  <c r="AG242" i="1"/>
  <c r="AH242" i="1"/>
  <c r="AI242" i="1"/>
  <c r="I243" i="1"/>
  <c r="J243" i="1"/>
  <c r="M243" i="1"/>
  <c r="N243" i="1"/>
  <c r="O243" i="1"/>
  <c r="S243" i="1"/>
  <c r="T243" i="1"/>
  <c r="X243" i="1"/>
  <c r="Y243" i="1"/>
  <c r="Z243" i="1"/>
  <c r="AD243" i="1"/>
  <c r="AE243" i="1"/>
  <c r="AF243" i="1"/>
  <c r="AG243" i="1"/>
  <c r="AH243" i="1"/>
  <c r="AI243" i="1"/>
  <c r="I244" i="1"/>
  <c r="J244" i="1"/>
  <c r="M244" i="1"/>
  <c r="N244" i="1"/>
  <c r="O244" i="1"/>
  <c r="S244" i="1"/>
  <c r="T244" i="1"/>
  <c r="X244" i="1"/>
  <c r="Y244" i="1"/>
  <c r="Z244" i="1"/>
  <c r="AD244" i="1"/>
  <c r="AE244" i="1"/>
  <c r="AF244" i="1"/>
  <c r="AG244" i="1"/>
  <c r="AH244" i="1"/>
  <c r="AI244" i="1"/>
  <c r="I245" i="1"/>
  <c r="J245" i="1"/>
  <c r="M245" i="1"/>
  <c r="N245" i="1"/>
  <c r="O245" i="1"/>
  <c r="S245" i="1"/>
  <c r="T245" i="1"/>
  <c r="X245" i="1"/>
  <c r="Y245" i="1"/>
  <c r="Z245" i="1"/>
  <c r="AD245" i="1"/>
  <c r="AE245" i="1"/>
  <c r="AF245" i="1"/>
  <c r="AG245" i="1"/>
  <c r="AH245" i="1"/>
  <c r="AI245" i="1"/>
  <c r="I246" i="1"/>
  <c r="J246" i="1"/>
  <c r="M246" i="1"/>
  <c r="N246" i="1"/>
  <c r="O246" i="1"/>
  <c r="S246" i="1"/>
  <c r="T246" i="1"/>
  <c r="X246" i="1"/>
  <c r="Y246" i="1"/>
  <c r="Z246" i="1"/>
  <c r="AD246" i="1"/>
  <c r="AE246" i="1"/>
  <c r="AF246" i="1"/>
  <c r="AG246" i="1"/>
  <c r="AH246" i="1"/>
  <c r="AI246" i="1"/>
  <c r="I247" i="1"/>
  <c r="J247" i="1"/>
  <c r="M247" i="1"/>
  <c r="N247" i="1"/>
  <c r="O247" i="1"/>
  <c r="S247" i="1"/>
  <c r="T247" i="1"/>
  <c r="X247" i="1"/>
  <c r="Y247" i="1"/>
  <c r="Z247" i="1"/>
  <c r="AD247" i="1"/>
  <c r="AE247" i="1"/>
  <c r="AF247" i="1"/>
  <c r="AG247" i="1"/>
  <c r="AH247" i="1"/>
  <c r="AI247" i="1"/>
  <c r="I248" i="1"/>
  <c r="J248" i="1"/>
  <c r="M248" i="1"/>
  <c r="N248" i="1"/>
  <c r="O248" i="1"/>
  <c r="S248" i="1"/>
  <c r="T248" i="1"/>
  <c r="X248" i="1"/>
  <c r="Y248" i="1"/>
  <c r="Z248" i="1"/>
  <c r="AD248" i="1"/>
  <c r="AE248" i="1"/>
  <c r="AF248" i="1"/>
  <c r="AG248" i="1"/>
  <c r="AH248" i="1"/>
  <c r="AI248" i="1"/>
  <c r="I249" i="1"/>
  <c r="J249" i="1"/>
  <c r="M249" i="1"/>
  <c r="N249" i="1"/>
  <c r="O249" i="1"/>
  <c r="S249" i="1"/>
  <c r="T249" i="1"/>
  <c r="X249" i="1"/>
  <c r="Y249" i="1"/>
  <c r="Z249" i="1"/>
  <c r="AD249" i="1"/>
  <c r="AE249" i="1"/>
  <c r="AF249" i="1"/>
  <c r="AG249" i="1"/>
  <c r="AH249" i="1"/>
  <c r="AI249" i="1"/>
  <c r="I250" i="1"/>
  <c r="J250" i="1"/>
  <c r="M250" i="1"/>
  <c r="N250" i="1"/>
  <c r="O250" i="1"/>
  <c r="S250" i="1"/>
  <c r="T250" i="1"/>
  <c r="X250" i="1"/>
  <c r="Y250" i="1"/>
  <c r="Z250" i="1"/>
  <c r="AD250" i="1"/>
  <c r="AE250" i="1"/>
  <c r="AF250" i="1"/>
  <c r="AG250" i="1"/>
  <c r="AH250" i="1"/>
  <c r="AI250" i="1"/>
  <c r="I251" i="1"/>
  <c r="J251" i="1"/>
  <c r="M251" i="1"/>
  <c r="N251" i="1"/>
  <c r="O251" i="1"/>
  <c r="S251" i="1"/>
  <c r="T251" i="1"/>
  <c r="X251" i="1"/>
  <c r="Y251" i="1"/>
  <c r="Z251" i="1"/>
  <c r="AD251" i="1"/>
  <c r="AE251" i="1"/>
  <c r="AF251" i="1"/>
  <c r="AG251" i="1"/>
  <c r="AH251" i="1"/>
  <c r="AI251" i="1"/>
  <c r="I252" i="1"/>
  <c r="J252" i="1"/>
  <c r="M252" i="1"/>
  <c r="N252" i="1"/>
  <c r="O252" i="1"/>
  <c r="S252" i="1"/>
  <c r="T252" i="1"/>
  <c r="X252" i="1"/>
  <c r="Y252" i="1"/>
  <c r="Z252" i="1"/>
  <c r="AD252" i="1"/>
  <c r="AE252" i="1"/>
  <c r="AF252" i="1"/>
  <c r="AG252" i="1"/>
  <c r="AH252" i="1"/>
  <c r="AI252" i="1"/>
  <c r="I253" i="1"/>
  <c r="J253" i="1"/>
  <c r="M253" i="1"/>
  <c r="N253" i="1"/>
  <c r="O253" i="1"/>
  <c r="S253" i="1"/>
  <c r="T253" i="1"/>
  <c r="X253" i="1"/>
  <c r="Y253" i="1"/>
  <c r="Z253" i="1"/>
  <c r="AD253" i="1"/>
  <c r="AE253" i="1"/>
  <c r="AF253" i="1"/>
  <c r="AG253" i="1"/>
  <c r="AH253" i="1"/>
  <c r="AI253" i="1"/>
  <c r="I254" i="1"/>
  <c r="J254" i="1"/>
  <c r="M254" i="1"/>
  <c r="N254" i="1"/>
  <c r="O254" i="1"/>
  <c r="S254" i="1"/>
  <c r="T254" i="1"/>
  <c r="X254" i="1"/>
  <c r="Y254" i="1"/>
  <c r="Z254" i="1"/>
  <c r="AD254" i="1"/>
  <c r="AE254" i="1"/>
  <c r="AF254" i="1"/>
  <c r="AG254" i="1"/>
  <c r="AH254" i="1"/>
  <c r="AI254" i="1"/>
  <c r="I255" i="1"/>
  <c r="J255" i="1"/>
  <c r="M255" i="1"/>
  <c r="N255" i="1"/>
  <c r="O255" i="1"/>
  <c r="S255" i="1"/>
  <c r="T255" i="1"/>
  <c r="X255" i="1"/>
  <c r="Y255" i="1"/>
  <c r="Z255" i="1"/>
  <c r="AD255" i="1"/>
  <c r="AE255" i="1"/>
  <c r="AF255" i="1"/>
  <c r="AG255" i="1"/>
  <c r="AH255" i="1"/>
  <c r="AI255" i="1"/>
  <c r="I256" i="1"/>
  <c r="J256" i="1"/>
  <c r="M256" i="1"/>
  <c r="N256" i="1"/>
  <c r="O256" i="1"/>
  <c r="S256" i="1"/>
  <c r="T256" i="1"/>
  <c r="X256" i="1"/>
  <c r="Y256" i="1"/>
  <c r="Z256" i="1"/>
  <c r="AD256" i="1"/>
  <c r="AE256" i="1"/>
  <c r="AF256" i="1"/>
  <c r="AG256" i="1"/>
  <c r="AH256" i="1"/>
  <c r="AI256" i="1"/>
  <c r="I257" i="1"/>
  <c r="J257" i="1"/>
  <c r="M257" i="1"/>
  <c r="N257" i="1"/>
  <c r="O257" i="1"/>
  <c r="S257" i="1"/>
  <c r="T257" i="1"/>
  <c r="X257" i="1"/>
  <c r="Y257" i="1"/>
  <c r="Z257" i="1"/>
  <c r="AD257" i="1"/>
  <c r="AE257" i="1"/>
  <c r="AF257" i="1"/>
  <c r="AG257" i="1"/>
  <c r="AH257" i="1"/>
  <c r="AI257" i="1"/>
  <c r="I258" i="1"/>
  <c r="J258" i="1"/>
  <c r="M258" i="1"/>
  <c r="N258" i="1"/>
  <c r="O258" i="1"/>
  <c r="S258" i="1"/>
  <c r="T258" i="1"/>
  <c r="X258" i="1"/>
  <c r="Y258" i="1"/>
  <c r="Z258" i="1"/>
  <c r="AD258" i="1"/>
  <c r="AE258" i="1"/>
  <c r="AF258" i="1"/>
  <c r="AG258" i="1"/>
  <c r="AH258" i="1"/>
  <c r="AI258" i="1"/>
  <c r="I259" i="1"/>
  <c r="J259" i="1"/>
  <c r="M259" i="1"/>
  <c r="N259" i="1"/>
  <c r="O259" i="1"/>
  <c r="S259" i="1"/>
  <c r="T259" i="1"/>
  <c r="X259" i="1"/>
  <c r="Y259" i="1"/>
  <c r="Z259" i="1"/>
  <c r="AD259" i="1"/>
  <c r="AE259" i="1"/>
  <c r="AF259" i="1"/>
  <c r="AG259" i="1"/>
  <c r="AH259" i="1"/>
  <c r="AI259" i="1"/>
  <c r="I260" i="1"/>
  <c r="J260" i="1"/>
  <c r="M260" i="1"/>
  <c r="N260" i="1"/>
  <c r="O260" i="1"/>
  <c r="S260" i="1"/>
  <c r="T260" i="1"/>
  <c r="X260" i="1"/>
  <c r="Y260" i="1"/>
  <c r="Z260" i="1"/>
  <c r="AD260" i="1"/>
  <c r="AE260" i="1"/>
  <c r="AF260" i="1"/>
  <c r="AG260" i="1"/>
  <c r="AH260" i="1"/>
  <c r="AI260" i="1"/>
  <c r="I261" i="1"/>
  <c r="J261" i="1"/>
  <c r="M261" i="1"/>
  <c r="N261" i="1"/>
  <c r="O261" i="1"/>
  <c r="S261" i="1"/>
  <c r="T261" i="1"/>
  <c r="X261" i="1"/>
  <c r="Y261" i="1"/>
  <c r="Z261" i="1"/>
  <c r="AD261" i="1"/>
  <c r="AE261" i="1"/>
  <c r="AF261" i="1"/>
  <c r="AG261" i="1"/>
  <c r="AH261" i="1"/>
  <c r="AI261" i="1"/>
  <c r="I262" i="1"/>
  <c r="J262" i="1"/>
  <c r="M262" i="1"/>
  <c r="N262" i="1"/>
  <c r="O262" i="1"/>
  <c r="S262" i="1"/>
  <c r="T262" i="1"/>
  <c r="X262" i="1"/>
  <c r="Y262" i="1"/>
  <c r="Z262" i="1"/>
  <c r="AD262" i="1"/>
  <c r="AE262" i="1"/>
  <c r="AF262" i="1"/>
  <c r="AG262" i="1"/>
  <c r="AH262" i="1"/>
  <c r="AI262" i="1"/>
  <c r="I263" i="1"/>
  <c r="J263" i="1"/>
  <c r="M263" i="1"/>
  <c r="N263" i="1"/>
  <c r="O263" i="1"/>
  <c r="S263" i="1"/>
  <c r="T263" i="1"/>
  <c r="X263" i="1"/>
  <c r="Y263" i="1"/>
  <c r="Z263" i="1"/>
  <c r="AD263" i="1"/>
  <c r="AE263" i="1"/>
  <c r="AF263" i="1"/>
  <c r="AG263" i="1"/>
  <c r="AH263" i="1"/>
  <c r="AI263" i="1"/>
  <c r="I264" i="1"/>
  <c r="J264" i="1"/>
  <c r="M264" i="1"/>
  <c r="N264" i="1"/>
  <c r="O264" i="1"/>
  <c r="S264" i="1"/>
  <c r="T264" i="1"/>
  <c r="X264" i="1"/>
  <c r="Y264" i="1"/>
  <c r="Z264" i="1"/>
  <c r="AD264" i="1"/>
  <c r="AE264" i="1"/>
  <c r="AF264" i="1"/>
  <c r="AG264" i="1"/>
  <c r="AH264" i="1"/>
  <c r="AI264" i="1"/>
  <c r="I265" i="1"/>
  <c r="J265" i="1"/>
  <c r="M265" i="1"/>
  <c r="N265" i="1"/>
  <c r="O265" i="1"/>
  <c r="S265" i="1"/>
  <c r="T265" i="1"/>
  <c r="X265" i="1"/>
  <c r="Y265" i="1"/>
  <c r="Z265" i="1"/>
  <c r="AD265" i="1"/>
  <c r="AE265" i="1"/>
  <c r="AF265" i="1"/>
  <c r="AG265" i="1"/>
  <c r="AH265" i="1"/>
  <c r="AI265" i="1"/>
  <c r="I266" i="1"/>
  <c r="J266" i="1"/>
  <c r="M266" i="1"/>
  <c r="N266" i="1"/>
  <c r="O266" i="1"/>
  <c r="S266" i="1"/>
  <c r="T266" i="1"/>
  <c r="X266" i="1"/>
  <c r="Y266" i="1"/>
  <c r="Z266" i="1"/>
  <c r="AD266" i="1"/>
  <c r="AE266" i="1"/>
  <c r="AF266" i="1"/>
  <c r="AG266" i="1"/>
  <c r="AH266" i="1"/>
  <c r="AI266" i="1"/>
  <c r="I267" i="1"/>
  <c r="J267" i="1"/>
  <c r="M267" i="1"/>
  <c r="N267" i="1"/>
  <c r="O267" i="1"/>
  <c r="S267" i="1"/>
  <c r="T267" i="1"/>
  <c r="X267" i="1"/>
  <c r="Y267" i="1"/>
  <c r="Z267" i="1"/>
  <c r="AD267" i="1"/>
  <c r="AE267" i="1"/>
  <c r="AF267" i="1"/>
  <c r="AG267" i="1"/>
  <c r="AH267" i="1"/>
  <c r="AI267" i="1"/>
  <c r="I268" i="1"/>
  <c r="J268" i="1"/>
  <c r="M268" i="1"/>
  <c r="N268" i="1"/>
  <c r="O268" i="1"/>
  <c r="S268" i="1"/>
  <c r="T268" i="1"/>
  <c r="X268" i="1"/>
  <c r="Y268" i="1"/>
  <c r="Z268" i="1"/>
  <c r="AD268" i="1"/>
  <c r="AE268" i="1"/>
  <c r="AF268" i="1"/>
  <c r="AG268" i="1"/>
  <c r="AH268" i="1"/>
  <c r="AI268" i="1"/>
  <c r="I269" i="1"/>
  <c r="J269" i="1"/>
  <c r="M269" i="1"/>
  <c r="N269" i="1"/>
  <c r="O269" i="1"/>
  <c r="S269" i="1"/>
  <c r="T269" i="1"/>
  <c r="X269" i="1"/>
  <c r="Y269" i="1"/>
  <c r="Z269" i="1"/>
  <c r="AD269" i="1"/>
  <c r="AE269" i="1"/>
  <c r="AF269" i="1"/>
  <c r="AG269" i="1"/>
  <c r="AH269" i="1"/>
  <c r="AI269" i="1"/>
  <c r="I270" i="1"/>
  <c r="J270" i="1"/>
  <c r="M270" i="1"/>
  <c r="N270" i="1"/>
  <c r="O270" i="1"/>
  <c r="S270" i="1"/>
  <c r="T270" i="1"/>
  <c r="X270" i="1"/>
  <c r="Y270" i="1"/>
  <c r="Z270" i="1"/>
  <c r="AD270" i="1"/>
  <c r="AE270" i="1"/>
  <c r="AF270" i="1"/>
  <c r="AG270" i="1"/>
  <c r="AH270" i="1"/>
  <c r="AI270" i="1"/>
  <c r="I271" i="1"/>
  <c r="J271" i="1"/>
  <c r="M271" i="1"/>
  <c r="N271" i="1"/>
  <c r="O271" i="1"/>
  <c r="S271" i="1"/>
  <c r="T271" i="1"/>
  <c r="X271" i="1"/>
  <c r="Y271" i="1"/>
  <c r="Z271" i="1"/>
  <c r="AD271" i="1"/>
  <c r="AE271" i="1"/>
  <c r="AF271" i="1"/>
  <c r="AG271" i="1"/>
  <c r="AH271" i="1"/>
  <c r="AI271" i="1"/>
  <c r="I272" i="1"/>
  <c r="J272" i="1"/>
  <c r="M272" i="1"/>
  <c r="N272" i="1"/>
  <c r="O272" i="1"/>
  <c r="S272" i="1"/>
  <c r="T272" i="1"/>
  <c r="X272" i="1"/>
  <c r="Y272" i="1"/>
  <c r="Z272" i="1"/>
  <c r="AD272" i="1"/>
  <c r="AE272" i="1"/>
  <c r="AF272" i="1"/>
  <c r="AG272" i="1"/>
  <c r="AH272" i="1"/>
  <c r="AI272" i="1"/>
  <c r="I273" i="1"/>
  <c r="J273" i="1"/>
  <c r="M273" i="1"/>
  <c r="N273" i="1"/>
  <c r="O273" i="1"/>
  <c r="S273" i="1"/>
  <c r="T273" i="1"/>
  <c r="X273" i="1"/>
  <c r="Y273" i="1"/>
  <c r="Z273" i="1"/>
  <c r="AD273" i="1"/>
  <c r="AE273" i="1"/>
  <c r="AF273" i="1"/>
  <c r="AG273" i="1"/>
  <c r="AH273" i="1"/>
  <c r="AI273" i="1"/>
  <c r="I274" i="1"/>
  <c r="J274" i="1"/>
  <c r="M274" i="1"/>
  <c r="N274" i="1"/>
  <c r="O274" i="1"/>
  <c r="S274" i="1"/>
  <c r="T274" i="1"/>
  <c r="X274" i="1"/>
  <c r="Y274" i="1"/>
  <c r="Z274" i="1"/>
  <c r="AD274" i="1"/>
  <c r="AE274" i="1"/>
  <c r="AF274" i="1"/>
  <c r="AG274" i="1"/>
  <c r="AH274" i="1"/>
  <c r="AI274" i="1"/>
  <c r="I275" i="1"/>
  <c r="J275" i="1"/>
  <c r="M275" i="1"/>
  <c r="N275" i="1"/>
  <c r="O275" i="1"/>
  <c r="S275" i="1"/>
  <c r="T275" i="1"/>
  <c r="X275" i="1"/>
  <c r="Y275" i="1"/>
  <c r="Z275" i="1"/>
  <c r="AD275" i="1"/>
  <c r="AE275" i="1"/>
  <c r="AF275" i="1"/>
  <c r="AG275" i="1"/>
  <c r="AH275" i="1"/>
  <c r="AI275" i="1"/>
  <c r="I276" i="1"/>
  <c r="J276" i="1"/>
  <c r="M276" i="1"/>
  <c r="N276" i="1"/>
  <c r="O276" i="1"/>
  <c r="S276" i="1"/>
  <c r="T276" i="1"/>
  <c r="X276" i="1"/>
  <c r="Y276" i="1"/>
  <c r="Z276" i="1"/>
  <c r="AD276" i="1"/>
  <c r="AE276" i="1"/>
  <c r="AF276" i="1"/>
  <c r="AG276" i="1"/>
  <c r="AH276" i="1"/>
  <c r="AI276" i="1"/>
  <c r="I277" i="1"/>
  <c r="J277" i="1"/>
  <c r="M277" i="1"/>
  <c r="N277" i="1"/>
  <c r="O277" i="1"/>
  <c r="S277" i="1"/>
  <c r="T277" i="1"/>
  <c r="X277" i="1"/>
  <c r="Y277" i="1"/>
  <c r="Z277" i="1"/>
  <c r="AD277" i="1"/>
  <c r="AE277" i="1"/>
  <c r="AF277" i="1"/>
  <c r="AG277" i="1"/>
  <c r="AH277" i="1"/>
  <c r="AI277" i="1"/>
  <c r="I278" i="1"/>
  <c r="J278" i="1"/>
  <c r="M278" i="1"/>
  <c r="N278" i="1"/>
  <c r="O278" i="1"/>
  <c r="S278" i="1"/>
  <c r="T278" i="1"/>
  <c r="X278" i="1"/>
  <c r="Y278" i="1"/>
  <c r="Z278" i="1"/>
  <c r="AD278" i="1"/>
  <c r="AE278" i="1"/>
  <c r="AF278" i="1"/>
  <c r="AG278" i="1"/>
  <c r="AH278" i="1"/>
  <c r="AI278" i="1"/>
  <c r="I279" i="1"/>
  <c r="J279" i="1"/>
  <c r="M279" i="1"/>
  <c r="N279" i="1"/>
  <c r="O279" i="1"/>
  <c r="S279" i="1"/>
  <c r="T279" i="1"/>
  <c r="X279" i="1"/>
  <c r="Y279" i="1"/>
  <c r="Z279" i="1"/>
  <c r="AD279" i="1"/>
  <c r="AE279" i="1"/>
  <c r="AF279" i="1"/>
  <c r="AG279" i="1"/>
  <c r="AH279" i="1"/>
  <c r="AI279" i="1"/>
  <c r="I280" i="1"/>
  <c r="J280" i="1"/>
  <c r="M280" i="1"/>
  <c r="N280" i="1"/>
  <c r="O280" i="1"/>
  <c r="S280" i="1"/>
  <c r="T280" i="1"/>
  <c r="X280" i="1"/>
  <c r="Y280" i="1"/>
  <c r="Z280" i="1"/>
  <c r="AD280" i="1"/>
  <c r="AE280" i="1"/>
  <c r="AF280" i="1"/>
  <c r="AG280" i="1"/>
  <c r="AH280" i="1"/>
  <c r="AI280" i="1"/>
  <c r="I281" i="1"/>
  <c r="J281" i="1"/>
  <c r="M281" i="1"/>
  <c r="N281" i="1"/>
  <c r="O281" i="1"/>
  <c r="S281" i="1"/>
  <c r="T281" i="1"/>
  <c r="X281" i="1"/>
  <c r="Y281" i="1"/>
  <c r="Z281" i="1"/>
  <c r="AD281" i="1"/>
  <c r="AE281" i="1"/>
  <c r="AF281" i="1"/>
  <c r="AG281" i="1"/>
  <c r="AH281" i="1"/>
  <c r="AI281" i="1"/>
  <c r="I282" i="1"/>
  <c r="J282" i="1"/>
  <c r="M282" i="1"/>
  <c r="N282" i="1"/>
  <c r="O282" i="1"/>
  <c r="S282" i="1"/>
  <c r="T282" i="1"/>
  <c r="X282" i="1"/>
  <c r="Y282" i="1"/>
  <c r="Z282" i="1"/>
  <c r="AD282" i="1"/>
  <c r="AE282" i="1"/>
  <c r="AF282" i="1"/>
  <c r="AG282" i="1"/>
  <c r="AH282" i="1"/>
  <c r="AI282" i="1"/>
  <c r="I283" i="1"/>
  <c r="J283" i="1"/>
  <c r="M283" i="1"/>
  <c r="N283" i="1"/>
  <c r="O283" i="1"/>
  <c r="S283" i="1"/>
  <c r="T283" i="1"/>
  <c r="X283" i="1"/>
  <c r="Y283" i="1"/>
  <c r="Z283" i="1"/>
  <c r="AD283" i="1"/>
  <c r="AE283" i="1"/>
  <c r="AF283" i="1"/>
  <c r="AG283" i="1"/>
  <c r="AH283" i="1"/>
  <c r="AI283" i="1"/>
  <c r="I284" i="1"/>
  <c r="J284" i="1"/>
  <c r="M284" i="1"/>
  <c r="N284" i="1"/>
  <c r="O284" i="1"/>
  <c r="S284" i="1"/>
  <c r="T284" i="1"/>
  <c r="X284" i="1"/>
  <c r="Y284" i="1"/>
  <c r="Z284" i="1"/>
  <c r="AD284" i="1"/>
  <c r="AE284" i="1"/>
  <c r="AF284" i="1"/>
  <c r="AG284" i="1"/>
  <c r="AH284" i="1"/>
  <c r="AI284" i="1"/>
  <c r="I285" i="1"/>
  <c r="J285" i="1"/>
  <c r="M285" i="1"/>
  <c r="N285" i="1"/>
  <c r="O285" i="1"/>
  <c r="S285" i="1"/>
  <c r="T285" i="1"/>
  <c r="X285" i="1"/>
  <c r="Y285" i="1"/>
  <c r="Z285" i="1"/>
  <c r="AD285" i="1"/>
  <c r="AE285" i="1"/>
  <c r="AF285" i="1"/>
  <c r="AG285" i="1"/>
  <c r="AH285" i="1"/>
  <c r="AI285" i="1"/>
  <c r="I286" i="1"/>
  <c r="J286" i="1"/>
  <c r="M286" i="1"/>
  <c r="N286" i="1"/>
  <c r="O286" i="1"/>
  <c r="S286" i="1"/>
  <c r="T286" i="1"/>
  <c r="X286" i="1"/>
  <c r="Y286" i="1"/>
  <c r="Z286" i="1"/>
  <c r="AD286" i="1"/>
  <c r="AE286" i="1"/>
  <c r="AF286" i="1"/>
  <c r="AG286" i="1"/>
  <c r="AH286" i="1"/>
  <c r="AI286" i="1"/>
  <c r="I287" i="1"/>
  <c r="J287" i="1"/>
  <c r="M287" i="1"/>
  <c r="N287" i="1"/>
  <c r="O287" i="1"/>
  <c r="S287" i="1"/>
  <c r="T287" i="1"/>
  <c r="X287" i="1"/>
  <c r="Y287" i="1"/>
  <c r="Z287" i="1"/>
  <c r="AD287" i="1"/>
  <c r="AE287" i="1"/>
  <c r="AF287" i="1"/>
  <c r="AG287" i="1"/>
  <c r="AH287" i="1"/>
  <c r="AI287" i="1"/>
  <c r="I288" i="1"/>
  <c r="J288" i="1"/>
  <c r="M288" i="1"/>
  <c r="N288" i="1"/>
  <c r="O288" i="1"/>
  <c r="S288" i="1"/>
  <c r="T288" i="1"/>
  <c r="X288" i="1"/>
  <c r="Y288" i="1"/>
  <c r="Z288" i="1"/>
  <c r="AD288" i="1"/>
  <c r="AE288" i="1"/>
  <c r="AF288" i="1"/>
  <c r="AG288" i="1"/>
  <c r="AH288" i="1"/>
  <c r="AI288" i="1"/>
  <c r="I289" i="1"/>
  <c r="J289" i="1"/>
  <c r="M289" i="1"/>
  <c r="N289" i="1"/>
  <c r="O289" i="1"/>
  <c r="S289" i="1"/>
  <c r="T289" i="1"/>
  <c r="X289" i="1"/>
  <c r="Y289" i="1"/>
  <c r="Z289" i="1"/>
  <c r="AD289" i="1"/>
  <c r="AE289" i="1"/>
  <c r="AF289" i="1"/>
  <c r="AG289" i="1"/>
  <c r="AH289" i="1"/>
  <c r="AI289" i="1"/>
  <c r="I290" i="1"/>
  <c r="J290" i="1"/>
  <c r="M290" i="1"/>
  <c r="N290" i="1"/>
  <c r="O290" i="1"/>
  <c r="S290" i="1"/>
  <c r="T290" i="1"/>
  <c r="X290" i="1"/>
  <c r="Y290" i="1"/>
  <c r="Z290" i="1"/>
  <c r="AD290" i="1"/>
  <c r="AE290" i="1"/>
  <c r="AF290" i="1"/>
  <c r="AG290" i="1"/>
  <c r="AH290" i="1"/>
  <c r="AI290" i="1"/>
  <c r="I291" i="1"/>
  <c r="J291" i="1"/>
  <c r="M291" i="1"/>
  <c r="N291" i="1"/>
  <c r="O291" i="1"/>
  <c r="S291" i="1"/>
  <c r="T291" i="1"/>
  <c r="X291" i="1"/>
  <c r="Y291" i="1"/>
  <c r="Z291" i="1"/>
  <c r="AD291" i="1"/>
  <c r="AE291" i="1"/>
  <c r="AF291" i="1"/>
  <c r="AG291" i="1"/>
  <c r="AH291" i="1"/>
  <c r="AI291" i="1"/>
  <c r="I292" i="1"/>
  <c r="J292" i="1"/>
  <c r="M292" i="1"/>
  <c r="N292" i="1"/>
  <c r="O292" i="1"/>
  <c r="S292" i="1"/>
  <c r="T292" i="1"/>
  <c r="X292" i="1"/>
  <c r="Y292" i="1"/>
  <c r="Z292" i="1"/>
  <c r="AD292" i="1"/>
  <c r="AE292" i="1"/>
  <c r="AF292" i="1"/>
  <c r="AG292" i="1"/>
  <c r="AH292" i="1"/>
  <c r="AI292" i="1"/>
  <c r="I293" i="1"/>
  <c r="J293" i="1"/>
  <c r="M293" i="1"/>
  <c r="N293" i="1"/>
  <c r="O293" i="1"/>
  <c r="S293" i="1"/>
  <c r="T293" i="1"/>
  <c r="X293" i="1"/>
  <c r="Y293" i="1"/>
  <c r="Z293" i="1"/>
  <c r="AD293" i="1"/>
  <c r="AE293" i="1"/>
  <c r="AF293" i="1"/>
  <c r="AG293" i="1"/>
  <c r="AH293" i="1"/>
  <c r="AI293" i="1"/>
  <c r="I294" i="1"/>
  <c r="J294" i="1"/>
  <c r="M294" i="1"/>
  <c r="N294" i="1"/>
  <c r="O294" i="1"/>
  <c r="S294" i="1"/>
  <c r="T294" i="1"/>
  <c r="X294" i="1"/>
  <c r="Y294" i="1"/>
  <c r="Z294" i="1"/>
  <c r="AD294" i="1"/>
  <c r="AE294" i="1"/>
  <c r="AF294" i="1"/>
  <c r="AG294" i="1"/>
  <c r="AH294" i="1"/>
  <c r="AI294" i="1"/>
  <c r="I295" i="1"/>
  <c r="J295" i="1"/>
  <c r="M295" i="1"/>
  <c r="N295" i="1"/>
  <c r="O295" i="1"/>
  <c r="S295" i="1"/>
  <c r="T295" i="1"/>
  <c r="X295" i="1"/>
  <c r="Y295" i="1"/>
  <c r="Z295" i="1"/>
  <c r="AD295" i="1"/>
  <c r="AE295" i="1"/>
  <c r="AF295" i="1"/>
  <c r="AG295" i="1"/>
  <c r="AH295" i="1"/>
  <c r="AI295" i="1"/>
  <c r="I296" i="1"/>
  <c r="J296" i="1"/>
  <c r="M296" i="1"/>
  <c r="N296" i="1"/>
  <c r="O296" i="1"/>
  <c r="S296" i="1"/>
  <c r="T296" i="1"/>
  <c r="X296" i="1"/>
  <c r="Y296" i="1"/>
  <c r="Z296" i="1"/>
  <c r="AD296" i="1"/>
  <c r="AE296" i="1"/>
  <c r="AF296" i="1"/>
  <c r="AG296" i="1"/>
  <c r="AH296" i="1"/>
  <c r="AI296" i="1"/>
  <c r="I297" i="1"/>
  <c r="J297" i="1"/>
  <c r="M297" i="1"/>
  <c r="N297" i="1"/>
  <c r="O297" i="1"/>
  <c r="S297" i="1"/>
  <c r="T297" i="1"/>
  <c r="X297" i="1"/>
  <c r="Y297" i="1"/>
  <c r="Z297" i="1"/>
  <c r="AD297" i="1"/>
  <c r="AE297" i="1"/>
  <c r="AF297" i="1"/>
  <c r="AG297" i="1"/>
  <c r="AH297" i="1"/>
  <c r="AI297" i="1"/>
  <c r="I298" i="1"/>
  <c r="J298" i="1"/>
  <c r="M298" i="1"/>
  <c r="N298" i="1"/>
  <c r="O298" i="1"/>
  <c r="S298" i="1"/>
  <c r="T298" i="1"/>
  <c r="X298" i="1"/>
  <c r="Y298" i="1"/>
  <c r="Z298" i="1"/>
  <c r="AD298" i="1"/>
  <c r="AE298" i="1"/>
  <c r="AF298" i="1"/>
  <c r="AG298" i="1"/>
  <c r="AH298" i="1"/>
  <c r="AI298" i="1"/>
  <c r="I299" i="1"/>
  <c r="J299" i="1"/>
  <c r="M299" i="1"/>
  <c r="N299" i="1"/>
  <c r="O299" i="1"/>
  <c r="S299" i="1"/>
  <c r="T299" i="1"/>
  <c r="X299" i="1"/>
  <c r="Y299" i="1"/>
  <c r="Z299" i="1"/>
  <c r="AD299" i="1"/>
  <c r="AE299" i="1"/>
  <c r="AF299" i="1"/>
  <c r="AG299" i="1"/>
  <c r="AH299" i="1"/>
  <c r="AI299" i="1"/>
  <c r="I300" i="1"/>
  <c r="J300" i="1"/>
  <c r="M300" i="1"/>
  <c r="N300" i="1"/>
  <c r="O300" i="1"/>
  <c r="S300" i="1"/>
  <c r="T300" i="1"/>
  <c r="X300" i="1"/>
  <c r="Y300" i="1"/>
  <c r="Z300" i="1"/>
  <c r="AD300" i="1"/>
  <c r="AE300" i="1"/>
  <c r="AF300" i="1"/>
  <c r="AG300" i="1"/>
  <c r="AH300" i="1"/>
  <c r="AI300" i="1"/>
  <c r="I301" i="1"/>
  <c r="J301" i="1"/>
  <c r="M301" i="1"/>
  <c r="N301" i="1"/>
  <c r="O301" i="1"/>
  <c r="S301" i="1"/>
  <c r="T301" i="1"/>
  <c r="X301" i="1"/>
  <c r="Y301" i="1"/>
  <c r="Z301" i="1"/>
  <c r="AD301" i="1"/>
  <c r="AE301" i="1"/>
  <c r="AF301" i="1"/>
  <c r="AG301" i="1"/>
  <c r="AH301" i="1"/>
  <c r="AI301" i="1"/>
  <c r="I302" i="1"/>
  <c r="J302" i="1"/>
  <c r="M302" i="1"/>
  <c r="N302" i="1"/>
  <c r="O302" i="1"/>
  <c r="S302" i="1"/>
  <c r="T302" i="1"/>
  <c r="X302" i="1"/>
  <c r="Y302" i="1"/>
  <c r="Z302" i="1"/>
  <c r="AD302" i="1"/>
  <c r="AE302" i="1"/>
  <c r="AF302" i="1"/>
  <c r="AG302" i="1"/>
  <c r="AH302" i="1"/>
  <c r="AI302" i="1"/>
  <c r="I303" i="1"/>
  <c r="J303" i="1"/>
  <c r="M303" i="1"/>
  <c r="N303" i="1"/>
  <c r="O303" i="1"/>
  <c r="S303" i="1"/>
  <c r="T303" i="1"/>
  <c r="X303" i="1"/>
  <c r="Y303" i="1"/>
  <c r="Z303" i="1"/>
  <c r="AD303" i="1"/>
  <c r="AE303" i="1"/>
  <c r="AF303" i="1"/>
  <c r="AG303" i="1"/>
  <c r="AH303" i="1"/>
  <c r="AI303" i="1"/>
  <c r="I304" i="1"/>
  <c r="J304" i="1"/>
  <c r="M304" i="1"/>
  <c r="N304" i="1"/>
  <c r="O304" i="1"/>
  <c r="S304" i="1"/>
  <c r="T304" i="1"/>
  <c r="X304" i="1"/>
  <c r="Y304" i="1"/>
  <c r="Z304" i="1"/>
  <c r="AD304" i="1"/>
  <c r="AE304" i="1"/>
  <c r="AF304" i="1"/>
  <c r="AG304" i="1"/>
  <c r="AH304" i="1"/>
  <c r="AI304" i="1"/>
  <c r="I305" i="1"/>
  <c r="J305" i="1"/>
  <c r="M305" i="1"/>
  <c r="N305" i="1"/>
  <c r="O305" i="1"/>
  <c r="S305" i="1"/>
  <c r="T305" i="1"/>
  <c r="X305" i="1"/>
  <c r="Y305" i="1"/>
  <c r="Z305" i="1"/>
  <c r="AD305" i="1"/>
  <c r="AE305" i="1"/>
  <c r="AF305" i="1"/>
  <c r="AG305" i="1"/>
  <c r="AH305" i="1"/>
  <c r="AI305" i="1"/>
  <c r="I306" i="1"/>
  <c r="J306" i="1"/>
  <c r="M306" i="1"/>
  <c r="N306" i="1"/>
  <c r="O306" i="1"/>
  <c r="S306" i="1"/>
  <c r="T306" i="1"/>
  <c r="X306" i="1"/>
  <c r="Y306" i="1"/>
  <c r="Z306" i="1"/>
  <c r="AD306" i="1"/>
  <c r="AE306" i="1"/>
  <c r="AF306" i="1"/>
  <c r="AG306" i="1"/>
  <c r="AH306" i="1"/>
  <c r="AI306" i="1"/>
  <c r="I307" i="1"/>
  <c r="J307" i="1"/>
  <c r="M307" i="1"/>
  <c r="N307" i="1"/>
  <c r="O307" i="1"/>
  <c r="S307" i="1"/>
  <c r="T307" i="1"/>
  <c r="X307" i="1"/>
  <c r="Y307" i="1"/>
  <c r="Z307" i="1"/>
  <c r="AD307" i="1"/>
  <c r="AE307" i="1"/>
  <c r="AF307" i="1"/>
  <c r="AG307" i="1"/>
  <c r="AH307" i="1"/>
  <c r="AI307" i="1"/>
  <c r="I308" i="1"/>
  <c r="J308" i="1"/>
  <c r="M308" i="1"/>
  <c r="N308" i="1"/>
  <c r="O308" i="1"/>
  <c r="S308" i="1"/>
  <c r="T308" i="1"/>
  <c r="X308" i="1"/>
  <c r="Y308" i="1"/>
  <c r="Z308" i="1"/>
  <c r="AD308" i="1"/>
  <c r="AE308" i="1"/>
  <c r="AF308" i="1"/>
  <c r="AG308" i="1"/>
  <c r="AH308" i="1"/>
  <c r="AI308" i="1"/>
  <c r="I309" i="1"/>
  <c r="J309" i="1"/>
  <c r="M309" i="1"/>
  <c r="N309" i="1"/>
  <c r="O309" i="1"/>
  <c r="S309" i="1"/>
  <c r="T309" i="1"/>
  <c r="X309" i="1"/>
  <c r="Y309" i="1"/>
  <c r="Z309" i="1"/>
  <c r="AD309" i="1"/>
  <c r="AE309" i="1"/>
  <c r="AF309" i="1"/>
  <c r="AG309" i="1"/>
  <c r="AH309" i="1"/>
  <c r="AI309" i="1"/>
  <c r="I310" i="1"/>
  <c r="J310" i="1"/>
  <c r="M310" i="1"/>
  <c r="N310" i="1"/>
  <c r="O310" i="1"/>
  <c r="S310" i="1"/>
  <c r="T310" i="1"/>
  <c r="X310" i="1"/>
  <c r="Y310" i="1"/>
  <c r="Z310" i="1"/>
  <c r="AD310" i="1"/>
  <c r="AE310" i="1"/>
  <c r="AF310" i="1"/>
  <c r="AG310" i="1"/>
  <c r="AH310" i="1"/>
  <c r="AI310" i="1"/>
  <c r="I311" i="1"/>
  <c r="J311" i="1"/>
  <c r="M311" i="1"/>
  <c r="N311" i="1"/>
  <c r="O311" i="1"/>
  <c r="S311" i="1"/>
  <c r="T311" i="1"/>
  <c r="X311" i="1"/>
  <c r="Y311" i="1"/>
  <c r="Z311" i="1"/>
  <c r="AD311" i="1"/>
  <c r="AE311" i="1"/>
  <c r="AF311" i="1"/>
  <c r="AG311" i="1"/>
  <c r="AH311" i="1"/>
  <c r="AI311" i="1"/>
  <c r="I312" i="1"/>
  <c r="J312" i="1"/>
  <c r="M312" i="1"/>
  <c r="N312" i="1"/>
  <c r="O312" i="1"/>
  <c r="S312" i="1"/>
  <c r="T312" i="1"/>
  <c r="X312" i="1"/>
  <c r="Y312" i="1"/>
  <c r="Z312" i="1"/>
  <c r="AD312" i="1"/>
  <c r="AE312" i="1"/>
  <c r="AF312" i="1"/>
  <c r="AG312" i="1"/>
  <c r="AH312" i="1"/>
  <c r="AI312" i="1"/>
  <c r="I313" i="1"/>
  <c r="J313" i="1"/>
  <c r="M313" i="1"/>
  <c r="N313" i="1"/>
  <c r="O313" i="1"/>
  <c r="S313" i="1"/>
  <c r="T313" i="1"/>
  <c r="X313" i="1"/>
  <c r="Y313" i="1"/>
  <c r="Z313" i="1"/>
  <c r="AD313" i="1"/>
  <c r="AE313" i="1"/>
  <c r="AF313" i="1"/>
  <c r="AG313" i="1"/>
  <c r="AH313" i="1"/>
  <c r="AI313" i="1"/>
  <c r="I314" i="1"/>
  <c r="J314" i="1"/>
  <c r="M314" i="1"/>
  <c r="N314" i="1"/>
  <c r="O314" i="1"/>
  <c r="S314" i="1"/>
  <c r="T314" i="1"/>
  <c r="X314" i="1"/>
  <c r="Y314" i="1"/>
  <c r="Z314" i="1"/>
  <c r="AD314" i="1"/>
  <c r="AE314" i="1"/>
  <c r="AF314" i="1"/>
  <c r="AG314" i="1"/>
  <c r="AH314" i="1"/>
  <c r="AI314" i="1"/>
  <c r="I315" i="1"/>
  <c r="J315" i="1"/>
  <c r="M315" i="1"/>
  <c r="N315" i="1"/>
  <c r="O315" i="1"/>
  <c r="S315" i="1"/>
  <c r="T315" i="1"/>
  <c r="X315" i="1"/>
  <c r="Y315" i="1"/>
  <c r="Z315" i="1"/>
  <c r="AD315" i="1"/>
  <c r="AE315" i="1"/>
  <c r="AF315" i="1"/>
  <c r="AG315" i="1"/>
  <c r="AH315" i="1"/>
  <c r="AI315" i="1"/>
  <c r="I316" i="1"/>
  <c r="J316" i="1"/>
  <c r="M316" i="1"/>
  <c r="N316" i="1"/>
  <c r="O316" i="1"/>
  <c r="S316" i="1"/>
  <c r="T316" i="1"/>
  <c r="X316" i="1"/>
  <c r="Y316" i="1"/>
  <c r="Z316" i="1"/>
  <c r="AD316" i="1"/>
  <c r="AE316" i="1"/>
  <c r="AF316" i="1"/>
  <c r="AG316" i="1"/>
  <c r="AH316" i="1"/>
  <c r="AI316" i="1"/>
  <c r="I317" i="1"/>
  <c r="J317" i="1"/>
  <c r="M317" i="1"/>
  <c r="N317" i="1"/>
  <c r="O317" i="1"/>
  <c r="S317" i="1"/>
  <c r="T317" i="1"/>
  <c r="X317" i="1"/>
  <c r="Y317" i="1"/>
  <c r="Z317" i="1"/>
  <c r="AD317" i="1"/>
  <c r="AE317" i="1"/>
  <c r="AF317" i="1"/>
  <c r="AG317" i="1"/>
  <c r="AH317" i="1"/>
  <c r="AI317" i="1"/>
  <c r="I318" i="1"/>
  <c r="J318" i="1"/>
  <c r="M318" i="1"/>
  <c r="N318" i="1"/>
  <c r="O318" i="1"/>
  <c r="S318" i="1"/>
  <c r="T318" i="1"/>
  <c r="X318" i="1"/>
  <c r="Y318" i="1"/>
  <c r="Z318" i="1"/>
  <c r="AD318" i="1"/>
  <c r="AE318" i="1"/>
  <c r="AF318" i="1"/>
  <c r="AG318" i="1"/>
  <c r="AH318" i="1"/>
  <c r="AI318" i="1"/>
  <c r="I319" i="1"/>
  <c r="J319" i="1"/>
  <c r="M319" i="1"/>
  <c r="N319" i="1"/>
  <c r="O319" i="1"/>
  <c r="S319" i="1"/>
  <c r="T319" i="1"/>
  <c r="X319" i="1"/>
  <c r="Y319" i="1"/>
  <c r="Z319" i="1"/>
  <c r="AD319" i="1"/>
  <c r="AE319" i="1"/>
  <c r="AF319" i="1"/>
  <c r="AG319" i="1"/>
  <c r="AH319" i="1"/>
  <c r="AI319" i="1"/>
  <c r="I320" i="1"/>
  <c r="J320" i="1"/>
  <c r="M320" i="1"/>
  <c r="N320" i="1"/>
  <c r="O320" i="1"/>
  <c r="S320" i="1"/>
  <c r="T320" i="1"/>
  <c r="X320" i="1"/>
  <c r="Y320" i="1"/>
  <c r="Z320" i="1"/>
  <c r="AD320" i="1"/>
  <c r="AE320" i="1"/>
  <c r="AF320" i="1"/>
  <c r="AG320" i="1"/>
  <c r="AH320" i="1"/>
  <c r="AI320" i="1"/>
  <c r="I321" i="1"/>
  <c r="J321" i="1"/>
  <c r="M321" i="1"/>
  <c r="N321" i="1"/>
  <c r="O321" i="1"/>
  <c r="S321" i="1"/>
  <c r="T321" i="1"/>
  <c r="X321" i="1"/>
  <c r="Y321" i="1"/>
  <c r="Z321" i="1"/>
  <c r="AD321" i="1"/>
  <c r="AE321" i="1"/>
  <c r="AF321" i="1"/>
  <c r="AG321" i="1"/>
  <c r="AH321" i="1"/>
  <c r="AI321" i="1"/>
  <c r="I322" i="1"/>
  <c r="J322" i="1"/>
  <c r="M322" i="1"/>
  <c r="N322" i="1"/>
  <c r="O322" i="1"/>
  <c r="S322" i="1"/>
  <c r="T322" i="1"/>
  <c r="X322" i="1"/>
  <c r="Y322" i="1"/>
  <c r="Z322" i="1"/>
  <c r="AD322" i="1"/>
  <c r="AE322" i="1"/>
  <c r="AF322" i="1"/>
  <c r="AG322" i="1"/>
  <c r="AH322" i="1"/>
  <c r="AI322" i="1"/>
  <c r="I323" i="1"/>
  <c r="J323" i="1"/>
  <c r="M323" i="1"/>
  <c r="N323" i="1"/>
  <c r="O323" i="1"/>
  <c r="S323" i="1"/>
  <c r="T323" i="1"/>
  <c r="X323" i="1"/>
  <c r="Y323" i="1"/>
  <c r="Z323" i="1"/>
  <c r="AD323" i="1"/>
  <c r="AE323" i="1"/>
  <c r="AF323" i="1"/>
  <c r="AG323" i="1"/>
  <c r="AH323" i="1"/>
  <c r="AI323" i="1"/>
  <c r="I324" i="1"/>
  <c r="J324" i="1"/>
  <c r="M324" i="1"/>
  <c r="N324" i="1"/>
  <c r="O324" i="1"/>
  <c r="S324" i="1"/>
  <c r="T324" i="1"/>
  <c r="X324" i="1"/>
  <c r="Y324" i="1"/>
  <c r="Z324" i="1"/>
  <c r="AD324" i="1"/>
  <c r="AE324" i="1"/>
  <c r="AF324" i="1"/>
  <c r="AG324" i="1"/>
  <c r="AH324" i="1"/>
  <c r="AI324" i="1"/>
  <c r="I325" i="1"/>
  <c r="J325" i="1"/>
  <c r="M325" i="1"/>
  <c r="N325" i="1"/>
  <c r="O325" i="1"/>
  <c r="S325" i="1"/>
  <c r="T325" i="1"/>
  <c r="X325" i="1"/>
  <c r="Y325" i="1"/>
  <c r="Z325" i="1"/>
  <c r="AD325" i="1"/>
  <c r="AE325" i="1"/>
  <c r="AF325" i="1"/>
  <c r="AG325" i="1"/>
  <c r="AH325" i="1"/>
  <c r="AI325" i="1"/>
  <c r="I326" i="1"/>
  <c r="J326" i="1"/>
  <c r="M326" i="1"/>
  <c r="N326" i="1"/>
  <c r="O326" i="1"/>
  <c r="S326" i="1"/>
  <c r="T326" i="1"/>
  <c r="X326" i="1"/>
  <c r="Y326" i="1"/>
  <c r="Z326" i="1"/>
  <c r="AD326" i="1"/>
  <c r="AE326" i="1"/>
  <c r="AF326" i="1"/>
  <c r="AG326" i="1"/>
  <c r="AH326" i="1"/>
  <c r="AI326" i="1"/>
  <c r="I327" i="1"/>
  <c r="J327" i="1"/>
  <c r="M327" i="1"/>
  <c r="N327" i="1"/>
  <c r="O327" i="1"/>
  <c r="S327" i="1"/>
  <c r="T327" i="1"/>
  <c r="X327" i="1"/>
  <c r="Y327" i="1"/>
  <c r="Z327" i="1"/>
  <c r="AD327" i="1"/>
  <c r="AE327" i="1"/>
  <c r="AF327" i="1"/>
  <c r="AG327" i="1"/>
  <c r="AH327" i="1"/>
  <c r="AI327" i="1"/>
  <c r="I328" i="1"/>
  <c r="J328" i="1"/>
  <c r="M328" i="1"/>
  <c r="N328" i="1"/>
  <c r="O328" i="1"/>
  <c r="S328" i="1"/>
  <c r="T328" i="1"/>
  <c r="X328" i="1"/>
  <c r="Y328" i="1"/>
  <c r="Z328" i="1"/>
  <c r="AD328" i="1"/>
  <c r="AE328" i="1"/>
  <c r="AF328" i="1"/>
  <c r="AG328" i="1"/>
  <c r="AH328" i="1"/>
  <c r="AI328" i="1"/>
  <c r="I329" i="1"/>
  <c r="J329" i="1"/>
  <c r="M329" i="1"/>
  <c r="N329" i="1"/>
  <c r="O329" i="1"/>
  <c r="S329" i="1"/>
  <c r="T329" i="1"/>
  <c r="X329" i="1"/>
  <c r="Y329" i="1"/>
  <c r="Z329" i="1"/>
  <c r="AD329" i="1"/>
  <c r="AE329" i="1"/>
  <c r="AF329" i="1"/>
  <c r="AG329" i="1"/>
  <c r="AH329" i="1"/>
  <c r="AI329" i="1"/>
  <c r="I330" i="1"/>
  <c r="J330" i="1"/>
  <c r="M330" i="1"/>
  <c r="N330" i="1"/>
  <c r="O330" i="1"/>
  <c r="S330" i="1"/>
  <c r="T330" i="1"/>
  <c r="X330" i="1"/>
  <c r="Y330" i="1"/>
  <c r="Z330" i="1"/>
  <c r="AD330" i="1"/>
  <c r="AE330" i="1"/>
  <c r="AF330" i="1"/>
  <c r="AG330" i="1"/>
  <c r="AH330" i="1"/>
  <c r="AI330" i="1"/>
  <c r="I331" i="1"/>
  <c r="J331" i="1"/>
  <c r="M331" i="1"/>
  <c r="N331" i="1"/>
  <c r="O331" i="1"/>
  <c r="S331" i="1"/>
  <c r="T331" i="1"/>
  <c r="X331" i="1"/>
  <c r="Y331" i="1"/>
  <c r="Z331" i="1"/>
  <c r="AD331" i="1"/>
  <c r="AE331" i="1"/>
  <c r="AF331" i="1"/>
  <c r="AG331" i="1"/>
  <c r="AH331" i="1"/>
  <c r="AI331" i="1"/>
  <c r="I332" i="1"/>
  <c r="J332" i="1"/>
  <c r="M332" i="1"/>
  <c r="N332" i="1"/>
  <c r="O332" i="1"/>
  <c r="S332" i="1"/>
  <c r="T332" i="1"/>
  <c r="X332" i="1"/>
  <c r="Y332" i="1"/>
  <c r="Z332" i="1"/>
  <c r="AD332" i="1"/>
  <c r="AE332" i="1"/>
  <c r="AF332" i="1"/>
  <c r="AG332" i="1"/>
  <c r="AH332" i="1"/>
  <c r="AI332" i="1"/>
  <c r="I333" i="1"/>
  <c r="J333" i="1"/>
  <c r="M333" i="1"/>
  <c r="N333" i="1"/>
  <c r="O333" i="1"/>
  <c r="S333" i="1"/>
  <c r="T333" i="1"/>
  <c r="X333" i="1"/>
  <c r="Y333" i="1"/>
  <c r="Z333" i="1"/>
  <c r="AD333" i="1"/>
  <c r="AE333" i="1"/>
  <c r="AF333" i="1"/>
  <c r="AG333" i="1"/>
  <c r="AH333" i="1"/>
  <c r="AI333" i="1"/>
  <c r="I334" i="1"/>
  <c r="J334" i="1"/>
  <c r="M334" i="1"/>
  <c r="N334" i="1"/>
  <c r="O334" i="1"/>
  <c r="S334" i="1"/>
  <c r="T334" i="1"/>
  <c r="X334" i="1"/>
  <c r="Y334" i="1"/>
  <c r="Z334" i="1"/>
  <c r="AD334" i="1"/>
  <c r="AE334" i="1"/>
  <c r="AF334" i="1"/>
  <c r="AG334" i="1"/>
  <c r="AH334" i="1"/>
  <c r="AI334" i="1"/>
  <c r="I335" i="1"/>
  <c r="J335" i="1"/>
  <c r="M335" i="1"/>
  <c r="N335" i="1"/>
  <c r="O335" i="1"/>
  <c r="S335" i="1"/>
  <c r="T335" i="1"/>
  <c r="X335" i="1"/>
  <c r="Y335" i="1"/>
  <c r="Z335" i="1"/>
  <c r="AD335" i="1"/>
  <c r="AE335" i="1"/>
  <c r="AF335" i="1"/>
  <c r="AG335" i="1"/>
  <c r="AH335" i="1"/>
  <c r="AI335" i="1"/>
  <c r="I336" i="1"/>
  <c r="J336" i="1"/>
  <c r="M336" i="1"/>
  <c r="N336" i="1"/>
  <c r="O336" i="1"/>
  <c r="S336" i="1"/>
  <c r="T336" i="1"/>
  <c r="X336" i="1"/>
  <c r="Y336" i="1"/>
  <c r="Z336" i="1"/>
  <c r="AD336" i="1"/>
  <c r="AE336" i="1"/>
  <c r="AF336" i="1"/>
  <c r="AG336" i="1"/>
  <c r="AH336" i="1"/>
  <c r="AI336" i="1"/>
  <c r="I337" i="1"/>
  <c r="J337" i="1"/>
  <c r="M337" i="1"/>
  <c r="N337" i="1"/>
  <c r="O337" i="1"/>
  <c r="S337" i="1"/>
  <c r="T337" i="1"/>
  <c r="X337" i="1"/>
  <c r="Y337" i="1"/>
  <c r="Z337" i="1"/>
  <c r="AD337" i="1"/>
  <c r="AE337" i="1"/>
  <c r="AF337" i="1"/>
  <c r="AG337" i="1"/>
  <c r="AH337" i="1"/>
  <c r="AI337" i="1"/>
  <c r="I338" i="1"/>
  <c r="J338" i="1"/>
  <c r="M338" i="1"/>
  <c r="N338" i="1"/>
  <c r="O338" i="1"/>
  <c r="S338" i="1"/>
  <c r="T338" i="1"/>
  <c r="X338" i="1"/>
  <c r="Y338" i="1"/>
  <c r="Z338" i="1"/>
  <c r="AD338" i="1"/>
  <c r="AE338" i="1"/>
  <c r="AF338" i="1"/>
  <c r="AG338" i="1"/>
  <c r="AH338" i="1"/>
  <c r="AI338" i="1"/>
  <c r="I339" i="1"/>
  <c r="J339" i="1"/>
  <c r="M339" i="1"/>
  <c r="N339" i="1"/>
  <c r="O339" i="1"/>
  <c r="S339" i="1"/>
  <c r="T339" i="1"/>
  <c r="X339" i="1"/>
  <c r="Y339" i="1"/>
  <c r="Z339" i="1"/>
  <c r="AD339" i="1"/>
  <c r="AE339" i="1"/>
  <c r="AF339" i="1"/>
  <c r="AG339" i="1"/>
  <c r="AH339" i="1"/>
  <c r="AI339" i="1"/>
  <c r="I340" i="1"/>
  <c r="J340" i="1"/>
  <c r="M340" i="1"/>
  <c r="N340" i="1"/>
  <c r="O340" i="1"/>
  <c r="S340" i="1"/>
  <c r="T340" i="1"/>
  <c r="X340" i="1"/>
  <c r="Y340" i="1"/>
  <c r="Z340" i="1"/>
  <c r="AD340" i="1"/>
  <c r="AE340" i="1"/>
  <c r="AF340" i="1"/>
  <c r="AG340" i="1"/>
  <c r="AH340" i="1"/>
  <c r="AI340" i="1"/>
  <c r="I341" i="1"/>
  <c r="J341" i="1"/>
  <c r="M341" i="1"/>
  <c r="N341" i="1"/>
  <c r="O341" i="1"/>
  <c r="S341" i="1"/>
  <c r="T341" i="1"/>
  <c r="X341" i="1"/>
  <c r="Y341" i="1"/>
  <c r="Z341" i="1"/>
  <c r="AD341" i="1"/>
  <c r="AE341" i="1"/>
  <c r="AF341" i="1"/>
  <c r="AG341" i="1"/>
  <c r="AH341" i="1"/>
  <c r="AI341" i="1"/>
  <c r="I342" i="1"/>
  <c r="J342" i="1"/>
  <c r="M342" i="1"/>
  <c r="N342" i="1"/>
  <c r="O342" i="1"/>
  <c r="S342" i="1"/>
  <c r="T342" i="1"/>
  <c r="X342" i="1"/>
  <c r="Y342" i="1"/>
  <c r="Z342" i="1"/>
  <c r="AD342" i="1"/>
  <c r="AE342" i="1"/>
  <c r="AF342" i="1"/>
  <c r="AG342" i="1"/>
  <c r="AH342" i="1"/>
  <c r="AI342" i="1"/>
  <c r="I343" i="1"/>
  <c r="J343" i="1"/>
  <c r="M343" i="1"/>
  <c r="N343" i="1"/>
  <c r="O343" i="1"/>
  <c r="S343" i="1"/>
  <c r="T343" i="1"/>
  <c r="X343" i="1"/>
  <c r="Y343" i="1"/>
  <c r="Z343" i="1"/>
  <c r="AD343" i="1"/>
  <c r="AE343" i="1"/>
  <c r="AF343" i="1"/>
  <c r="AG343" i="1"/>
  <c r="AH343" i="1"/>
  <c r="AI343" i="1"/>
  <c r="I344" i="1"/>
  <c r="J344" i="1"/>
  <c r="M344" i="1"/>
  <c r="N344" i="1"/>
  <c r="O344" i="1"/>
  <c r="S344" i="1"/>
  <c r="T344" i="1"/>
  <c r="X344" i="1"/>
  <c r="Y344" i="1"/>
  <c r="Z344" i="1"/>
  <c r="AD344" i="1"/>
  <c r="AE344" i="1"/>
  <c r="AF344" i="1"/>
  <c r="AG344" i="1"/>
  <c r="AH344" i="1"/>
  <c r="AI344" i="1"/>
  <c r="I345" i="1"/>
  <c r="J345" i="1"/>
  <c r="M345" i="1"/>
  <c r="N345" i="1"/>
  <c r="O345" i="1"/>
  <c r="S345" i="1"/>
  <c r="T345" i="1"/>
  <c r="X345" i="1"/>
  <c r="Y345" i="1"/>
  <c r="Z345" i="1"/>
  <c r="AD345" i="1"/>
  <c r="AE345" i="1"/>
  <c r="AF345" i="1"/>
  <c r="AG345" i="1"/>
  <c r="AH345" i="1"/>
  <c r="AI345" i="1"/>
  <c r="I346" i="1"/>
  <c r="J346" i="1"/>
  <c r="M346" i="1"/>
  <c r="N346" i="1"/>
  <c r="O346" i="1"/>
  <c r="S346" i="1"/>
  <c r="T346" i="1"/>
  <c r="X346" i="1"/>
  <c r="Y346" i="1"/>
  <c r="Z346" i="1"/>
  <c r="AD346" i="1"/>
  <c r="AE346" i="1"/>
  <c r="AF346" i="1"/>
  <c r="AG346" i="1"/>
  <c r="AH346" i="1"/>
  <c r="AI346" i="1"/>
  <c r="I347" i="1"/>
  <c r="J347" i="1"/>
  <c r="M347" i="1"/>
  <c r="N347" i="1"/>
  <c r="O347" i="1"/>
  <c r="S347" i="1"/>
  <c r="T347" i="1"/>
  <c r="X347" i="1"/>
  <c r="Y347" i="1"/>
  <c r="Z347" i="1"/>
  <c r="AD347" i="1"/>
  <c r="AE347" i="1"/>
  <c r="AF347" i="1"/>
  <c r="AG347" i="1"/>
  <c r="AH347" i="1"/>
  <c r="AI347" i="1"/>
  <c r="I348" i="1"/>
  <c r="J348" i="1"/>
  <c r="M348" i="1"/>
  <c r="N348" i="1"/>
  <c r="O348" i="1"/>
  <c r="S348" i="1"/>
  <c r="T348" i="1"/>
  <c r="X348" i="1"/>
  <c r="Y348" i="1"/>
  <c r="Z348" i="1"/>
  <c r="AD348" i="1"/>
  <c r="AE348" i="1"/>
  <c r="AF348" i="1"/>
  <c r="AG348" i="1"/>
  <c r="AH348" i="1"/>
  <c r="AI348" i="1"/>
  <c r="I349" i="1"/>
  <c r="J349" i="1"/>
  <c r="M349" i="1"/>
  <c r="N349" i="1"/>
  <c r="O349" i="1"/>
  <c r="S349" i="1"/>
  <c r="T349" i="1"/>
  <c r="X349" i="1"/>
  <c r="Y349" i="1"/>
  <c r="Z349" i="1"/>
  <c r="AD349" i="1"/>
  <c r="AE349" i="1"/>
  <c r="AF349" i="1"/>
  <c r="AG349" i="1"/>
  <c r="AH349" i="1"/>
  <c r="AI349" i="1"/>
  <c r="I350" i="1"/>
  <c r="J350" i="1"/>
  <c r="M350" i="1"/>
  <c r="N350" i="1"/>
  <c r="O350" i="1"/>
  <c r="S350" i="1"/>
  <c r="T350" i="1"/>
  <c r="X350" i="1"/>
  <c r="Y350" i="1"/>
  <c r="Z350" i="1"/>
  <c r="AD350" i="1"/>
  <c r="AE350" i="1"/>
  <c r="AF350" i="1"/>
  <c r="AG350" i="1"/>
  <c r="AH350" i="1"/>
  <c r="AI350" i="1"/>
  <c r="I351" i="1"/>
  <c r="J351" i="1"/>
  <c r="M351" i="1"/>
  <c r="N351" i="1"/>
  <c r="O351" i="1"/>
  <c r="S351" i="1"/>
  <c r="T351" i="1"/>
  <c r="X351" i="1"/>
  <c r="Y351" i="1"/>
  <c r="Z351" i="1"/>
  <c r="AD351" i="1"/>
  <c r="AE351" i="1"/>
  <c r="AF351" i="1"/>
  <c r="AG351" i="1"/>
  <c r="AH351" i="1"/>
  <c r="AI351" i="1"/>
  <c r="I352" i="1"/>
  <c r="J352" i="1"/>
  <c r="M352" i="1"/>
  <c r="N352" i="1"/>
  <c r="O352" i="1"/>
  <c r="S352" i="1"/>
  <c r="T352" i="1"/>
  <c r="X352" i="1"/>
  <c r="Y352" i="1"/>
  <c r="Z352" i="1"/>
  <c r="AD352" i="1"/>
  <c r="AE352" i="1"/>
  <c r="AF352" i="1"/>
  <c r="AG352" i="1"/>
  <c r="AH352" i="1"/>
  <c r="AI352" i="1"/>
  <c r="I353" i="1"/>
  <c r="J353" i="1"/>
  <c r="M353" i="1"/>
  <c r="N353" i="1"/>
  <c r="O353" i="1"/>
  <c r="S353" i="1"/>
  <c r="T353" i="1"/>
  <c r="X353" i="1"/>
  <c r="Y353" i="1"/>
  <c r="Z353" i="1"/>
  <c r="AD353" i="1"/>
  <c r="AE353" i="1"/>
  <c r="AF353" i="1"/>
  <c r="AG353" i="1"/>
  <c r="AH353" i="1"/>
  <c r="AI353" i="1"/>
  <c r="I354" i="1"/>
  <c r="J354" i="1"/>
  <c r="M354" i="1"/>
  <c r="N354" i="1"/>
  <c r="O354" i="1"/>
  <c r="S354" i="1"/>
  <c r="T354" i="1"/>
  <c r="X354" i="1"/>
  <c r="Y354" i="1"/>
  <c r="Z354" i="1"/>
  <c r="AD354" i="1"/>
  <c r="AE354" i="1"/>
  <c r="AF354" i="1"/>
  <c r="AG354" i="1"/>
  <c r="AH354" i="1"/>
  <c r="AI354" i="1"/>
  <c r="I355" i="1"/>
  <c r="J355" i="1"/>
  <c r="M355" i="1"/>
  <c r="N355" i="1"/>
  <c r="O355" i="1"/>
  <c r="S355" i="1"/>
  <c r="T355" i="1"/>
  <c r="X355" i="1"/>
  <c r="Y355" i="1"/>
  <c r="Z355" i="1"/>
  <c r="AD355" i="1"/>
  <c r="AE355" i="1"/>
  <c r="AF355" i="1"/>
  <c r="AG355" i="1"/>
  <c r="AH355" i="1"/>
  <c r="AI355" i="1"/>
  <c r="I356" i="1"/>
  <c r="J356" i="1"/>
  <c r="M356" i="1"/>
  <c r="N356" i="1"/>
  <c r="O356" i="1"/>
  <c r="S356" i="1"/>
  <c r="T356" i="1"/>
  <c r="X356" i="1"/>
  <c r="Y356" i="1"/>
  <c r="Z356" i="1"/>
  <c r="AD356" i="1"/>
  <c r="AE356" i="1"/>
  <c r="AF356" i="1"/>
  <c r="AG356" i="1"/>
  <c r="AH356" i="1"/>
  <c r="AI356" i="1"/>
  <c r="I357" i="1"/>
  <c r="J357" i="1"/>
  <c r="M357" i="1"/>
  <c r="N357" i="1"/>
  <c r="O357" i="1"/>
  <c r="S357" i="1"/>
  <c r="T357" i="1"/>
  <c r="X357" i="1"/>
  <c r="Y357" i="1"/>
  <c r="Z357" i="1"/>
  <c r="AD357" i="1"/>
  <c r="AE357" i="1"/>
  <c r="AF357" i="1"/>
  <c r="AG357" i="1"/>
  <c r="AH357" i="1"/>
  <c r="AI357" i="1"/>
  <c r="I358" i="1"/>
  <c r="J358" i="1"/>
  <c r="M358" i="1"/>
  <c r="N358" i="1"/>
  <c r="O358" i="1"/>
  <c r="S358" i="1"/>
  <c r="T358" i="1"/>
  <c r="X358" i="1"/>
  <c r="Y358" i="1"/>
  <c r="Z358" i="1"/>
  <c r="AD358" i="1"/>
  <c r="AE358" i="1"/>
  <c r="AF358" i="1"/>
  <c r="AG358" i="1"/>
  <c r="AH358" i="1"/>
  <c r="AI358" i="1"/>
  <c r="I359" i="1"/>
  <c r="J359" i="1"/>
  <c r="M359" i="1"/>
  <c r="N359" i="1"/>
  <c r="O359" i="1"/>
  <c r="S359" i="1"/>
  <c r="T359" i="1"/>
  <c r="X359" i="1"/>
  <c r="Y359" i="1"/>
  <c r="Z359" i="1"/>
  <c r="AD359" i="1"/>
  <c r="AE359" i="1"/>
  <c r="AF359" i="1"/>
  <c r="AG359" i="1"/>
  <c r="AH359" i="1"/>
  <c r="AI359" i="1"/>
  <c r="I360" i="1"/>
  <c r="J360" i="1"/>
  <c r="M360" i="1"/>
  <c r="N360" i="1"/>
  <c r="O360" i="1"/>
  <c r="S360" i="1"/>
  <c r="T360" i="1"/>
  <c r="X360" i="1"/>
  <c r="Y360" i="1"/>
  <c r="Z360" i="1"/>
  <c r="AD360" i="1"/>
  <c r="AE360" i="1"/>
  <c r="AF360" i="1"/>
  <c r="AG360" i="1"/>
  <c r="AH360" i="1"/>
  <c r="AI360" i="1"/>
  <c r="I361" i="1"/>
  <c r="J361" i="1"/>
  <c r="M361" i="1"/>
  <c r="N361" i="1"/>
  <c r="O361" i="1"/>
  <c r="S361" i="1"/>
  <c r="T361" i="1"/>
  <c r="X361" i="1"/>
  <c r="Y361" i="1"/>
  <c r="Z361" i="1"/>
  <c r="AD361" i="1"/>
  <c r="AE361" i="1"/>
  <c r="AF361" i="1"/>
  <c r="AG361" i="1"/>
  <c r="AH361" i="1"/>
  <c r="AI361" i="1"/>
  <c r="I362" i="1"/>
  <c r="J362" i="1"/>
  <c r="M362" i="1"/>
  <c r="N362" i="1"/>
  <c r="O362" i="1"/>
  <c r="S362" i="1"/>
  <c r="T362" i="1"/>
  <c r="X362" i="1"/>
  <c r="Y362" i="1"/>
  <c r="Z362" i="1"/>
  <c r="AD362" i="1"/>
  <c r="AE362" i="1"/>
  <c r="AF362" i="1"/>
  <c r="AG362" i="1"/>
  <c r="AH362" i="1"/>
  <c r="AI362" i="1"/>
  <c r="I363" i="1"/>
  <c r="J363" i="1"/>
  <c r="M363" i="1"/>
  <c r="N363" i="1"/>
  <c r="O363" i="1"/>
  <c r="S363" i="1"/>
  <c r="T363" i="1"/>
  <c r="X363" i="1"/>
  <c r="Y363" i="1"/>
  <c r="Z363" i="1"/>
  <c r="AD363" i="1"/>
  <c r="AE363" i="1"/>
  <c r="AF363" i="1"/>
  <c r="AG363" i="1"/>
  <c r="AH363" i="1"/>
  <c r="AI363" i="1"/>
  <c r="I364" i="1"/>
  <c r="J364" i="1"/>
  <c r="M364" i="1"/>
  <c r="N364" i="1"/>
  <c r="O364" i="1"/>
  <c r="S364" i="1"/>
  <c r="T364" i="1"/>
  <c r="X364" i="1"/>
  <c r="Y364" i="1"/>
  <c r="Z364" i="1"/>
  <c r="AD364" i="1"/>
  <c r="AE364" i="1"/>
  <c r="AF364" i="1"/>
  <c r="AG364" i="1"/>
  <c r="AH364" i="1"/>
  <c r="AI364" i="1"/>
  <c r="I365" i="1"/>
  <c r="J365" i="1"/>
  <c r="M365" i="1"/>
  <c r="N365" i="1"/>
  <c r="O365" i="1"/>
  <c r="S365" i="1"/>
  <c r="T365" i="1"/>
  <c r="X365" i="1"/>
  <c r="Y365" i="1"/>
  <c r="Z365" i="1"/>
  <c r="AD365" i="1"/>
  <c r="AE365" i="1"/>
  <c r="AF365" i="1"/>
  <c r="AG365" i="1"/>
  <c r="AH365" i="1"/>
  <c r="AI365" i="1"/>
  <c r="I366" i="1"/>
  <c r="J366" i="1"/>
  <c r="M366" i="1"/>
  <c r="N366" i="1"/>
  <c r="O366" i="1"/>
  <c r="S366" i="1"/>
  <c r="T366" i="1"/>
  <c r="X366" i="1"/>
  <c r="Y366" i="1"/>
  <c r="Z366" i="1"/>
  <c r="AD366" i="1"/>
  <c r="AE366" i="1"/>
  <c r="AF366" i="1"/>
  <c r="AG366" i="1"/>
  <c r="AH366" i="1"/>
  <c r="AI366" i="1"/>
  <c r="I367" i="1"/>
  <c r="J367" i="1"/>
  <c r="M367" i="1"/>
  <c r="N367" i="1"/>
  <c r="O367" i="1"/>
  <c r="S367" i="1"/>
  <c r="T367" i="1"/>
  <c r="X367" i="1"/>
  <c r="Y367" i="1"/>
  <c r="Z367" i="1"/>
  <c r="AD367" i="1"/>
  <c r="AE367" i="1"/>
  <c r="AF367" i="1"/>
  <c r="AG367" i="1"/>
  <c r="AH367" i="1"/>
  <c r="AI367" i="1"/>
  <c r="I368" i="1"/>
  <c r="J368" i="1"/>
  <c r="M368" i="1"/>
  <c r="N368" i="1"/>
  <c r="O368" i="1"/>
  <c r="S368" i="1"/>
  <c r="T368" i="1"/>
  <c r="X368" i="1"/>
  <c r="Y368" i="1"/>
  <c r="Z368" i="1"/>
  <c r="AD368" i="1"/>
  <c r="AE368" i="1"/>
  <c r="AF368" i="1"/>
  <c r="AG368" i="1"/>
  <c r="AH368" i="1"/>
  <c r="AI368" i="1"/>
  <c r="I369" i="1"/>
  <c r="J369" i="1"/>
  <c r="M369" i="1"/>
  <c r="N369" i="1"/>
  <c r="O369" i="1"/>
  <c r="S369" i="1"/>
  <c r="T369" i="1"/>
  <c r="X369" i="1"/>
  <c r="Y369" i="1"/>
  <c r="Z369" i="1"/>
  <c r="AD369" i="1"/>
  <c r="AE369" i="1"/>
  <c r="AF369" i="1"/>
  <c r="AG369" i="1"/>
  <c r="AH369" i="1"/>
  <c r="AI369" i="1"/>
  <c r="I370" i="1"/>
  <c r="J370" i="1"/>
  <c r="M370" i="1"/>
  <c r="N370" i="1"/>
  <c r="O370" i="1"/>
  <c r="S370" i="1"/>
  <c r="T370" i="1"/>
  <c r="X370" i="1"/>
  <c r="Y370" i="1"/>
  <c r="Z370" i="1"/>
  <c r="AD370" i="1"/>
  <c r="AE370" i="1"/>
  <c r="AF370" i="1"/>
  <c r="AG370" i="1"/>
  <c r="AH370" i="1"/>
  <c r="AI370" i="1"/>
  <c r="I371" i="1"/>
  <c r="J371" i="1"/>
  <c r="M371" i="1"/>
  <c r="N371" i="1"/>
  <c r="O371" i="1"/>
  <c r="S371" i="1"/>
  <c r="T371" i="1"/>
  <c r="X371" i="1"/>
  <c r="Y371" i="1"/>
  <c r="Z371" i="1"/>
  <c r="AD371" i="1"/>
  <c r="AE371" i="1"/>
  <c r="AF371" i="1"/>
  <c r="AG371" i="1"/>
  <c r="AH371" i="1"/>
  <c r="AI371" i="1"/>
  <c r="I372" i="1"/>
  <c r="J372" i="1"/>
  <c r="M372" i="1"/>
  <c r="N372" i="1"/>
  <c r="O372" i="1"/>
  <c r="S372" i="1"/>
  <c r="T372" i="1"/>
  <c r="X372" i="1"/>
  <c r="Y372" i="1"/>
  <c r="Z372" i="1"/>
  <c r="AD372" i="1"/>
  <c r="AE372" i="1"/>
  <c r="AF372" i="1"/>
  <c r="AG372" i="1"/>
  <c r="AH372" i="1"/>
  <c r="AI372" i="1"/>
  <c r="I373" i="1"/>
  <c r="J373" i="1"/>
  <c r="M373" i="1"/>
  <c r="N373" i="1"/>
  <c r="O373" i="1"/>
  <c r="S373" i="1"/>
  <c r="T373" i="1"/>
  <c r="X373" i="1"/>
  <c r="Y373" i="1"/>
  <c r="Z373" i="1"/>
  <c r="AD373" i="1"/>
  <c r="AE373" i="1"/>
  <c r="AF373" i="1"/>
  <c r="AG373" i="1"/>
  <c r="AH373" i="1"/>
  <c r="AI373" i="1"/>
  <c r="I374" i="1"/>
  <c r="J374" i="1"/>
  <c r="M374" i="1"/>
  <c r="N374" i="1"/>
  <c r="O374" i="1"/>
  <c r="S374" i="1"/>
  <c r="T374" i="1"/>
  <c r="X374" i="1"/>
  <c r="Y374" i="1"/>
  <c r="Z374" i="1"/>
  <c r="AD374" i="1"/>
  <c r="AE374" i="1"/>
  <c r="AF374" i="1"/>
  <c r="AG374" i="1"/>
  <c r="AH374" i="1"/>
  <c r="AI374" i="1"/>
  <c r="I375" i="1"/>
  <c r="J375" i="1"/>
  <c r="M375" i="1"/>
  <c r="N375" i="1"/>
  <c r="O375" i="1"/>
  <c r="S375" i="1"/>
  <c r="T375" i="1"/>
  <c r="X375" i="1"/>
  <c r="Y375" i="1"/>
  <c r="Z375" i="1"/>
  <c r="AD375" i="1"/>
  <c r="AE375" i="1"/>
  <c r="AF375" i="1"/>
  <c r="AG375" i="1"/>
  <c r="AH375" i="1"/>
  <c r="AI375" i="1"/>
  <c r="I376" i="1"/>
  <c r="J376" i="1"/>
  <c r="M376" i="1"/>
  <c r="N376" i="1"/>
  <c r="O376" i="1"/>
  <c r="S376" i="1"/>
  <c r="T376" i="1"/>
  <c r="X376" i="1"/>
  <c r="Y376" i="1"/>
  <c r="Z376" i="1"/>
  <c r="AD376" i="1"/>
  <c r="AE376" i="1"/>
  <c r="AF376" i="1"/>
  <c r="AG376" i="1"/>
  <c r="AH376" i="1"/>
  <c r="AI376" i="1"/>
  <c r="I377" i="1"/>
  <c r="J377" i="1"/>
  <c r="M377" i="1"/>
  <c r="N377" i="1"/>
  <c r="O377" i="1"/>
  <c r="S377" i="1"/>
  <c r="T377" i="1"/>
  <c r="X377" i="1"/>
  <c r="Y377" i="1"/>
  <c r="Z377" i="1"/>
  <c r="AD377" i="1"/>
  <c r="AE377" i="1"/>
  <c r="AF377" i="1"/>
  <c r="AG377" i="1"/>
  <c r="AH377" i="1"/>
  <c r="AI377" i="1"/>
  <c r="I378" i="1"/>
  <c r="J378" i="1"/>
  <c r="M378" i="1"/>
  <c r="N378" i="1"/>
  <c r="O378" i="1"/>
  <c r="S378" i="1"/>
  <c r="T378" i="1"/>
  <c r="X378" i="1"/>
  <c r="Y378" i="1"/>
  <c r="Z378" i="1"/>
  <c r="AD378" i="1"/>
  <c r="AE378" i="1"/>
  <c r="AF378" i="1"/>
  <c r="AG378" i="1"/>
  <c r="AH378" i="1"/>
  <c r="AI378" i="1"/>
  <c r="I379" i="1"/>
  <c r="J379" i="1"/>
  <c r="M379" i="1"/>
  <c r="N379" i="1"/>
  <c r="O379" i="1"/>
  <c r="S379" i="1"/>
  <c r="T379" i="1"/>
  <c r="X379" i="1"/>
  <c r="Y379" i="1"/>
  <c r="Z379" i="1"/>
  <c r="AD379" i="1"/>
  <c r="AE379" i="1"/>
  <c r="AF379" i="1"/>
  <c r="AG379" i="1"/>
  <c r="AH379" i="1"/>
  <c r="AI379" i="1"/>
  <c r="I380" i="1"/>
  <c r="J380" i="1"/>
  <c r="M380" i="1"/>
  <c r="N380" i="1"/>
  <c r="O380" i="1"/>
  <c r="S380" i="1"/>
  <c r="T380" i="1"/>
  <c r="X380" i="1"/>
  <c r="Y380" i="1"/>
  <c r="Z380" i="1"/>
  <c r="AD380" i="1"/>
  <c r="AE380" i="1"/>
  <c r="AF380" i="1"/>
  <c r="AG380" i="1"/>
  <c r="AH380" i="1"/>
  <c r="AI380" i="1"/>
  <c r="I381" i="1"/>
  <c r="J381" i="1"/>
  <c r="M381" i="1"/>
  <c r="N381" i="1"/>
  <c r="O381" i="1"/>
  <c r="S381" i="1"/>
  <c r="T381" i="1"/>
  <c r="X381" i="1"/>
  <c r="Y381" i="1"/>
  <c r="Z381" i="1"/>
  <c r="AD381" i="1"/>
  <c r="AE381" i="1"/>
  <c r="AF381" i="1"/>
  <c r="AG381" i="1"/>
  <c r="AH381" i="1"/>
  <c r="AI381" i="1"/>
  <c r="I382" i="1"/>
  <c r="J382" i="1"/>
  <c r="M382" i="1"/>
  <c r="N382" i="1"/>
  <c r="O382" i="1"/>
  <c r="S382" i="1"/>
  <c r="T382" i="1"/>
  <c r="X382" i="1"/>
  <c r="Y382" i="1"/>
  <c r="Z382" i="1"/>
  <c r="AD382" i="1"/>
  <c r="AE382" i="1"/>
  <c r="AF382" i="1"/>
  <c r="AG382" i="1"/>
  <c r="AH382" i="1"/>
  <c r="AI382" i="1"/>
  <c r="I383" i="1"/>
  <c r="J383" i="1"/>
  <c r="M383" i="1"/>
  <c r="N383" i="1"/>
  <c r="O383" i="1"/>
  <c r="S383" i="1"/>
  <c r="T383" i="1"/>
  <c r="X383" i="1"/>
  <c r="Y383" i="1"/>
  <c r="Z383" i="1"/>
  <c r="AD383" i="1"/>
  <c r="AE383" i="1"/>
  <c r="AF383" i="1"/>
  <c r="AG383" i="1"/>
  <c r="AH383" i="1"/>
  <c r="AI383" i="1"/>
  <c r="I384" i="1"/>
  <c r="J384" i="1"/>
  <c r="M384" i="1"/>
  <c r="N384" i="1"/>
  <c r="O384" i="1"/>
  <c r="S384" i="1"/>
  <c r="T384" i="1"/>
  <c r="X384" i="1"/>
  <c r="Y384" i="1"/>
  <c r="Z384" i="1"/>
  <c r="AD384" i="1"/>
  <c r="AE384" i="1"/>
  <c r="AF384" i="1"/>
  <c r="AG384" i="1"/>
  <c r="AH384" i="1"/>
  <c r="AI384" i="1"/>
  <c r="I385" i="1"/>
  <c r="J385" i="1"/>
  <c r="M385" i="1"/>
  <c r="N385" i="1"/>
  <c r="O385" i="1"/>
  <c r="S385" i="1"/>
  <c r="T385" i="1"/>
  <c r="X385" i="1"/>
  <c r="Y385" i="1"/>
  <c r="Z385" i="1"/>
  <c r="AD385" i="1"/>
  <c r="AE385" i="1"/>
  <c r="AF385" i="1"/>
  <c r="AG385" i="1"/>
  <c r="AH385" i="1"/>
  <c r="AI385" i="1"/>
  <c r="I386" i="1"/>
  <c r="J386" i="1"/>
  <c r="M386" i="1"/>
  <c r="N386" i="1"/>
  <c r="O386" i="1"/>
  <c r="S386" i="1"/>
  <c r="T386" i="1"/>
  <c r="X386" i="1"/>
  <c r="Y386" i="1"/>
  <c r="Z386" i="1"/>
  <c r="AD386" i="1"/>
  <c r="AE386" i="1"/>
  <c r="AF386" i="1"/>
  <c r="AG386" i="1"/>
  <c r="AH386" i="1"/>
  <c r="AI386" i="1"/>
  <c r="I387" i="1"/>
  <c r="J387" i="1"/>
  <c r="M387" i="1"/>
  <c r="N387" i="1"/>
  <c r="O387" i="1"/>
  <c r="S387" i="1"/>
  <c r="T387" i="1"/>
  <c r="X387" i="1"/>
  <c r="Y387" i="1"/>
  <c r="Z387" i="1"/>
  <c r="AD387" i="1"/>
  <c r="AE387" i="1"/>
  <c r="AF387" i="1"/>
  <c r="AG387" i="1"/>
  <c r="AH387" i="1"/>
  <c r="AI387" i="1"/>
  <c r="I388" i="1"/>
  <c r="J388" i="1"/>
  <c r="M388" i="1"/>
  <c r="N388" i="1"/>
  <c r="O388" i="1"/>
  <c r="S388" i="1"/>
  <c r="T388" i="1"/>
  <c r="X388" i="1"/>
  <c r="Y388" i="1"/>
  <c r="Z388" i="1"/>
  <c r="AD388" i="1"/>
  <c r="AE388" i="1"/>
  <c r="AF388" i="1"/>
  <c r="AG388" i="1"/>
  <c r="AH388" i="1"/>
  <c r="AI388" i="1"/>
  <c r="I389" i="1"/>
  <c r="J389" i="1"/>
  <c r="M389" i="1"/>
  <c r="N389" i="1"/>
  <c r="O389" i="1"/>
  <c r="S389" i="1"/>
  <c r="T389" i="1"/>
  <c r="X389" i="1"/>
  <c r="Y389" i="1"/>
  <c r="Z389" i="1"/>
  <c r="AD389" i="1"/>
  <c r="AE389" i="1"/>
  <c r="AF389" i="1"/>
  <c r="AG389" i="1"/>
  <c r="AH389" i="1"/>
  <c r="AI389" i="1"/>
  <c r="I390" i="1"/>
  <c r="J390" i="1"/>
  <c r="M390" i="1"/>
  <c r="N390" i="1"/>
  <c r="O390" i="1"/>
  <c r="S390" i="1"/>
  <c r="T390" i="1"/>
  <c r="X390" i="1"/>
  <c r="Y390" i="1"/>
  <c r="Z390" i="1"/>
  <c r="AD390" i="1"/>
  <c r="AE390" i="1"/>
  <c r="AF390" i="1"/>
  <c r="AG390" i="1"/>
  <c r="AH390" i="1"/>
  <c r="AI390" i="1"/>
  <c r="I391" i="1"/>
  <c r="J391" i="1"/>
  <c r="M391" i="1"/>
  <c r="N391" i="1"/>
  <c r="O391" i="1"/>
  <c r="S391" i="1"/>
  <c r="T391" i="1"/>
  <c r="X391" i="1"/>
  <c r="Y391" i="1"/>
  <c r="Z391" i="1"/>
  <c r="AD391" i="1"/>
  <c r="AE391" i="1"/>
  <c r="AF391" i="1"/>
  <c r="AG391" i="1"/>
  <c r="AH391" i="1"/>
  <c r="AI391" i="1"/>
  <c r="I392" i="1"/>
  <c r="J392" i="1"/>
  <c r="M392" i="1"/>
  <c r="N392" i="1"/>
  <c r="O392" i="1"/>
  <c r="S392" i="1"/>
  <c r="T392" i="1"/>
  <c r="X392" i="1"/>
  <c r="Y392" i="1"/>
  <c r="Z392" i="1"/>
  <c r="AD392" i="1"/>
  <c r="AE392" i="1"/>
  <c r="AF392" i="1"/>
  <c r="AG392" i="1"/>
  <c r="AH392" i="1"/>
  <c r="AI392" i="1"/>
  <c r="I393" i="1"/>
  <c r="J393" i="1"/>
  <c r="M393" i="1"/>
  <c r="N393" i="1"/>
  <c r="O393" i="1"/>
  <c r="S393" i="1"/>
  <c r="T393" i="1"/>
  <c r="X393" i="1"/>
  <c r="Y393" i="1"/>
  <c r="Z393" i="1"/>
  <c r="AD393" i="1"/>
  <c r="AE393" i="1"/>
  <c r="AF393" i="1"/>
  <c r="AG393" i="1"/>
  <c r="AH393" i="1"/>
  <c r="AI393" i="1"/>
  <c r="I394" i="1"/>
  <c r="J394" i="1"/>
  <c r="M394" i="1"/>
  <c r="N394" i="1"/>
  <c r="O394" i="1"/>
  <c r="S394" i="1"/>
  <c r="T394" i="1"/>
  <c r="X394" i="1"/>
  <c r="Y394" i="1"/>
  <c r="Z394" i="1"/>
  <c r="AD394" i="1"/>
  <c r="AE394" i="1"/>
  <c r="AF394" i="1"/>
  <c r="AG394" i="1"/>
  <c r="AH394" i="1"/>
  <c r="AI394" i="1"/>
  <c r="I395" i="1"/>
  <c r="J395" i="1"/>
  <c r="M395" i="1"/>
  <c r="N395" i="1"/>
  <c r="O395" i="1"/>
  <c r="S395" i="1"/>
  <c r="T395" i="1"/>
  <c r="X395" i="1"/>
  <c r="Y395" i="1"/>
  <c r="Z395" i="1"/>
  <c r="AD395" i="1"/>
  <c r="AE395" i="1"/>
  <c r="AF395" i="1"/>
  <c r="AG395" i="1"/>
  <c r="AH395" i="1"/>
  <c r="AI395" i="1"/>
  <c r="I396" i="1"/>
  <c r="J396" i="1"/>
  <c r="M396" i="1"/>
  <c r="N396" i="1"/>
  <c r="O396" i="1"/>
  <c r="S396" i="1"/>
  <c r="T396" i="1"/>
  <c r="X396" i="1"/>
  <c r="Y396" i="1"/>
  <c r="Z396" i="1"/>
  <c r="AD396" i="1"/>
  <c r="AE396" i="1"/>
  <c r="AF396" i="1"/>
  <c r="AG396" i="1"/>
  <c r="AH396" i="1"/>
  <c r="AI396" i="1"/>
  <c r="I397" i="1"/>
  <c r="J397" i="1"/>
  <c r="M397" i="1"/>
  <c r="N397" i="1"/>
  <c r="O397" i="1"/>
  <c r="S397" i="1"/>
  <c r="T397" i="1"/>
  <c r="X397" i="1"/>
  <c r="Y397" i="1"/>
  <c r="Z397" i="1"/>
  <c r="AD397" i="1"/>
  <c r="AE397" i="1"/>
  <c r="AF397" i="1"/>
  <c r="AG397" i="1"/>
  <c r="AH397" i="1"/>
  <c r="AI397" i="1"/>
  <c r="I398" i="1"/>
  <c r="J398" i="1"/>
  <c r="M398" i="1"/>
  <c r="N398" i="1"/>
  <c r="O398" i="1"/>
  <c r="S398" i="1"/>
  <c r="T398" i="1"/>
  <c r="X398" i="1"/>
  <c r="Y398" i="1"/>
  <c r="Z398" i="1"/>
  <c r="AD398" i="1"/>
  <c r="AE398" i="1"/>
  <c r="AF398" i="1"/>
  <c r="AG398" i="1"/>
  <c r="AH398" i="1"/>
  <c r="AI398" i="1"/>
  <c r="I399" i="1"/>
  <c r="J399" i="1"/>
  <c r="M399" i="1"/>
  <c r="N399" i="1"/>
  <c r="O399" i="1"/>
  <c r="S399" i="1"/>
  <c r="T399" i="1"/>
  <c r="X399" i="1"/>
  <c r="Y399" i="1"/>
  <c r="Z399" i="1"/>
  <c r="AD399" i="1"/>
  <c r="AE399" i="1"/>
  <c r="AF399" i="1"/>
  <c r="AG399" i="1"/>
  <c r="AH399" i="1"/>
  <c r="AI399" i="1"/>
  <c r="I400" i="1"/>
  <c r="J400" i="1"/>
  <c r="M400" i="1"/>
  <c r="N400" i="1"/>
  <c r="O400" i="1"/>
  <c r="S400" i="1"/>
  <c r="T400" i="1"/>
  <c r="X400" i="1"/>
  <c r="Y400" i="1"/>
  <c r="Z400" i="1"/>
  <c r="AD400" i="1"/>
  <c r="AE400" i="1"/>
  <c r="AF400" i="1"/>
  <c r="AG400" i="1"/>
  <c r="AH400" i="1"/>
  <c r="AI400" i="1"/>
  <c r="I401" i="1"/>
  <c r="J401" i="1"/>
  <c r="M401" i="1"/>
  <c r="N401" i="1"/>
  <c r="O401" i="1"/>
  <c r="S401" i="1"/>
  <c r="T401" i="1"/>
  <c r="X401" i="1"/>
  <c r="Y401" i="1"/>
  <c r="Z401" i="1"/>
  <c r="AD401" i="1"/>
  <c r="AE401" i="1"/>
  <c r="AF401" i="1"/>
  <c r="AG401" i="1"/>
  <c r="AH401" i="1"/>
  <c r="AI401" i="1"/>
  <c r="I402" i="1"/>
  <c r="J402" i="1"/>
  <c r="M402" i="1"/>
  <c r="N402" i="1"/>
  <c r="O402" i="1"/>
  <c r="S402" i="1"/>
  <c r="T402" i="1"/>
  <c r="X402" i="1"/>
  <c r="Y402" i="1"/>
  <c r="Z402" i="1"/>
  <c r="AD402" i="1"/>
  <c r="AE402" i="1"/>
  <c r="AF402" i="1"/>
  <c r="AG402" i="1"/>
  <c r="AH402" i="1"/>
  <c r="AI402" i="1"/>
  <c r="I403" i="1"/>
  <c r="J403" i="1"/>
  <c r="M403" i="1"/>
  <c r="N403" i="1"/>
  <c r="O403" i="1"/>
  <c r="S403" i="1"/>
  <c r="T403" i="1"/>
  <c r="X403" i="1"/>
  <c r="Y403" i="1"/>
  <c r="Z403" i="1"/>
  <c r="AD403" i="1"/>
  <c r="AE403" i="1"/>
  <c r="AF403" i="1"/>
  <c r="AG403" i="1"/>
  <c r="AH403" i="1"/>
  <c r="AI403" i="1"/>
  <c r="I404" i="1"/>
  <c r="J404" i="1"/>
  <c r="M404" i="1"/>
  <c r="N404" i="1"/>
  <c r="O404" i="1"/>
  <c r="S404" i="1"/>
  <c r="T404" i="1"/>
  <c r="X404" i="1"/>
  <c r="Y404" i="1"/>
  <c r="Z404" i="1"/>
  <c r="AD404" i="1"/>
  <c r="AE404" i="1"/>
  <c r="AF404" i="1"/>
  <c r="AG404" i="1"/>
  <c r="AH404" i="1"/>
  <c r="AI404" i="1"/>
  <c r="I405" i="1"/>
  <c r="J405" i="1"/>
  <c r="M405" i="1"/>
  <c r="N405" i="1"/>
  <c r="O405" i="1"/>
  <c r="S405" i="1"/>
  <c r="T405" i="1"/>
  <c r="X405" i="1"/>
  <c r="Y405" i="1"/>
  <c r="Z405" i="1"/>
  <c r="AD405" i="1"/>
  <c r="AE405" i="1"/>
  <c r="AF405" i="1"/>
  <c r="AG405" i="1"/>
  <c r="AH405" i="1"/>
  <c r="AI405" i="1"/>
  <c r="I406" i="1"/>
  <c r="J406" i="1"/>
  <c r="M406" i="1"/>
  <c r="N406" i="1"/>
  <c r="O406" i="1"/>
  <c r="S406" i="1"/>
  <c r="T406" i="1"/>
  <c r="X406" i="1"/>
  <c r="Y406" i="1"/>
  <c r="Z406" i="1"/>
  <c r="AD406" i="1"/>
  <c r="AE406" i="1"/>
  <c r="AF406" i="1"/>
  <c r="AG406" i="1"/>
  <c r="AH406" i="1"/>
  <c r="AI406" i="1"/>
  <c r="I407" i="1"/>
  <c r="J407" i="1"/>
  <c r="M407" i="1"/>
  <c r="N407" i="1"/>
  <c r="O407" i="1"/>
  <c r="S407" i="1"/>
  <c r="T407" i="1"/>
  <c r="X407" i="1"/>
  <c r="Y407" i="1"/>
  <c r="Z407" i="1"/>
  <c r="AD407" i="1"/>
  <c r="AE407" i="1"/>
  <c r="AF407" i="1"/>
  <c r="AG407" i="1"/>
  <c r="AH407" i="1"/>
  <c r="AI407" i="1"/>
  <c r="I408" i="1"/>
  <c r="J408" i="1"/>
  <c r="M408" i="1"/>
  <c r="N408" i="1"/>
  <c r="O408" i="1"/>
  <c r="S408" i="1"/>
  <c r="T408" i="1"/>
  <c r="X408" i="1"/>
  <c r="Y408" i="1"/>
  <c r="Z408" i="1"/>
  <c r="AD408" i="1"/>
  <c r="AE408" i="1"/>
  <c r="AF408" i="1"/>
  <c r="AG408" i="1"/>
  <c r="AH408" i="1"/>
  <c r="AI408" i="1"/>
  <c r="I409" i="1"/>
  <c r="J409" i="1"/>
  <c r="M409" i="1"/>
  <c r="N409" i="1"/>
  <c r="O409" i="1"/>
  <c r="S409" i="1"/>
  <c r="T409" i="1"/>
  <c r="X409" i="1"/>
  <c r="Y409" i="1"/>
  <c r="Z409" i="1"/>
  <c r="AD409" i="1"/>
  <c r="AE409" i="1"/>
  <c r="AF409" i="1"/>
  <c r="AG409" i="1"/>
  <c r="AH409" i="1"/>
  <c r="AI409" i="1"/>
  <c r="I410" i="1"/>
  <c r="J410" i="1"/>
  <c r="M410" i="1"/>
  <c r="N410" i="1"/>
  <c r="O410" i="1"/>
  <c r="S410" i="1"/>
  <c r="T410" i="1"/>
  <c r="X410" i="1"/>
  <c r="Y410" i="1"/>
  <c r="Z410" i="1"/>
  <c r="AD410" i="1"/>
  <c r="AE410" i="1"/>
  <c r="AF410" i="1"/>
  <c r="AG410" i="1"/>
  <c r="AH410" i="1"/>
  <c r="AI410" i="1"/>
  <c r="I411" i="1"/>
  <c r="J411" i="1"/>
  <c r="M411" i="1"/>
  <c r="N411" i="1"/>
  <c r="O411" i="1"/>
  <c r="S411" i="1"/>
  <c r="T411" i="1"/>
  <c r="X411" i="1"/>
  <c r="Y411" i="1"/>
  <c r="Z411" i="1"/>
  <c r="AD411" i="1"/>
  <c r="AE411" i="1"/>
  <c r="AF411" i="1"/>
  <c r="AG411" i="1"/>
  <c r="AH411" i="1"/>
  <c r="AI411" i="1"/>
  <c r="I412" i="1"/>
  <c r="J412" i="1"/>
  <c r="M412" i="1"/>
  <c r="N412" i="1"/>
  <c r="O412" i="1"/>
  <c r="S412" i="1"/>
  <c r="T412" i="1"/>
  <c r="X412" i="1"/>
  <c r="Y412" i="1"/>
  <c r="Z412" i="1"/>
  <c r="AD412" i="1"/>
  <c r="AE412" i="1"/>
  <c r="AF412" i="1"/>
  <c r="AG412" i="1"/>
  <c r="AH412" i="1"/>
  <c r="AI412" i="1"/>
  <c r="I413" i="1"/>
  <c r="J413" i="1"/>
  <c r="M413" i="1"/>
  <c r="N413" i="1"/>
  <c r="O413" i="1"/>
  <c r="S413" i="1"/>
  <c r="T413" i="1"/>
  <c r="X413" i="1"/>
  <c r="Y413" i="1"/>
  <c r="Z413" i="1"/>
  <c r="AD413" i="1"/>
  <c r="AE413" i="1"/>
  <c r="AF413" i="1"/>
  <c r="AG413" i="1"/>
  <c r="AH413" i="1"/>
  <c r="AI413" i="1"/>
  <c r="I414" i="1"/>
  <c r="J414" i="1"/>
  <c r="M414" i="1"/>
  <c r="N414" i="1"/>
  <c r="O414" i="1"/>
  <c r="S414" i="1"/>
  <c r="T414" i="1"/>
  <c r="X414" i="1"/>
  <c r="Y414" i="1"/>
  <c r="Z414" i="1"/>
  <c r="AD414" i="1"/>
  <c r="AE414" i="1"/>
  <c r="AF414" i="1"/>
  <c r="AG414" i="1"/>
  <c r="AH414" i="1"/>
  <c r="AI414" i="1"/>
  <c r="I415" i="1"/>
  <c r="J415" i="1"/>
  <c r="M415" i="1"/>
  <c r="N415" i="1"/>
  <c r="O415" i="1"/>
  <c r="S415" i="1"/>
  <c r="T415" i="1"/>
  <c r="X415" i="1"/>
  <c r="Y415" i="1"/>
  <c r="Z415" i="1"/>
  <c r="AD415" i="1"/>
  <c r="AE415" i="1"/>
  <c r="AF415" i="1"/>
  <c r="AG415" i="1"/>
  <c r="AH415" i="1"/>
  <c r="AI415" i="1"/>
  <c r="I416" i="1"/>
  <c r="J416" i="1"/>
  <c r="M416" i="1"/>
  <c r="N416" i="1"/>
  <c r="O416" i="1"/>
  <c r="S416" i="1"/>
  <c r="T416" i="1"/>
  <c r="X416" i="1"/>
  <c r="Y416" i="1"/>
  <c r="Z416" i="1"/>
  <c r="AD416" i="1"/>
  <c r="AE416" i="1"/>
  <c r="AF416" i="1"/>
  <c r="AG416" i="1"/>
  <c r="AH416" i="1"/>
  <c r="AI416" i="1"/>
  <c r="I417" i="1"/>
  <c r="J417" i="1"/>
  <c r="M417" i="1"/>
  <c r="N417" i="1"/>
  <c r="O417" i="1"/>
  <c r="S417" i="1"/>
  <c r="T417" i="1"/>
  <c r="X417" i="1"/>
  <c r="Y417" i="1"/>
  <c r="Z417" i="1"/>
  <c r="AD417" i="1"/>
  <c r="AE417" i="1"/>
  <c r="AF417" i="1"/>
  <c r="AG417" i="1"/>
  <c r="AH417" i="1"/>
  <c r="AI417" i="1"/>
  <c r="I418" i="1"/>
  <c r="J418" i="1"/>
  <c r="M418" i="1"/>
  <c r="N418" i="1"/>
  <c r="O418" i="1"/>
  <c r="S418" i="1"/>
  <c r="T418" i="1"/>
  <c r="X418" i="1"/>
  <c r="Y418" i="1"/>
  <c r="Z418" i="1"/>
  <c r="AD418" i="1"/>
  <c r="AE418" i="1"/>
  <c r="AF418" i="1"/>
  <c r="AG418" i="1"/>
  <c r="AH418" i="1"/>
  <c r="AI418" i="1"/>
  <c r="I419" i="1"/>
  <c r="J419" i="1"/>
  <c r="M419" i="1"/>
  <c r="N419" i="1"/>
  <c r="O419" i="1"/>
  <c r="S419" i="1"/>
  <c r="T419" i="1"/>
  <c r="X419" i="1"/>
  <c r="Y419" i="1"/>
  <c r="Z419" i="1"/>
  <c r="AD419" i="1"/>
  <c r="AE419" i="1"/>
  <c r="AF419" i="1"/>
  <c r="AG419" i="1"/>
  <c r="AH419" i="1"/>
  <c r="AI419" i="1"/>
  <c r="I420" i="1"/>
  <c r="J420" i="1"/>
  <c r="M420" i="1"/>
  <c r="N420" i="1"/>
  <c r="O420" i="1"/>
  <c r="S420" i="1"/>
  <c r="T420" i="1"/>
  <c r="X420" i="1"/>
  <c r="Y420" i="1"/>
  <c r="Z420" i="1"/>
  <c r="AD420" i="1"/>
  <c r="AE420" i="1"/>
  <c r="AF420" i="1"/>
  <c r="AG420" i="1"/>
  <c r="AH420" i="1"/>
  <c r="AI420" i="1"/>
  <c r="I421" i="1"/>
  <c r="J421" i="1"/>
  <c r="M421" i="1"/>
  <c r="N421" i="1"/>
  <c r="O421" i="1"/>
  <c r="S421" i="1"/>
  <c r="T421" i="1"/>
  <c r="X421" i="1"/>
  <c r="Y421" i="1"/>
  <c r="Z421" i="1"/>
  <c r="AD421" i="1"/>
  <c r="AE421" i="1"/>
  <c r="AF421" i="1"/>
  <c r="AG421" i="1"/>
  <c r="AH421" i="1"/>
  <c r="AI421" i="1"/>
  <c r="I422" i="1"/>
  <c r="J422" i="1"/>
  <c r="M422" i="1"/>
  <c r="N422" i="1"/>
  <c r="O422" i="1"/>
  <c r="S422" i="1"/>
  <c r="T422" i="1"/>
  <c r="X422" i="1"/>
  <c r="Y422" i="1"/>
  <c r="Z422" i="1"/>
  <c r="AD422" i="1"/>
  <c r="AE422" i="1"/>
  <c r="AF422" i="1"/>
  <c r="AG422" i="1"/>
  <c r="AH422" i="1"/>
  <c r="AI422" i="1"/>
  <c r="I423" i="1"/>
  <c r="J423" i="1"/>
  <c r="M423" i="1"/>
  <c r="N423" i="1"/>
  <c r="O423" i="1"/>
  <c r="S423" i="1"/>
  <c r="T423" i="1"/>
  <c r="X423" i="1"/>
  <c r="Y423" i="1"/>
  <c r="Z423" i="1"/>
  <c r="AD423" i="1"/>
  <c r="AE423" i="1"/>
  <c r="AF423" i="1"/>
  <c r="AG423" i="1"/>
  <c r="AH423" i="1"/>
  <c r="AI423" i="1"/>
  <c r="I424" i="1"/>
  <c r="J424" i="1"/>
  <c r="M424" i="1"/>
  <c r="N424" i="1"/>
  <c r="O424" i="1"/>
  <c r="S424" i="1"/>
  <c r="T424" i="1"/>
  <c r="X424" i="1"/>
  <c r="Y424" i="1"/>
  <c r="Z424" i="1"/>
  <c r="AD424" i="1"/>
  <c r="AE424" i="1"/>
  <c r="AF424" i="1"/>
  <c r="AG424" i="1"/>
  <c r="AH424" i="1"/>
  <c r="AI424" i="1"/>
  <c r="I425" i="1"/>
  <c r="J425" i="1"/>
  <c r="M425" i="1"/>
  <c r="N425" i="1"/>
  <c r="O425" i="1"/>
  <c r="S425" i="1"/>
  <c r="T425" i="1"/>
  <c r="X425" i="1"/>
  <c r="Y425" i="1"/>
  <c r="Z425" i="1"/>
  <c r="AD425" i="1"/>
  <c r="AE425" i="1"/>
  <c r="AF425" i="1"/>
  <c r="AG425" i="1"/>
  <c r="AH425" i="1"/>
  <c r="AI425" i="1"/>
  <c r="I426" i="1"/>
  <c r="J426" i="1"/>
  <c r="M426" i="1"/>
  <c r="N426" i="1"/>
  <c r="O426" i="1"/>
  <c r="S426" i="1"/>
  <c r="T426" i="1"/>
  <c r="X426" i="1"/>
  <c r="Y426" i="1"/>
  <c r="Z426" i="1"/>
  <c r="AD426" i="1"/>
  <c r="AE426" i="1"/>
  <c r="AF426" i="1"/>
  <c r="AG426" i="1"/>
  <c r="AH426" i="1"/>
  <c r="AI426" i="1"/>
  <c r="I427" i="1"/>
  <c r="J427" i="1"/>
  <c r="M427" i="1"/>
  <c r="N427" i="1"/>
  <c r="O427" i="1"/>
  <c r="S427" i="1"/>
  <c r="T427" i="1"/>
  <c r="X427" i="1"/>
  <c r="Y427" i="1"/>
  <c r="Z427" i="1"/>
  <c r="AD427" i="1"/>
  <c r="AE427" i="1"/>
  <c r="AF427" i="1"/>
  <c r="AG427" i="1"/>
  <c r="AH427" i="1"/>
  <c r="AI427" i="1"/>
  <c r="I428" i="1"/>
  <c r="J428" i="1"/>
  <c r="M428" i="1"/>
  <c r="N428" i="1"/>
  <c r="O428" i="1"/>
  <c r="S428" i="1"/>
  <c r="T428" i="1"/>
  <c r="X428" i="1"/>
  <c r="Y428" i="1"/>
  <c r="Z428" i="1"/>
  <c r="AD428" i="1"/>
  <c r="AE428" i="1"/>
  <c r="AF428" i="1"/>
  <c r="AG428" i="1"/>
  <c r="AH428" i="1"/>
  <c r="AI428" i="1"/>
  <c r="I429" i="1"/>
  <c r="J429" i="1"/>
  <c r="M429" i="1"/>
  <c r="N429" i="1"/>
  <c r="O429" i="1"/>
  <c r="S429" i="1"/>
  <c r="T429" i="1"/>
  <c r="X429" i="1"/>
  <c r="Y429" i="1"/>
  <c r="Z429" i="1"/>
  <c r="AD429" i="1"/>
  <c r="AE429" i="1"/>
  <c r="AF429" i="1"/>
  <c r="AG429" i="1"/>
  <c r="AH429" i="1"/>
  <c r="AI429" i="1"/>
  <c r="I430" i="1"/>
  <c r="J430" i="1"/>
  <c r="M430" i="1"/>
  <c r="N430" i="1"/>
  <c r="O430" i="1"/>
  <c r="S430" i="1"/>
  <c r="T430" i="1"/>
  <c r="X430" i="1"/>
  <c r="Y430" i="1"/>
  <c r="Z430" i="1"/>
  <c r="AD430" i="1"/>
  <c r="AE430" i="1"/>
  <c r="AF430" i="1"/>
  <c r="AG430" i="1"/>
  <c r="AH430" i="1"/>
  <c r="AI430" i="1"/>
  <c r="I431" i="1"/>
  <c r="J431" i="1"/>
  <c r="M431" i="1"/>
  <c r="N431" i="1"/>
  <c r="O431" i="1"/>
  <c r="S431" i="1"/>
  <c r="T431" i="1"/>
  <c r="X431" i="1"/>
  <c r="Y431" i="1"/>
  <c r="Z431" i="1"/>
  <c r="AD431" i="1"/>
  <c r="AE431" i="1"/>
  <c r="AF431" i="1"/>
  <c r="AG431" i="1"/>
  <c r="AH431" i="1"/>
  <c r="AI431" i="1"/>
  <c r="I432" i="1"/>
  <c r="J432" i="1"/>
  <c r="M432" i="1"/>
  <c r="N432" i="1"/>
  <c r="O432" i="1"/>
  <c r="S432" i="1"/>
  <c r="T432" i="1"/>
  <c r="X432" i="1"/>
  <c r="Y432" i="1"/>
  <c r="Z432" i="1"/>
  <c r="AD432" i="1"/>
  <c r="AE432" i="1"/>
  <c r="AF432" i="1"/>
  <c r="AG432" i="1"/>
  <c r="AH432" i="1"/>
  <c r="AI432" i="1"/>
  <c r="I433" i="1"/>
  <c r="J433" i="1"/>
  <c r="M433" i="1"/>
  <c r="N433" i="1"/>
  <c r="O433" i="1"/>
  <c r="S433" i="1"/>
  <c r="T433" i="1"/>
  <c r="X433" i="1"/>
  <c r="Y433" i="1"/>
  <c r="Z433" i="1"/>
  <c r="AD433" i="1"/>
  <c r="AE433" i="1"/>
  <c r="AF433" i="1"/>
  <c r="AG433" i="1"/>
  <c r="AH433" i="1"/>
  <c r="AI433" i="1"/>
  <c r="I434" i="1"/>
  <c r="J434" i="1"/>
  <c r="M434" i="1"/>
  <c r="N434" i="1"/>
  <c r="O434" i="1"/>
  <c r="S434" i="1"/>
  <c r="T434" i="1"/>
  <c r="X434" i="1"/>
  <c r="Y434" i="1"/>
  <c r="Z434" i="1"/>
  <c r="AD434" i="1"/>
  <c r="AE434" i="1"/>
  <c r="AF434" i="1"/>
  <c r="AG434" i="1"/>
  <c r="AH434" i="1"/>
  <c r="AI434" i="1"/>
  <c r="I435" i="1"/>
  <c r="J435" i="1"/>
  <c r="M435" i="1"/>
  <c r="N435" i="1"/>
  <c r="O435" i="1"/>
  <c r="S435" i="1"/>
  <c r="T435" i="1"/>
  <c r="X435" i="1"/>
  <c r="Y435" i="1"/>
  <c r="Z435" i="1"/>
  <c r="AD435" i="1"/>
  <c r="AE435" i="1"/>
  <c r="AF435" i="1"/>
  <c r="AG435" i="1"/>
  <c r="AH435" i="1"/>
  <c r="AI435" i="1"/>
  <c r="I436" i="1"/>
  <c r="J436" i="1"/>
  <c r="M436" i="1"/>
  <c r="N436" i="1"/>
  <c r="O436" i="1"/>
  <c r="S436" i="1"/>
  <c r="T436" i="1"/>
  <c r="X436" i="1"/>
  <c r="Y436" i="1"/>
  <c r="Z436" i="1"/>
  <c r="AD436" i="1"/>
  <c r="AE436" i="1"/>
  <c r="AF436" i="1"/>
  <c r="AG436" i="1"/>
  <c r="AH436" i="1"/>
  <c r="AI436" i="1"/>
  <c r="I437" i="1"/>
  <c r="J437" i="1"/>
  <c r="M437" i="1"/>
  <c r="N437" i="1"/>
  <c r="O437" i="1"/>
  <c r="S437" i="1"/>
  <c r="T437" i="1"/>
  <c r="X437" i="1"/>
  <c r="Y437" i="1"/>
  <c r="Z437" i="1"/>
  <c r="AD437" i="1"/>
  <c r="AE437" i="1"/>
  <c r="AF437" i="1"/>
  <c r="AG437" i="1"/>
  <c r="AH437" i="1"/>
  <c r="AI437" i="1"/>
  <c r="I438" i="1"/>
  <c r="J438" i="1"/>
  <c r="M438" i="1"/>
  <c r="N438" i="1"/>
  <c r="O438" i="1"/>
  <c r="S438" i="1"/>
  <c r="T438" i="1"/>
  <c r="X438" i="1"/>
  <c r="Y438" i="1"/>
  <c r="Z438" i="1"/>
  <c r="AD438" i="1"/>
  <c r="AE438" i="1"/>
  <c r="AF438" i="1"/>
  <c r="AG438" i="1"/>
  <c r="AH438" i="1"/>
  <c r="AI438" i="1"/>
  <c r="I439" i="1"/>
  <c r="J439" i="1"/>
  <c r="M439" i="1"/>
  <c r="N439" i="1"/>
  <c r="O439" i="1"/>
  <c r="S439" i="1"/>
  <c r="T439" i="1"/>
  <c r="X439" i="1"/>
  <c r="Y439" i="1"/>
  <c r="Z439" i="1"/>
  <c r="AD439" i="1"/>
  <c r="AE439" i="1"/>
  <c r="AF439" i="1"/>
  <c r="AG439" i="1"/>
  <c r="AH439" i="1"/>
  <c r="AI439" i="1"/>
  <c r="I440" i="1"/>
  <c r="J440" i="1"/>
  <c r="M440" i="1"/>
  <c r="N440" i="1"/>
  <c r="O440" i="1"/>
  <c r="S440" i="1"/>
  <c r="T440" i="1"/>
  <c r="X440" i="1"/>
  <c r="Y440" i="1"/>
  <c r="Z440" i="1"/>
  <c r="AD440" i="1"/>
  <c r="AE440" i="1"/>
  <c r="AF440" i="1"/>
  <c r="AG440" i="1"/>
  <c r="AH440" i="1"/>
  <c r="AI440" i="1"/>
  <c r="I441" i="1"/>
  <c r="J441" i="1"/>
  <c r="M441" i="1"/>
  <c r="N441" i="1"/>
  <c r="O441" i="1"/>
  <c r="S441" i="1"/>
  <c r="T441" i="1"/>
  <c r="X441" i="1"/>
  <c r="Y441" i="1"/>
  <c r="Z441" i="1"/>
  <c r="AD441" i="1"/>
  <c r="AE441" i="1"/>
  <c r="AF441" i="1"/>
  <c r="AG441" i="1"/>
  <c r="AH441" i="1"/>
  <c r="AI441" i="1"/>
  <c r="I442" i="1"/>
  <c r="J442" i="1"/>
  <c r="M442" i="1"/>
  <c r="N442" i="1"/>
  <c r="O442" i="1"/>
  <c r="S442" i="1"/>
  <c r="T442" i="1"/>
  <c r="X442" i="1"/>
  <c r="Y442" i="1"/>
  <c r="Z442" i="1"/>
  <c r="AD442" i="1"/>
  <c r="AE442" i="1"/>
  <c r="AF442" i="1"/>
  <c r="AG442" i="1"/>
  <c r="AH442" i="1"/>
  <c r="AI442" i="1"/>
  <c r="I443" i="1"/>
  <c r="J443" i="1"/>
  <c r="M443" i="1"/>
  <c r="N443" i="1"/>
  <c r="O443" i="1"/>
  <c r="S443" i="1"/>
  <c r="T443" i="1"/>
  <c r="X443" i="1"/>
  <c r="Y443" i="1"/>
  <c r="Z443" i="1"/>
  <c r="AD443" i="1"/>
  <c r="AE443" i="1"/>
  <c r="AF443" i="1"/>
  <c r="AG443" i="1"/>
  <c r="AH443" i="1"/>
  <c r="AI443" i="1"/>
  <c r="I444" i="1"/>
  <c r="J444" i="1"/>
  <c r="M444" i="1"/>
  <c r="N444" i="1"/>
  <c r="O444" i="1"/>
  <c r="S444" i="1"/>
  <c r="T444" i="1"/>
  <c r="X444" i="1"/>
  <c r="Y444" i="1"/>
  <c r="Z444" i="1"/>
  <c r="AD444" i="1"/>
  <c r="AE444" i="1"/>
  <c r="AF444" i="1"/>
  <c r="AG444" i="1"/>
  <c r="AH444" i="1"/>
  <c r="AI444" i="1"/>
  <c r="I445" i="1"/>
  <c r="J445" i="1"/>
  <c r="M445" i="1"/>
  <c r="N445" i="1"/>
  <c r="O445" i="1"/>
  <c r="S445" i="1"/>
  <c r="T445" i="1"/>
  <c r="X445" i="1"/>
  <c r="Y445" i="1"/>
  <c r="Z445" i="1"/>
  <c r="AD445" i="1"/>
  <c r="AE445" i="1"/>
  <c r="AF445" i="1"/>
  <c r="AG445" i="1"/>
  <c r="AH445" i="1"/>
  <c r="AI445" i="1"/>
  <c r="I446" i="1"/>
  <c r="J446" i="1"/>
  <c r="M446" i="1"/>
  <c r="N446" i="1"/>
  <c r="O446" i="1"/>
  <c r="S446" i="1"/>
  <c r="T446" i="1"/>
  <c r="X446" i="1"/>
  <c r="Y446" i="1"/>
  <c r="Z446" i="1"/>
  <c r="AD446" i="1"/>
  <c r="AE446" i="1"/>
  <c r="AF446" i="1"/>
  <c r="AG446" i="1"/>
  <c r="AH446" i="1"/>
  <c r="AI446" i="1"/>
  <c r="I447" i="1"/>
  <c r="J447" i="1"/>
  <c r="M447" i="1"/>
  <c r="N447" i="1"/>
  <c r="O447" i="1"/>
  <c r="S447" i="1"/>
  <c r="T447" i="1"/>
  <c r="X447" i="1"/>
  <c r="Y447" i="1"/>
  <c r="Z447" i="1"/>
  <c r="AD447" i="1"/>
  <c r="AE447" i="1"/>
  <c r="AF447" i="1"/>
  <c r="AG447" i="1"/>
  <c r="AH447" i="1"/>
  <c r="AI447" i="1"/>
  <c r="I448" i="1"/>
  <c r="J448" i="1"/>
  <c r="M448" i="1"/>
  <c r="N448" i="1"/>
  <c r="O448" i="1"/>
  <c r="S448" i="1"/>
  <c r="T448" i="1"/>
  <c r="X448" i="1"/>
  <c r="Y448" i="1"/>
  <c r="Z448" i="1"/>
  <c r="AD448" i="1"/>
  <c r="AE448" i="1"/>
  <c r="AF448" i="1"/>
  <c r="AG448" i="1"/>
  <c r="AH448" i="1"/>
  <c r="AI448" i="1"/>
  <c r="I449" i="1"/>
  <c r="J449" i="1"/>
  <c r="M449" i="1"/>
  <c r="N449" i="1"/>
  <c r="O449" i="1"/>
  <c r="S449" i="1"/>
  <c r="T449" i="1"/>
  <c r="X449" i="1"/>
  <c r="Y449" i="1"/>
  <c r="Z449" i="1"/>
  <c r="AD449" i="1"/>
  <c r="AE449" i="1"/>
  <c r="AF449" i="1"/>
  <c r="AG449" i="1"/>
  <c r="AH449" i="1"/>
  <c r="AI449" i="1"/>
  <c r="I450" i="1"/>
  <c r="J450" i="1"/>
  <c r="M450" i="1"/>
  <c r="N450" i="1"/>
  <c r="O450" i="1"/>
  <c r="S450" i="1"/>
  <c r="T450" i="1"/>
  <c r="X450" i="1"/>
  <c r="Y450" i="1"/>
  <c r="Z450" i="1"/>
  <c r="AD450" i="1"/>
  <c r="AE450" i="1"/>
  <c r="AF450" i="1"/>
  <c r="AG450" i="1"/>
  <c r="AH450" i="1"/>
  <c r="AI450" i="1"/>
  <c r="I451" i="1"/>
  <c r="J451" i="1"/>
  <c r="M451" i="1"/>
  <c r="N451" i="1"/>
  <c r="O451" i="1"/>
  <c r="S451" i="1"/>
  <c r="T451" i="1"/>
  <c r="X451" i="1"/>
  <c r="Y451" i="1"/>
  <c r="Z451" i="1"/>
  <c r="AD451" i="1"/>
  <c r="AE451" i="1"/>
  <c r="AF451" i="1"/>
  <c r="AG451" i="1"/>
  <c r="AH451" i="1"/>
  <c r="AI451" i="1"/>
  <c r="I452" i="1"/>
  <c r="J452" i="1"/>
  <c r="M452" i="1"/>
  <c r="N452" i="1"/>
  <c r="O452" i="1"/>
  <c r="S452" i="1"/>
  <c r="T452" i="1"/>
  <c r="X452" i="1"/>
  <c r="Y452" i="1"/>
  <c r="Z452" i="1"/>
  <c r="AD452" i="1"/>
  <c r="AE452" i="1"/>
  <c r="AF452" i="1"/>
  <c r="AG452" i="1"/>
  <c r="AH452" i="1"/>
  <c r="AI452" i="1"/>
  <c r="I453" i="1"/>
  <c r="J453" i="1"/>
  <c r="M453" i="1"/>
  <c r="N453" i="1"/>
  <c r="O453" i="1"/>
  <c r="S453" i="1"/>
  <c r="T453" i="1"/>
  <c r="X453" i="1"/>
  <c r="Y453" i="1"/>
  <c r="Z453" i="1"/>
  <c r="AD453" i="1"/>
  <c r="AE453" i="1"/>
  <c r="AF453" i="1"/>
  <c r="AG453" i="1"/>
  <c r="AH453" i="1"/>
  <c r="AI453" i="1"/>
  <c r="I454" i="1"/>
  <c r="J454" i="1"/>
  <c r="M454" i="1"/>
  <c r="N454" i="1"/>
  <c r="O454" i="1"/>
  <c r="S454" i="1"/>
  <c r="T454" i="1"/>
  <c r="X454" i="1"/>
  <c r="Y454" i="1"/>
  <c r="Z454" i="1"/>
  <c r="AD454" i="1"/>
  <c r="AE454" i="1"/>
  <c r="AF454" i="1"/>
  <c r="AG454" i="1"/>
  <c r="AH454" i="1"/>
  <c r="AI454" i="1"/>
  <c r="I455" i="1"/>
  <c r="J455" i="1"/>
  <c r="M455" i="1"/>
  <c r="N455" i="1"/>
  <c r="O455" i="1"/>
  <c r="S455" i="1"/>
  <c r="T455" i="1"/>
  <c r="X455" i="1"/>
  <c r="Y455" i="1"/>
  <c r="Z455" i="1"/>
  <c r="AD455" i="1"/>
  <c r="AE455" i="1"/>
  <c r="AF455" i="1"/>
  <c r="AG455" i="1"/>
  <c r="AH455" i="1"/>
  <c r="AI455" i="1"/>
  <c r="I456" i="1"/>
  <c r="J456" i="1"/>
  <c r="M456" i="1"/>
  <c r="N456" i="1"/>
  <c r="O456" i="1"/>
  <c r="S456" i="1"/>
  <c r="T456" i="1"/>
  <c r="X456" i="1"/>
  <c r="Y456" i="1"/>
  <c r="Z456" i="1"/>
  <c r="AD456" i="1"/>
  <c r="AE456" i="1"/>
  <c r="AF456" i="1"/>
  <c r="AG456" i="1"/>
  <c r="AH456" i="1"/>
  <c r="AI456" i="1"/>
  <c r="I457" i="1"/>
  <c r="J457" i="1"/>
  <c r="M457" i="1"/>
  <c r="N457" i="1"/>
  <c r="O457" i="1"/>
  <c r="S457" i="1"/>
  <c r="T457" i="1"/>
  <c r="X457" i="1"/>
  <c r="Y457" i="1"/>
  <c r="Z457" i="1"/>
  <c r="AD457" i="1"/>
  <c r="AE457" i="1"/>
  <c r="AF457" i="1"/>
  <c r="AG457" i="1"/>
  <c r="AH457" i="1"/>
  <c r="AI457" i="1"/>
  <c r="I458" i="1"/>
  <c r="J458" i="1"/>
  <c r="M458" i="1"/>
  <c r="N458" i="1"/>
  <c r="O458" i="1"/>
  <c r="S458" i="1"/>
  <c r="T458" i="1"/>
  <c r="X458" i="1"/>
  <c r="Y458" i="1"/>
  <c r="Z458" i="1"/>
  <c r="AD458" i="1"/>
  <c r="AE458" i="1"/>
  <c r="AF458" i="1"/>
  <c r="AG458" i="1"/>
  <c r="AH458" i="1"/>
  <c r="AI458" i="1"/>
  <c r="I459" i="1"/>
  <c r="J459" i="1"/>
  <c r="M459" i="1"/>
  <c r="N459" i="1"/>
  <c r="O459" i="1"/>
  <c r="S459" i="1"/>
  <c r="T459" i="1"/>
  <c r="X459" i="1"/>
  <c r="Y459" i="1"/>
  <c r="Z459" i="1"/>
  <c r="AD459" i="1"/>
  <c r="AE459" i="1"/>
  <c r="AF459" i="1"/>
  <c r="AG459" i="1"/>
  <c r="AH459" i="1"/>
  <c r="AI459" i="1"/>
  <c r="I460" i="1"/>
  <c r="J460" i="1"/>
  <c r="M460" i="1"/>
  <c r="N460" i="1"/>
  <c r="O460" i="1"/>
  <c r="S460" i="1"/>
  <c r="T460" i="1"/>
  <c r="X460" i="1"/>
  <c r="Y460" i="1"/>
  <c r="Z460" i="1"/>
  <c r="AD460" i="1"/>
  <c r="AE460" i="1"/>
  <c r="AF460" i="1"/>
  <c r="AG460" i="1"/>
  <c r="AH460" i="1"/>
  <c r="AI460" i="1"/>
  <c r="I461" i="1"/>
  <c r="J461" i="1"/>
  <c r="M461" i="1"/>
  <c r="N461" i="1"/>
  <c r="O461" i="1"/>
  <c r="S461" i="1"/>
  <c r="T461" i="1"/>
  <c r="X461" i="1"/>
  <c r="Y461" i="1"/>
  <c r="Z461" i="1"/>
  <c r="AD461" i="1"/>
  <c r="AE461" i="1"/>
  <c r="AF461" i="1"/>
  <c r="AG461" i="1"/>
  <c r="AH461" i="1"/>
  <c r="AI461" i="1"/>
  <c r="I462" i="1"/>
  <c r="J462" i="1"/>
  <c r="M462" i="1"/>
  <c r="N462" i="1"/>
  <c r="O462" i="1"/>
  <c r="S462" i="1"/>
  <c r="T462" i="1"/>
  <c r="X462" i="1"/>
  <c r="Y462" i="1"/>
  <c r="Z462" i="1"/>
  <c r="AD462" i="1"/>
  <c r="AE462" i="1"/>
  <c r="AF462" i="1"/>
  <c r="AG462" i="1"/>
  <c r="AH462" i="1"/>
  <c r="AI462" i="1"/>
  <c r="I463" i="1"/>
  <c r="J463" i="1"/>
  <c r="M463" i="1"/>
  <c r="N463" i="1"/>
  <c r="O463" i="1"/>
  <c r="S463" i="1"/>
  <c r="T463" i="1"/>
  <c r="X463" i="1"/>
  <c r="Y463" i="1"/>
  <c r="Z463" i="1"/>
  <c r="AD463" i="1"/>
  <c r="AE463" i="1"/>
  <c r="AF463" i="1"/>
  <c r="AG463" i="1"/>
  <c r="AH463" i="1"/>
  <c r="AI463" i="1"/>
  <c r="I464" i="1"/>
  <c r="J464" i="1"/>
  <c r="M464" i="1"/>
  <c r="N464" i="1"/>
  <c r="O464" i="1"/>
  <c r="S464" i="1"/>
  <c r="T464" i="1"/>
  <c r="X464" i="1"/>
  <c r="Y464" i="1"/>
  <c r="Z464" i="1"/>
  <c r="AD464" i="1"/>
  <c r="AE464" i="1"/>
  <c r="AF464" i="1"/>
  <c r="AG464" i="1"/>
  <c r="AH464" i="1"/>
  <c r="AI464" i="1"/>
  <c r="I465" i="1"/>
  <c r="J465" i="1"/>
  <c r="M465" i="1"/>
  <c r="N465" i="1"/>
  <c r="O465" i="1"/>
  <c r="S465" i="1"/>
  <c r="T465" i="1"/>
  <c r="X465" i="1"/>
  <c r="Y465" i="1"/>
  <c r="Z465" i="1"/>
  <c r="AD465" i="1"/>
  <c r="AE465" i="1"/>
  <c r="AF465" i="1"/>
  <c r="AG465" i="1"/>
  <c r="AH465" i="1"/>
  <c r="AI465" i="1"/>
  <c r="I466" i="1"/>
  <c r="J466" i="1"/>
  <c r="M466" i="1"/>
  <c r="N466" i="1"/>
  <c r="O466" i="1"/>
  <c r="S466" i="1"/>
  <c r="T466" i="1"/>
  <c r="X466" i="1"/>
  <c r="Y466" i="1"/>
  <c r="Z466" i="1"/>
  <c r="AD466" i="1"/>
  <c r="AE466" i="1"/>
  <c r="AF466" i="1"/>
  <c r="AG466" i="1"/>
  <c r="AH466" i="1"/>
  <c r="AI466" i="1"/>
  <c r="I467" i="1"/>
  <c r="J467" i="1"/>
  <c r="M467" i="1"/>
  <c r="N467" i="1"/>
  <c r="O467" i="1"/>
  <c r="S467" i="1"/>
  <c r="T467" i="1"/>
  <c r="X467" i="1"/>
  <c r="Y467" i="1"/>
  <c r="Z467" i="1"/>
  <c r="AD467" i="1"/>
  <c r="AE467" i="1"/>
  <c r="AF467" i="1"/>
  <c r="AG467" i="1"/>
  <c r="AH467" i="1"/>
  <c r="AI467" i="1"/>
  <c r="I468" i="1"/>
  <c r="J468" i="1"/>
  <c r="M468" i="1"/>
  <c r="N468" i="1"/>
  <c r="O468" i="1"/>
  <c r="S468" i="1"/>
  <c r="T468" i="1"/>
  <c r="X468" i="1"/>
  <c r="Y468" i="1"/>
  <c r="Z468" i="1"/>
  <c r="AD468" i="1"/>
  <c r="AE468" i="1"/>
  <c r="AF468" i="1"/>
  <c r="AG468" i="1"/>
  <c r="AH468" i="1"/>
  <c r="AI468" i="1"/>
  <c r="I469" i="1"/>
  <c r="J469" i="1"/>
  <c r="M469" i="1"/>
  <c r="N469" i="1"/>
  <c r="O469" i="1"/>
  <c r="S469" i="1"/>
  <c r="T469" i="1"/>
  <c r="X469" i="1"/>
  <c r="Y469" i="1"/>
  <c r="Z469" i="1"/>
  <c r="AD469" i="1"/>
  <c r="AE469" i="1"/>
  <c r="AF469" i="1"/>
  <c r="AG469" i="1"/>
  <c r="AH469" i="1"/>
  <c r="AI469" i="1"/>
  <c r="I470" i="1"/>
  <c r="J470" i="1"/>
  <c r="M470" i="1"/>
  <c r="N470" i="1"/>
  <c r="O470" i="1"/>
  <c r="S470" i="1"/>
  <c r="T470" i="1"/>
  <c r="X470" i="1"/>
  <c r="Y470" i="1"/>
  <c r="Z470" i="1"/>
  <c r="AD470" i="1"/>
  <c r="AE470" i="1"/>
  <c r="AF470" i="1"/>
  <c r="AG470" i="1"/>
  <c r="AH470" i="1"/>
  <c r="AI470" i="1"/>
  <c r="I471" i="1"/>
  <c r="J471" i="1"/>
  <c r="M471" i="1"/>
  <c r="N471" i="1"/>
  <c r="O471" i="1"/>
  <c r="S471" i="1"/>
  <c r="T471" i="1"/>
  <c r="X471" i="1"/>
  <c r="Y471" i="1"/>
  <c r="Z471" i="1"/>
  <c r="AD471" i="1"/>
  <c r="AE471" i="1"/>
  <c r="AF471" i="1"/>
  <c r="AG471" i="1"/>
  <c r="AH471" i="1"/>
  <c r="AI471" i="1"/>
  <c r="I472" i="1"/>
  <c r="J472" i="1"/>
  <c r="M472" i="1"/>
  <c r="N472" i="1"/>
  <c r="O472" i="1"/>
  <c r="S472" i="1"/>
  <c r="T472" i="1"/>
  <c r="X472" i="1"/>
  <c r="Y472" i="1"/>
  <c r="Z472" i="1"/>
  <c r="AD472" i="1"/>
  <c r="AE472" i="1"/>
  <c r="AF472" i="1"/>
  <c r="AG472" i="1"/>
  <c r="AH472" i="1"/>
  <c r="AI472" i="1"/>
  <c r="I473" i="1"/>
  <c r="J473" i="1"/>
  <c r="M473" i="1"/>
  <c r="N473" i="1"/>
  <c r="O473" i="1"/>
  <c r="S473" i="1"/>
  <c r="T473" i="1"/>
  <c r="X473" i="1"/>
  <c r="Y473" i="1"/>
  <c r="Z473" i="1"/>
  <c r="AD473" i="1"/>
  <c r="AE473" i="1"/>
  <c r="AF473" i="1"/>
  <c r="AG473" i="1"/>
  <c r="AH473" i="1"/>
  <c r="AI473" i="1"/>
  <c r="I474" i="1"/>
  <c r="J474" i="1"/>
  <c r="M474" i="1"/>
  <c r="N474" i="1"/>
  <c r="O474" i="1"/>
  <c r="S474" i="1"/>
  <c r="T474" i="1"/>
  <c r="X474" i="1"/>
  <c r="Y474" i="1"/>
  <c r="Z474" i="1"/>
  <c r="AD474" i="1"/>
  <c r="AE474" i="1"/>
  <c r="AF474" i="1"/>
  <c r="AG474" i="1"/>
  <c r="AH474" i="1"/>
  <c r="AI474" i="1"/>
  <c r="I475" i="1"/>
  <c r="J475" i="1"/>
  <c r="M475" i="1"/>
  <c r="N475" i="1"/>
  <c r="O475" i="1"/>
  <c r="S475" i="1"/>
  <c r="T475" i="1"/>
  <c r="X475" i="1"/>
  <c r="Y475" i="1"/>
  <c r="Z475" i="1"/>
  <c r="AD475" i="1"/>
  <c r="AE475" i="1"/>
  <c r="AF475" i="1"/>
  <c r="AG475" i="1"/>
  <c r="AH475" i="1"/>
  <c r="AI475" i="1"/>
  <c r="I476" i="1"/>
  <c r="J476" i="1"/>
  <c r="M476" i="1"/>
  <c r="N476" i="1"/>
  <c r="O476" i="1"/>
  <c r="S476" i="1"/>
  <c r="T476" i="1"/>
  <c r="X476" i="1"/>
  <c r="Y476" i="1"/>
  <c r="Z476" i="1"/>
  <c r="AD476" i="1"/>
  <c r="AE476" i="1"/>
  <c r="AF476" i="1"/>
  <c r="AG476" i="1"/>
  <c r="AH476" i="1"/>
  <c r="AI476" i="1"/>
  <c r="I477" i="1"/>
  <c r="J477" i="1"/>
  <c r="M477" i="1"/>
  <c r="N477" i="1"/>
  <c r="O477" i="1"/>
  <c r="S477" i="1"/>
  <c r="T477" i="1"/>
  <c r="X477" i="1"/>
  <c r="Y477" i="1"/>
  <c r="Z477" i="1"/>
  <c r="AD477" i="1"/>
  <c r="AE477" i="1"/>
  <c r="AF477" i="1"/>
  <c r="AG477" i="1"/>
  <c r="AH477" i="1"/>
  <c r="AI477" i="1"/>
  <c r="I478" i="1"/>
  <c r="J478" i="1"/>
  <c r="M478" i="1"/>
  <c r="N478" i="1"/>
  <c r="O478" i="1"/>
  <c r="S478" i="1"/>
  <c r="T478" i="1"/>
  <c r="X478" i="1"/>
  <c r="Y478" i="1"/>
  <c r="Z478" i="1"/>
  <c r="AD478" i="1"/>
  <c r="AE478" i="1"/>
  <c r="AF478" i="1"/>
  <c r="AG478" i="1"/>
  <c r="AH478" i="1"/>
  <c r="AI478" i="1"/>
  <c r="I479" i="1"/>
  <c r="J479" i="1"/>
  <c r="M479" i="1"/>
  <c r="N479" i="1"/>
  <c r="O479" i="1"/>
  <c r="S479" i="1"/>
  <c r="T479" i="1"/>
  <c r="X479" i="1"/>
  <c r="Y479" i="1"/>
  <c r="Z479" i="1"/>
  <c r="AD479" i="1"/>
  <c r="AE479" i="1"/>
  <c r="AF479" i="1"/>
  <c r="AG479" i="1"/>
  <c r="AH479" i="1"/>
  <c r="AI479" i="1"/>
  <c r="I480" i="1"/>
  <c r="J480" i="1"/>
  <c r="M480" i="1"/>
  <c r="N480" i="1"/>
  <c r="O480" i="1"/>
  <c r="S480" i="1"/>
  <c r="T480" i="1"/>
  <c r="X480" i="1"/>
  <c r="Y480" i="1"/>
  <c r="Z480" i="1"/>
  <c r="AD480" i="1"/>
  <c r="AE480" i="1"/>
  <c r="AF480" i="1"/>
  <c r="AG480" i="1"/>
  <c r="AH480" i="1"/>
  <c r="AI480" i="1"/>
  <c r="I481" i="1"/>
  <c r="J481" i="1"/>
  <c r="M481" i="1"/>
  <c r="N481" i="1"/>
  <c r="O481" i="1"/>
  <c r="S481" i="1"/>
  <c r="T481" i="1"/>
  <c r="X481" i="1"/>
  <c r="Y481" i="1"/>
  <c r="Z481" i="1"/>
  <c r="AD481" i="1"/>
  <c r="AE481" i="1"/>
  <c r="AF481" i="1"/>
  <c r="AG481" i="1"/>
  <c r="AH481" i="1"/>
  <c r="AI481" i="1"/>
  <c r="I482" i="1"/>
  <c r="J482" i="1"/>
  <c r="M482" i="1"/>
  <c r="N482" i="1"/>
  <c r="O482" i="1"/>
  <c r="S482" i="1"/>
  <c r="T482" i="1"/>
  <c r="X482" i="1"/>
  <c r="Y482" i="1"/>
  <c r="Z482" i="1"/>
  <c r="AD482" i="1"/>
  <c r="AE482" i="1"/>
  <c r="AF482" i="1"/>
  <c r="AG482" i="1"/>
  <c r="AH482" i="1"/>
  <c r="AI482" i="1"/>
  <c r="I483" i="1"/>
  <c r="J483" i="1"/>
  <c r="M483" i="1"/>
  <c r="N483" i="1"/>
  <c r="O483" i="1"/>
  <c r="S483" i="1"/>
  <c r="T483" i="1"/>
  <c r="X483" i="1"/>
  <c r="Y483" i="1"/>
  <c r="Z483" i="1"/>
  <c r="AD483" i="1"/>
  <c r="AE483" i="1"/>
  <c r="AF483" i="1"/>
  <c r="AG483" i="1"/>
  <c r="AH483" i="1"/>
  <c r="AI483" i="1"/>
  <c r="I484" i="1"/>
  <c r="J484" i="1"/>
  <c r="M484" i="1"/>
  <c r="N484" i="1"/>
  <c r="O484" i="1"/>
  <c r="S484" i="1"/>
  <c r="T484" i="1"/>
  <c r="X484" i="1"/>
  <c r="Y484" i="1"/>
  <c r="Z484" i="1"/>
  <c r="AD484" i="1"/>
  <c r="AE484" i="1"/>
  <c r="AF484" i="1"/>
  <c r="AG484" i="1"/>
  <c r="AH484" i="1"/>
  <c r="AI484" i="1"/>
  <c r="I485" i="1"/>
  <c r="J485" i="1"/>
  <c r="M485" i="1"/>
  <c r="N485" i="1"/>
  <c r="O485" i="1"/>
  <c r="S485" i="1"/>
  <c r="T485" i="1"/>
  <c r="X485" i="1"/>
  <c r="Y485" i="1"/>
  <c r="Z485" i="1"/>
  <c r="AD485" i="1"/>
  <c r="AE485" i="1"/>
  <c r="AF485" i="1"/>
  <c r="AG485" i="1"/>
  <c r="AH485" i="1"/>
  <c r="AI485" i="1"/>
  <c r="I486" i="1"/>
  <c r="J486" i="1"/>
  <c r="M486" i="1"/>
  <c r="N486" i="1"/>
  <c r="O486" i="1"/>
  <c r="S486" i="1"/>
  <c r="T486" i="1"/>
  <c r="X486" i="1"/>
  <c r="Y486" i="1"/>
  <c r="Z486" i="1"/>
  <c r="AD486" i="1"/>
  <c r="AE486" i="1"/>
  <c r="AF486" i="1"/>
  <c r="AG486" i="1"/>
  <c r="AH486" i="1"/>
  <c r="AI486" i="1"/>
  <c r="I487" i="1"/>
  <c r="J487" i="1"/>
  <c r="M487" i="1"/>
  <c r="N487" i="1"/>
  <c r="O487" i="1"/>
  <c r="S487" i="1"/>
  <c r="T487" i="1"/>
  <c r="X487" i="1"/>
  <c r="Y487" i="1"/>
  <c r="Z487" i="1"/>
  <c r="AD487" i="1"/>
  <c r="AE487" i="1"/>
  <c r="AF487" i="1"/>
  <c r="AG487" i="1"/>
  <c r="AH487" i="1"/>
  <c r="AI487" i="1"/>
  <c r="I488" i="1"/>
  <c r="J488" i="1"/>
  <c r="M488" i="1"/>
  <c r="N488" i="1"/>
  <c r="O488" i="1"/>
  <c r="S488" i="1"/>
  <c r="T488" i="1"/>
  <c r="X488" i="1"/>
  <c r="Y488" i="1"/>
  <c r="Z488" i="1"/>
  <c r="AD488" i="1"/>
  <c r="AE488" i="1"/>
  <c r="AF488" i="1"/>
  <c r="AG488" i="1"/>
  <c r="AH488" i="1"/>
  <c r="AI488" i="1"/>
  <c r="I489" i="1"/>
  <c r="J489" i="1"/>
  <c r="M489" i="1"/>
  <c r="N489" i="1"/>
  <c r="O489" i="1"/>
  <c r="S489" i="1"/>
  <c r="T489" i="1"/>
  <c r="X489" i="1"/>
  <c r="Y489" i="1"/>
  <c r="Z489" i="1"/>
  <c r="AD489" i="1"/>
  <c r="AE489" i="1"/>
  <c r="AF489" i="1"/>
  <c r="AG489" i="1"/>
  <c r="AH489" i="1"/>
  <c r="AI489" i="1"/>
  <c r="I490" i="1"/>
  <c r="J490" i="1"/>
  <c r="M490" i="1"/>
  <c r="N490" i="1"/>
  <c r="O490" i="1"/>
  <c r="S490" i="1"/>
  <c r="T490" i="1"/>
  <c r="X490" i="1"/>
  <c r="Y490" i="1"/>
  <c r="Z490" i="1"/>
  <c r="AD490" i="1"/>
  <c r="AE490" i="1"/>
  <c r="AF490" i="1"/>
  <c r="AG490" i="1"/>
  <c r="AH490" i="1"/>
  <c r="AI490" i="1"/>
  <c r="I491" i="1"/>
  <c r="J491" i="1"/>
  <c r="M491" i="1"/>
  <c r="N491" i="1"/>
  <c r="O491" i="1"/>
  <c r="S491" i="1"/>
  <c r="T491" i="1"/>
  <c r="X491" i="1"/>
  <c r="Y491" i="1"/>
  <c r="Z491" i="1"/>
  <c r="AD491" i="1"/>
  <c r="AE491" i="1"/>
  <c r="AF491" i="1"/>
  <c r="AG491" i="1"/>
  <c r="AH491" i="1"/>
  <c r="AI491" i="1"/>
  <c r="I492" i="1"/>
  <c r="J492" i="1"/>
  <c r="M492" i="1"/>
  <c r="N492" i="1"/>
  <c r="O492" i="1"/>
  <c r="S492" i="1"/>
  <c r="T492" i="1"/>
  <c r="X492" i="1"/>
  <c r="Y492" i="1"/>
  <c r="Z492" i="1"/>
  <c r="AD492" i="1"/>
  <c r="AE492" i="1"/>
  <c r="AF492" i="1"/>
  <c r="AG492" i="1"/>
  <c r="AH492" i="1"/>
  <c r="AI492" i="1"/>
  <c r="I493" i="1"/>
  <c r="J493" i="1"/>
  <c r="M493" i="1"/>
  <c r="N493" i="1"/>
  <c r="O493" i="1"/>
  <c r="S493" i="1"/>
  <c r="T493" i="1"/>
  <c r="X493" i="1"/>
  <c r="Y493" i="1"/>
  <c r="Z493" i="1"/>
  <c r="AD493" i="1"/>
  <c r="AE493" i="1"/>
  <c r="AF493" i="1"/>
  <c r="AG493" i="1"/>
  <c r="AH493" i="1"/>
  <c r="AI493" i="1"/>
  <c r="I494" i="1"/>
  <c r="J494" i="1"/>
  <c r="M494" i="1"/>
  <c r="N494" i="1"/>
  <c r="O494" i="1"/>
  <c r="S494" i="1"/>
  <c r="T494" i="1"/>
  <c r="X494" i="1"/>
  <c r="Y494" i="1"/>
  <c r="Z494" i="1"/>
  <c r="AD494" i="1"/>
  <c r="AE494" i="1"/>
  <c r="AF494" i="1"/>
  <c r="AG494" i="1"/>
  <c r="AH494" i="1"/>
  <c r="AI494" i="1"/>
  <c r="I495" i="1"/>
  <c r="J495" i="1"/>
  <c r="M495" i="1"/>
  <c r="N495" i="1"/>
  <c r="O495" i="1"/>
  <c r="S495" i="1"/>
  <c r="T495" i="1"/>
  <c r="X495" i="1"/>
  <c r="Y495" i="1"/>
  <c r="Z495" i="1"/>
  <c r="AD495" i="1"/>
  <c r="AE495" i="1"/>
  <c r="AF495" i="1"/>
  <c r="AG495" i="1"/>
  <c r="AH495" i="1"/>
  <c r="AI495" i="1"/>
  <c r="I496" i="1"/>
  <c r="J496" i="1"/>
  <c r="M496" i="1"/>
  <c r="N496" i="1"/>
  <c r="O496" i="1"/>
  <c r="S496" i="1"/>
  <c r="T496" i="1"/>
  <c r="X496" i="1"/>
  <c r="Y496" i="1"/>
  <c r="Z496" i="1"/>
  <c r="AD496" i="1"/>
  <c r="AE496" i="1"/>
  <c r="AF496" i="1"/>
  <c r="AG496" i="1"/>
  <c r="AH496" i="1"/>
  <c r="AI496" i="1"/>
  <c r="I497" i="1"/>
  <c r="J497" i="1"/>
  <c r="M497" i="1"/>
  <c r="N497" i="1"/>
  <c r="O497" i="1"/>
  <c r="S497" i="1"/>
  <c r="T497" i="1"/>
  <c r="X497" i="1"/>
  <c r="Y497" i="1"/>
  <c r="Z497" i="1"/>
  <c r="AD497" i="1"/>
  <c r="AE497" i="1"/>
  <c r="AF497" i="1"/>
  <c r="AG497" i="1"/>
  <c r="AH497" i="1"/>
  <c r="AI497" i="1"/>
  <c r="I498" i="1"/>
  <c r="J498" i="1"/>
  <c r="M498" i="1"/>
  <c r="N498" i="1"/>
  <c r="O498" i="1"/>
  <c r="S498" i="1"/>
  <c r="T498" i="1"/>
  <c r="X498" i="1"/>
  <c r="Y498" i="1"/>
  <c r="Z498" i="1"/>
  <c r="AD498" i="1"/>
  <c r="AE498" i="1"/>
  <c r="AF498" i="1"/>
  <c r="AG498" i="1"/>
  <c r="AH498" i="1"/>
  <c r="AI498" i="1"/>
  <c r="I499" i="1"/>
  <c r="J499" i="1"/>
  <c r="M499" i="1"/>
  <c r="N499" i="1"/>
  <c r="O499" i="1"/>
  <c r="S499" i="1"/>
  <c r="T499" i="1"/>
  <c r="X499" i="1"/>
  <c r="Y499" i="1"/>
  <c r="Z499" i="1"/>
  <c r="AD499" i="1"/>
  <c r="AE499" i="1"/>
  <c r="AF499" i="1"/>
  <c r="AG499" i="1"/>
  <c r="AH499" i="1"/>
  <c r="AI499" i="1"/>
  <c r="I500" i="1"/>
  <c r="J500" i="1"/>
  <c r="M500" i="1"/>
  <c r="N500" i="1"/>
  <c r="O500" i="1"/>
  <c r="S500" i="1"/>
  <c r="T500" i="1"/>
  <c r="X500" i="1"/>
  <c r="Y500" i="1"/>
  <c r="Z500" i="1"/>
  <c r="AD500" i="1"/>
  <c r="AE500" i="1"/>
  <c r="AF500" i="1"/>
  <c r="AG500" i="1"/>
  <c r="AH500" i="1"/>
  <c r="AI500" i="1"/>
  <c r="I501" i="1"/>
  <c r="J501" i="1"/>
  <c r="M501" i="1"/>
  <c r="N501" i="1"/>
  <c r="O501" i="1"/>
  <c r="S501" i="1"/>
  <c r="T501" i="1"/>
  <c r="X501" i="1"/>
  <c r="Y501" i="1"/>
  <c r="Z501" i="1"/>
  <c r="AD501" i="1"/>
  <c r="AE501" i="1"/>
  <c r="AF501" i="1"/>
  <c r="AG501" i="1"/>
  <c r="AH501" i="1"/>
  <c r="AI501" i="1"/>
  <c r="I502" i="1"/>
  <c r="J502" i="1"/>
  <c r="M502" i="1"/>
  <c r="N502" i="1"/>
  <c r="O502" i="1"/>
  <c r="S502" i="1"/>
  <c r="T502" i="1"/>
  <c r="X502" i="1"/>
  <c r="Y502" i="1"/>
  <c r="Z502" i="1"/>
  <c r="AD502" i="1"/>
  <c r="AE502" i="1"/>
  <c r="AF502" i="1"/>
  <c r="AG502" i="1"/>
  <c r="AH502" i="1"/>
  <c r="AI502" i="1"/>
  <c r="I503" i="1"/>
  <c r="J503" i="1"/>
  <c r="M503" i="1"/>
  <c r="N503" i="1"/>
  <c r="O503" i="1"/>
  <c r="S503" i="1"/>
  <c r="T503" i="1"/>
  <c r="X503" i="1"/>
  <c r="Y503" i="1"/>
  <c r="Z503" i="1"/>
  <c r="AD503" i="1"/>
  <c r="AE503" i="1"/>
  <c r="AF503" i="1"/>
  <c r="AG503" i="1"/>
  <c r="AH503" i="1"/>
  <c r="AI503" i="1"/>
  <c r="I504" i="1"/>
  <c r="J504" i="1"/>
  <c r="M504" i="1"/>
  <c r="N504" i="1"/>
  <c r="O504" i="1"/>
  <c r="S504" i="1"/>
  <c r="T504" i="1"/>
  <c r="X504" i="1"/>
  <c r="Y504" i="1"/>
  <c r="Z504" i="1"/>
  <c r="AD504" i="1"/>
  <c r="AE504" i="1"/>
  <c r="AF504" i="1"/>
  <c r="AG504" i="1"/>
  <c r="AH504" i="1"/>
  <c r="AI504" i="1"/>
  <c r="I505" i="1"/>
  <c r="J505" i="1"/>
  <c r="M505" i="1"/>
  <c r="N505" i="1"/>
  <c r="O505" i="1"/>
  <c r="S505" i="1"/>
  <c r="T505" i="1"/>
  <c r="X505" i="1"/>
  <c r="Y505" i="1"/>
  <c r="Z505" i="1"/>
  <c r="AD505" i="1"/>
  <c r="AE505" i="1"/>
  <c r="AF505" i="1"/>
  <c r="AG505" i="1"/>
  <c r="AH505" i="1"/>
  <c r="AI505" i="1"/>
  <c r="I506" i="1"/>
  <c r="J506" i="1"/>
  <c r="M506" i="1"/>
  <c r="N506" i="1"/>
  <c r="O506" i="1"/>
  <c r="S506" i="1"/>
  <c r="T506" i="1"/>
  <c r="X506" i="1"/>
  <c r="Y506" i="1"/>
  <c r="Z506" i="1"/>
  <c r="AD506" i="1"/>
  <c r="AE506" i="1"/>
  <c r="AF506" i="1"/>
  <c r="AG506" i="1"/>
  <c r="AH506" i="1"/>
  <c r="AI506" i="1"/>
  <c r="I507" i="1"/>
  <c r="J507" i="1"/>
  <c r="M507" i="1"/>
  <c r="N507" i="1"/>
  <c r="O507" i="1"/>
  <c r="S507" i="1"/>
  <c r="T507" i="1"/>
  <c r="X507" i="1"/>
  <c r="Y507" i="1"/>
  <c r="Z507" i="1"/>
  <c r="AD507" i="1"/>
  <c r="AE507" i="1"/>
  <c r="AF507" i="1"/>
  <c r="AG507" i="1"/>
  <c r="AH507" i="1"/>
  <c r="AI507" i="1"/>
  <c r="I508" i="1"/>
  <c r="J508" i="1"/>
  <c r="M508" i="1"/>
  <c r="N508" i="1"/>
  <c r="O508" i="1"/>
  <c r="S508" i="1"/>
  <c r="T508" i="1"/>
  <c r="X508" i="1"/>
  <c r="Y508" i="1"/>
  <c r="Z508" i="1"/>
  <c r="AD508" i="1"/>
  <c r="AE508" i="1"/>
  <c r="AF508" i="1"/>
  <c r="AG508" i="1"/>
  <c r="AH508" i="1"/>
  <c r="AI508" i="1"/>
  <c r="I509" i="1"/>
  <c r="J509" i="1"/>
  <c r="M509" i="1"/>
  <c r="N509" i="1"/>
  <c r="O509" i="1"/>
  <c r="S509" i="1"/>
  <c r="T509" i="1"/>
  <c r="X509" i="1"/>
  <c r="Y509" i="1"/>
  <c r="Z509" i="1"/>
  <c r="AD509" i="1"/>
  <c r="AE509" i="1"/>
  <c r="AF509" i="1"/>
  <c r="AG509" i="1"/>
  <c r="AH509" i="1"/>
  <c r="AI509" i="1"/>
  <c r="I510" i="1"/>
  <c r="J510" i="1"/>
  <c r="M510" i="1"/>
  <c r="N510" i="1"/>
  <c r="O510" i="1"/>
  <c r="S510" i="1"/>
  <c r="T510" i="1"/>
  <c r="X510" i="1"/>
  <c r="Y510" i="1"/>
  <c r="Z510" i="1"/>
  <c r="AD510" i="1"/>
  <c r="AE510" i="1"/>
  <c r="AF510" i="1"/>
  <c r="AG510" i="1"/>
  <c r="AH510" i="1"/>
  <c r="AI510" i="1"/>
  <c r="I511" i="1"/>
  <c r="J511" i="1"/>
  <c r="M511" i="1"/>
  <c r="N511" i="1"/>
  <c r="O511" i="1"/>
  <c r="S511" i="1"/>
  <c r="T511" i="1"/>
  <c r="X511" i="1"/>
  <c r="Y511" i="1"/>
  <c r="Z511" i="1"/>
  <c r="AD511" i="1"/>
  <c r="AE511" i="1"/>
  <c r="AF511" i="1"/>
  <c r="AG511" i="1"/>
  <c r="AH511" i="1"/>
  <c r="AI511" i="1"/>
  <c r="I512" i="1"/>
  <c r="J512" i="1"/>
  <c r="M512" i="1"/>
  <c r="N512" i="1"/>
  <c r="O512" i="1"/>
  <c r="S512" i="1"/>
  <c r="T512" i="1"/>
  <c r="X512" i="1"/>
  <c r="Y512" i="1"/>
  <c r="Z512" i="1"/>
  <c r="AD512" i="1"/>
  <c r="AE512" i="1"/>
  <c r="AF512" i="1"/>
  <c r="AG512" i="1"/>
  <c r="AH512" i="1"/>
  <c r="AI512" i="1"/>
  <c r="I513" i="1"/>
  <c r="J513" i="1"/>
  <c r="M513" i="1"/>
  <c r="N513" i="1"/>
  <c r="O513" i="1"/>
  <c r="S513" i="1"/>
  <c r="T513" i="1"/>
  <c r="X513" i="1"/>
  <c r="Y513" i="1"/>
  <c r="Z513" i="1"/>
  <c r="AD513" i="1"/>
  <c r="AE513" i="1"/>
  <c r="AF513" i="1"/>
  <c r="AG513" i="1"/>
  <c r="AH513" i="1"/>
  <c r="AI513" i="1"/>
  <c r="I514" i="1"/>
  <c r="J514" i="1"/>
  <c r="M514" i="1"/>
  <c r="N514" i="1"/>
  <c r="O514" i="1"/>
  <c r="S514" i="1"/>
  <c r="T514" i="1"/>
  <c r="X514" i="1"/>
  <c r="Y514" i="1"/>
  <c r="Z514" i="1"/>
  <c r="AD514" i="1"/>
  <c r="AE514" i="1"/>
  <c r="AF514" i="1"/>
  <c r="AG514" i="1"/>
  <c r="AH514" i="1"/>
  <c r="AI514" i="1"/>
  <c r="I515" i="1"/>
  <c r="J515" i="1"/>
  <c r="M515" i="1"/>
  <c r="N515" i="1"/>
  <c r="O515" i="1"/>
  <c r="S515" i="1"/>
  <c r="T515" i="1"/>
  <c r="X515" i="1"/>
  <c r="Y515" i="1"/>
  <c r="Z515" i="1"/>
  <c r="AD515" i="1"/>
  <c r="AE515" i="1"/>
  <c r="AF515" i="1"/>
  <c r="AG515" i="1"/>
  <c r="AH515" i="1"/>
  <c r="AI515" i="1"/>
  <c r="I516" i="1"/>
  <c r="J516" i="1"/>
  <c r="M516" i="1"/>
  <c r="N516" i="1"/>
  <c r="O516" i="1"/>
  <c r="S516" i="1"/>
  <c r="T516" i="1"/>
  <c r="X516" i="1"/>
  <c r="Y516" i="1"/>
  <c r="Z516" i="1"/>
  <c r="AD516" i="1"/>
  <c r="AE516" i="1"/>
  <c r="AF516" i="1"/>
  <c r="AG516" i="1"/>
  <c r="AH516" i="1"/>
  <c r="AI516" i="1"/>
  <c r="I517" i="1"/>
  <c r="J517" i="1"/>
  <c r="M517" i="1"/>
  <c r="N517" i="1"/>
  <c r="O517" i="1"/>
  <c r="S517" i="1"/>
  <c r="T517" i="1"/>
  <c r="X517" i="1"/>
  <c r="Y517" i="1"/>
  <c r="Z517" i="1"/>
  <c r="AD517" i="1"/>
  <c r="AE517" i="1"/>
  <c r="AF517" i="1"/>
  <c r="AG517" i="1"/>
  <c r="AH517" i="1"/>
  <c r="AI517" i="1"/>
  <c r="I518" i="1"/>
  <c r="J518" i="1"/>
  <c r="M518" i="1"/>
  <c r="N518" i="1"/>
  <c r="O518" i="1"/>
  <c r="S518" i="1"/>
  <c r="T518" i="1"/>
  <c r="X518" i="1"/>
  <c r="Y518" i="1"/>
  <c r="Z518" i="1"/>
  <c r="AD518" i="1"/>
  <c r="AE518" i="1"/>
  <c r="AF518" i="1"/>
  <c r="AG518" i="1"/>
  <c r="AH518" i="1"/>
  <c r="AI518" i="1"/>
  <c r="I519" i="1"/>
  <c r="J519" i="1"/>
  <c r="M519" i="1"/>
  <c r="N519" i="1"/>
  <c r="O519" i="1"/>
  <c r="S519" i="1"/>
  <c r="T519" i="1"/>
  <c r="X519" i="1"/>
  <c r="Y519" i="1"/>
  <c r="Z519" i="1"/>
  <c r="AD519" i="1"/>
  <c r="AE519" i="1"/>
  <c r="AF519" i="1"/>
  <c r="AG519" i="1"/>
  <c r="AH519" i="1"/>
  <c r="AI519" i="1"/>
  <c r="I520" i="1"/>
  <c r="J520" i="1"/>
  <c r="M520" i="1"/>
  <c r="N520" i="1"/>
  <c r="O520" i="1"/>
  <c r="S520" i="1"/>
  <c r="T520" i="1"/>
  <c r="X520" i="1"/>
  <c r="Y520" i="1"/>
  <c r="Z520" i="1"/>
  <c r="AD520" i="1"/>
  <c r="AE520" i="1"/>
  <c r="AF520" i="1"/>
  <c r="AG520" i="1"/>
  <c r="AH520" i="1"/>
  <c r="AI520" i="1"/>
  <c r="I521" i="1"/>
  <c r="J521" i="1"/>
  <c r="M521" i="1"/>
  <c r="N521" i="1"/>
  <c r="O521" i="1"/>
  <c r="S521" i="1"/>
  <c r="T521" i="1"/>
  <c r="X521" i="1"/>
  <c r="Y521" i="1"/>
  <c r="Z521" i="1"/>
  <c r="AD521" i="1"/>
  <c r="AE521" i="1"/>
  <c r="AF521" i="1"/>
  <c r="AG521" i="1"/>
  <c r="AH521" i="1"/>
  <c r="AI521" i="1"/>
  <c r="I522" i="1"/>
  <c r="J522" i="1"/>
  <c r="M522" i="1"/>
  <c r="N522" i="1"/>
  <c r="O522" i="1"/>
  <c r="S522" i="1"/>
  <c r="T522" i="1"/>
  <c r="X522" i="1"/>
  <c r="Y522" i="1"/>
  <c r="Z522" i="1"/>
  <c r="AD522" i="1"/>
  <c r="AE522" i="1"/>
  <c r="AF522" i="1"/>
  <c r="AG522" i="1"/>
  <c r="AH522" i="1"/>
  <c r="AI522" i="1"/>
  <c r="I523" i="1"/>
  <c r="J523" i="1"/>
  <c r="M523" i="1"/>
  <c r="N523" i="1"/>
  <c r="O523" i="1"/>
  <c r="S523" i="1"/>
  <c r="T523" i="1"/>
  <c r="X523" i="1"/>
  <c r="Y523" i="1"/>
  <c r="Z523" i="1"/>
  <c r="AD523" i="1"/>
  <c r="AE523" i="1"/>
  <c r="AF523" i="1"/>
  <c r="AG523" i="1"/>
  <c r="AH523" i="1"/>
  <c r="AI523" i="1"/>
  <c r="I524" i="1"/>
  <c r="J524" i="1"/>
  <c r="M524" i="1"/>
  <c r="N524" i="1"/>
  <c r="O524" i="1"/>
  <c r="S524" i="1"/>
  <c r="T524" i="1"/>
  <c r="X524" i="1"/>
  <c r="Y524" i="1"/>
  <c r="Z524" i="1"/>
  <c r="AD524" i="1"/>
  <c r="AE524" i="1"/>
  <c r="AF524" i="1"/>
  <c r="AG524" i="1"/>
  <c r="AH524" i="1"/>
  <c r="AI524" i="1"/>
  <c r="I525" i="1"/>
  <c r="J525" i="1"/>
  <c r="M525" i="1"/>
  <c r="N525" i="1"/>
  <c r="O525" i="1"/>
  <c r="S525" i="1"/>
  <c r="T525" i="1"/>
  <c r="X525" i="1"/>
  <c r="Y525" i="1"/>
  <c r="Z525" i="1"/>
  <c r="AD525" i="1"/>
  <c r="AE525" i="1"/>
  <c r="AF525" i="1"/>
  <c r="AG525" i="1"/>
  <c r="AH525" i="1"/>
  <c r="AI525" i="1"/>
  <c r="I526" i="1"/>
  <c r="J526" i="1"/>
  <c r="M526" i="1"/>
  <c r="N526" i="1"/>
  <c r="O526" i="1"/>
  <c r="S526" i="1"/>
  <c r="T526" i="1"/>
  <c r="X526" i="1"/>
  <c r="Y526" i="1"/>
  <c r="Z526" i="1"/>
  <c r="AD526" i="1"/>
  <c r="AE526" i="1"/>
  <c r="AF526" i="1"/>
  <c r="AG526" i="1"/>
  <c r="AH526" i="1"/>
  <c r="AI526" i="1"/>
  <c r="I527" i="1"/>
  <c r="J527" i="1"/>
  <c r="M527" i="1"/>
  <c r="N527" i="1"/>
  <c r="O527" i="1"/>
  <c r="S527" i="1"/>
  <c r="T527" i="1"/>
  <c r="X527" i="1"/>
  <c r="Y527" i="1"/>
  <c r="Z527" i="1"/>
  <c r="AD527" i="1"/>
  <c r="AE527" i="1"/>
  <c r="AF527" i="1"/>
  <c r="AG527" i="1"/>
  <c r="AH527" i="1"/>
  <c r="AI527" i="1"/>
  <c r="I528" i="1"/>
  <c r="J528" i="1"/>
  <c r="M528" i="1"/>
  <c r="N528" i="1"/>
  <c r="O528" i="1"/>
  <c r="S528" i="1"/>
  <c r="T528" i="1"/>
  <c r="X528" i="1"/>
  <c r="Y528" i="1"/>
  <c r="Z528" i="1"/>
  <c r="AD528" i="1"/>
  <c r="AE528" i="1"/>
  <c r="AF528" i="1"/>
  <c r="AG528" i="1"/>
  <c r="AH528" i="1"/>
  <c r="AI528" i="1"/>
  <c r="I529" i="1"/>
  <c r="J529" i="1"/>
  <c r="M529" i="1"/>
  <c r="N529" i="1"/>
  <c r="O529" i="1"/>
  <c r="S529" i="1"/>
  <c r="T529" i="1"/>
  <c r="X529" i="1"/>
  <c r="Y529" i="1"/>
  <c r="Z529" i="1"/>
  <c r="AD529" i="1"/>
  <c r="AE529" i="1"/>
  <c r="AF529" i="1"/>
  <c r="AG529" i="1"/>
  <c r="AH529" i="1"/>
  <c r="AI529" i="1"/>
  <c r="I530" i="1"/>
  <c r="J530" i="1"/>
  <c r="M530" i="1"/>
  <c r="N530" i="1"/>
  <c r="O530" i="1"/>
  <c r="S530" i="1"/>
  <c r="T530" i="1"/>
  <c r="X530" i="1"/>
  <c r="Y530" i="1"/>
  <c r="Z530" i="1"/>
  <c r="AD530" i="1"/>
  <c r="AE530" i="1"/>
  <c r="AF530" i="1"/>
  <c r="AG530" i="1"/>
  <c r="AH530" i="1"/>
  <c r="AI530" i="1"/>
  <c r="I531" i="1"/>
  <c r="J531" i="1"/>
  <c r="M531" i="1"/>
  <c r="N531" i="1"/>
  <c r="O531" i="1"/>
  <c r="S531" i="1"/>
  <c r="T531" i="1"/>
  <c r="X531" i="1"/>
  <c r="Y531" i="1"/>
  <c r="Z531" i="1"/>
  <c r="AD531" i="1"/>
  <c r="AE531" i="1"/>
  <c r="AF531" i="1"/>
  <c r="AG531" i="1"/>
  <c r="AH531" i="1"/>
  <c r="AI531" i="1"/>
  <c r="I532" i="1"/>
  <c r="J532" i="1"/>
  <c r="M532" i="1"/>
  <c r="N532" i="1"/>
  <c r="O532" i="1"/>
  <c r="S532" i="1"/>
  <c r="T532" i="1"/>
  <c r="X532" i="1"/>
  <c r="Y532" i="1"/>
  <c r="Z532" i="1"/>
  <c r="AD532" i="1"/>
  <c r="AE532" i="1"/>
  <c r="AF532" i="1"/>
  <c r="AG532" i="1"/>
  <c r="AH532" i="1"/>
  <c r="AI532" i="1"/>
  <c r="I533" i="1"/>
  <c r="J533" i="1"/>
  <c r="M533" i="1"/>
  <c r="N533" i="1"/>
  <c r="O533" i="1"/>
  <c r="S533" i="1"/>
  <c r="T533" i="1"/>
  <c r="X533" i="1"/>
  <c r="Y533" i="1"/>
  <c r="Z533" i="1"/>
  <c r="AD533" i="1"/>
  <c r="AE533" i="1"/>
  <c r="AF533" i="1"/>
  <c r="AG533" i="1"/>
  <c r="AH533" i="1"/>
  <c r="AI533" i="1"/>
  <c r="I534" i="1"/>
  <c r="J534" i="1"/>
  <c r="M534" i="1"/>
  <c r="N534" i="1"/>
  <c r="O534" i="1"/>
  <c r="S534" i="1"/>
  <c r="T534" i="1"/>
  <c r="X534" i="1"/>
  <c r="Y534" i="1"/>
  <c r="Z534" i="1"/>
  <c r="AD534" i="1"/>
  <c r="AE534" i="1"/>
  <c r="AF534" i="1"/>
  <c r="AG534" i="1"/>
  <c r="AH534" i="1"/>
  <c r="AI534" i="1"/>
  <c r="I535" i="1"/>
  <c r="J535" i="1"/>
  <c r="M535" i="1"/>
  <c r="N535" i="1"/>
  <c r="O535" i="1"/>
  <c r="S535" i="1"/>
  <c r="T535" i="1"/>
  <c r="X535" i="1"/>
  <c r="Y535" i="1"/>
  <c r="Z535" i="1"/>
  <c r="AD535" i="1"/>
  <c r="AE535" i="1"/>
  <c r="AF535" i="1"/>
  <c r="AG535" i="1"/>
  <c r="AH535" i="1"/>
  <c r="AI535" i="1"/>
  <c r="I536" i="1"/>
  <c r="J536" i="1"/>
  <c r="M536" i="1"/>
  <c r="N536" i="1"/>
  <c r="O536" i="1"/>
  <c r="S536" i="1"/>
  <c r="T536" i="1"/>
  <c r="X536" i="1"/>
  <c r="Y536" i="1"/>
  <c r="Z536" i="1"/>
  <c r="AD536" i="1"/>
  <c r="AE536" i="1"/>
  <c r="AF536" i="1"/>
  <c r="AG536" i="1"/>
  <c r="AH536" i="1"/>
  <c r="AI536" i="1"/>
  <c r="I537" i="1"/>
  <c r="J537" i="1"/>
  <c r="M537" i="1"/>
  <c r="N537" i="1"/>
  <c r="O537" i="1"/>
  <c r="S537" i="1"/>
  <c r="T537" i="1"/>
  <c r="X537" i="1"/>
  <c r="Y537" i="1"/>
  <c r="Z537" i="1"/>
  <c r="AD537" i="1"/>
  <c r="AE537" i="1"/>
  <c r="AF537" i="1"/>
  <c r="AG537" i="1"/>
  <c r="AH537" i="1"/>
  <c r="AI537" i="1"/>
  <c r="I538" i="1"/>
  <c r="J538" i="1"/>
  <c r="M538" i="1"/>
  <c r="N538" i="1"/>
  <c r="O538" i="1"/>
  <c r="S538" i="1"/>
  <c r="T538" i="1"/>
  <c r="X538" i="1"/>
  <c r="Y538" i="1"/>
  <c r="Z538" i="1"/>
  <c r="AD538" i="1"/>
  <c r="AE538" i="1"/>
  <c r="AF538" i="1"/>
  <c r="AG538" i="1"/>
  <c r="AH538" i="1"/>
  <c r="AI538" i="1"/>
  <c r="I539" i="1"/>
  <c r="J539" i="1"/>
  <c r="M539" i="1"/>
  <c r="N539" i="1"/>
  <c r="O539" i="1"/>
  <c r="S539" i="1"/>
  <c r="T539" i="1"/>
  <c r="X539" i="1"/>
  <c r="Y539" i="1"/>
  <c r="Z539" i="1"/>
  <c r="AD539" i="1"/>
  <c r="AE539" i="1"/>
  <c r="AF539" i="1"/>
  <c r="AG539" i="1"/>
  <c r="AH539" i="1"/>
  <c r="AI539" i="1"/>
  <c r="I540" i="1"/>
  <c r="J540" i="1"/>
  <c r="M540" i="1"/>
  <c r="N540" i="1"/>
  <c r="O540" i="1"/>
  <c r="S540" i="1"/>
  <c r="T540" i="1"/>
  <c r="X540" i="1"/>
  <c r="Y540" i="1"/>
  <c r="Z540" i="1"/>
  <c r="AD540" i="1"/>
  <c r="AE540" i="1"/>
  <c r="AF540" i="1"/>
  <c r="AG540" i="1"/>
  <c r="AH540" i="1"/>
  <c r="AI540" i="1"/>
  <c r="I541" i="1"/>
  <c r="J541" i="1"/>
  <c r="M541" i="1"/>
  <c r="N541" i="1"/>
  <c r="O541" i="1"/>
  <c r="S541" i="1"/>
  <c r="T541" i="1"/>
  <c r="X541" i="1"/>
  <c r="Y541" i="1"/>
  <c r="Z541" i="1"/>
  <c r="AD541" i="1"/>
  <c r="AE541" i="1"/>
  <c r="AF541" i="1"/>
  <c r="AG541" i="1"/>
  <c r="AH541" i="1"/>
  <c r="AI541" i="1"/>
  <c r="I542" i="1"/>
  <c r="J542" i="1"/>
  <c r="M542" i="1"/>
  <c r="N542" i="1"/>
  <c r="O542" i="1"/>
  <c r="S542" i="1"/>
  <c r="T542" i="1"/>
  <c r="X542" i="1"/>
  <c r="Y542" i="1"/>
  <c r="Z542" i="1"/>
  <c r="AD542" i="1"/>
  <c r="AE542" i="1"/>
  <c r="AF542" i="1"/>
  <c r="AG542" i="1"/>
  <c r="AH542" i="1"/>
  <c r="AI542" i="1"/>
  <c r="I543" i="1"/>
  <c r="J543" i="1"/>
  <c r="M543" i="1"/>
  <c r="N543" i="1"/>
  <c r="O543" i="1"/>
  <c r="S543" i="1"/>
  <c r="T543" i="1"/>
  <c r="X543" i="1"/>
  <c r="Y543" i="1"/>
  <c r="Z543" i="1"/>
  <c r="AD543" i="1"/>
  <c r="AE543" i="1"/>
  <c r="AF543" i="1"/>
  <c r="AG543" i="1"/>
  <c r="AH543" i="1"/>
  <c r="AI543" i="1"/>
  <c r="I544" i="1"/>
  <c r="J544" i="1"/>
  <c r="M544" i="1"/>
  <c r="N544" i="1"/>
  <c r="O544" i="1"/>
  <c r="S544" i="1"/>
  <c r="T544" i="1"/>
  <c r="X544" i="1"/>
  <c r="Y544" i="1"/>
  <c r="Z544" i="1"/>
  <c r="AD544" i="1"/>
  <c r="AE544" i="1"/>
  <c r="AF544" i="1"/>
  <c r="AG544" i="1"/>
  <c r="AH544" i="1"/>
  <c r="AI544" i="1"/>
  <c r="I545" i="1"/>
  <c r="J545" i="1"/>
  <c r="M545" i="1"/>
  <c r="N545" i="1"/>
  <c r="O545" i="1"/>
  <c r="S545" i="1"/>
  <c r="T545" i="1"/>
  <c r="X545" i="1"/>
  <c r="Y545" i="1"/>
  <c r="Z545" i="1"/>
  <c r="AD545" i="1"/>
  <c r="AE545" i="1"/>
  <c r="AF545" i="1"/>
  <c r="AG545" i="1"/>
  <c r="AH545" i="1"/>
  <c r="AI545" i="1"/>
  <c r="I546" i="1"/>
  <c r="J546" i="1"/>
  <c r="M546" i="1"/>
  <c r="N546" i="1"/>
  <c r="O546" i="1"/>
  <c r="S546" i="1"/>
  <c r="T546" i="1"/>
  <c r="X546" i="1"/>
  <c r="Y546" i="1"/>
  <c r="Z546" i="1"/>
  <c r="AD546" i="1"/>
  <c r="AE546" i="1"/>
  <c r="AF546" i="1"/>
  <c r="AG546" i="1"/>
  <c r="AH546" i="1"/>
  <c r="AI546" i="1"/>
  <c r="I547" i="1"/>
  <c r="J547" i="1"/>
  <c r="M547" i="1"/>
  <c r="N547" i="1"/>
  <c r="O547" i="1"/>
  <c r="S547" i="1"/>
  <c r="T547" i="1"/>
  <c r="X547" i="1"/>
  <c r="Y547" i="1"/>
  <c r="Z547" i="1"/>
  <c r="AD547" i="1"/>
  <c r="AE547" i="1"/>
  <c r="AF547" i="1"/>
  <c r="AG547" i="1"/>
  <c r="AH547" i="1"/>
  <c r="AI547" i="1"/>
  <c r="I548" i="1"/>
  <c r="J548" i="1"/>
  <c r="M548" i="1"/>
  <c r="N548" i="1"/>
  <c r="O548" i="1"/>
  <c r="S548" i="1"/>
  <c r="T548" i="1"/>
  <c r="X548" i="1"/>
  <c r="Y548" i="1"/>
  <c r="Z548" i="1"/>
  <c r="AD548" i="1"/>
  <c r="AE548" i="1"/>
  <c r="AF548" i="1"/>
  <c r="AG548" i="1"/>
  <c r="AH548" i="1"/>
  <c r="AI548" i="1"/>
  <c r="I549" i="1"/>
  <c r="J549" i="1"/>
  <c r="M549" i="1"/>
  <c r="N549" i="1"/>
  <c r="O549" i="1"/>
  <c r="S549" i="1"/>
  <c r="T549" i="1"/>
  <c r="X549" i="1"/>
  <c r="Y549" i="1"/>
  <c r="Z549" i="1"/>
  <c r="AD549" i="1"/>
  <c r="AE549" i="1"/>
  <c r="AF549" i="1"/>
  <c r="AG549" i="1"/>
  <c r="AH549" i="1"/>
  <c r="AI549" i="1"/>
  <c r="I550" i="1"/>
  <c r="J550" i="1"/>
  <c r="M550" i="1"/>
  <c r="N550" i="1"/>
  <c r="O550" i="1"/>
  <c r="S550" i="1"/>
  <c r="T550" i="1"/>
  <c r="X550" i="1"/>
  <c r="Y550" i="1"/>
  <c r="Z550" i="1"/>
  <c r="AD550" i="1"/>
  <c r="AE550" i="1"/>
  <c r="AF550" i="1"/>
  <c r="AG550" i="1"/>
  <c r="AH550" i="1"/>
  <c r="AI550" i="1"/>
  <c r="I551" i="1"/>
  <c r="J551" i="1"/>
  <c r="M551" i="1"/>
  <c r="N551" i="1"/>
  <c r="O551" i="1"/>
  <c r="S551" i="1"/>
  <c r="T551" i="1"/>
  <c r="X551" i="1"/>
  <c r="Y551" i="1"/>
  <c r="Z551" i="1"/>
  <c r="AD551" i="1"/>
  <c r="AE551" i="1"/>
  <c r="AF551" i="1"/>
  <c r="AG551" i="1"/>
  <c r="AH551" i="1"/>
  <c r="AI551" i="1"/>
  <c r="I552" i="1"/>
  <c r="J552" i="1"/>
  <c r="M552" i="1"/>
  <c r="N552" i="1"/>
  <c r="O552" i="1"/>
  <c r="S552" i="1"/>
  <c r="T552" i="1"/>
  <c r="X552" i="1"/>
  <c r="Y552" i="1"/>
  <c r="Z552" i="1"/>
  <c r="AD552" i="1"/>
  <c r="AE552" i="1"/>
  <c r="AF552" i="1"/>
  <c r="AG552" i="1"/>
  <c r="AH552" i="1"/>
  <c r="AI552" i="1"/>
  <c r="I553" i="1"/>
  <c r="J553" i="1"/>
  <c r="M553" i="1"/>
  <c r="N553" i="1"/>
  <c r="O553" i="1"/>
  <c r="S553" i="1"/>
  <c r="T553" i="1"/>
  <c r="X553" i="1"/>
  <c r="Y553" i="1"/>
  <c r="Z553" i="1"/>
  <c r="AD553" i="1"/>
  <c r="AE553" i="1"/>
  <c r="AF553" i="1"/>
  <c r="AG553" i="1"/>
  <c r="AH553" i="1"/>
  <c r="AI553" i="1"/>
  <c r="I554" i="1"/>
  <c r="J554" i="1"/>
  <c r="M554" i="1"/>
  <c r="N554" i="1"/>
  <c r="O554" i="1"/>
  <c r="S554" i="1"/>
  <c r="T554" i="1"/>
  <c r="X554" i="1"/>
  <c r="Y554" i="1"/>
  <c r="Z554" i="1"/>
  <c r="AD554" i="1"/>
  <c r="AE554" i="1"/>
  <c r="AF554" i="1"/>
  <c r="AG554" i="1"/>
  <c r="AH554" i="1"/>
  <c r="AI554" i="1"/>
  <c r="I555" i="1"/>
  <c r="J555" i="1"/>
  <c r="M555" i="1"/>
  <c r="N555" i="1"/>
  <c r="O555" i="1"/>
  <c r="S555" i="1"/>
  <c r="T555" i="1"/>
  <c r="X555" i="1"/>
  <c r="Y555" i="1"/>
  <c r="Z555" i="1"/>
  <c r="AD555" i="1"/>
  <c r="AE555" i="1"/>
  <c r="AF555" i="1"/>
  <c r="AG555" i="1"/>
  <c r="AH555" i="1"/>
  <c r="AI555" i="1"/>
  <c r="I556" i="1"/>
  <c r="J556" i="1"/>
  <c r="M556" i="1"/>
  <c r="N556" i="1"/>
  <c r="O556" i="1"/>
  <c r="S556" i="1"/>
  <c r="T556" i="1"/>
  <c r="X556" i="1"/>
  <c r="Y556" i="1"/>
  <c r="Z556" i="1"/>
  <c r="AD556" i="1"/>
  <c r="AE556" i="1"/>
  <c r="AF556" i="1"/>
  <c r="AG556" i="1"/>
  <c r="AH556" i="1"/>
  <c r="AI556" i="1"/>
  <c r="I557" i="1"/>
  <c r="J557" i="1"/>
  <c r="M557" i="1"/>
  <c r="N557" i="1"/>
  <c r="O557" i="1"/>
  <c r="S557" i="1"/>
  <c r="T557" i="1"/>
  <c r="X557" i="1"/>
  <c r="Y557" i="1"/>
  <c r="Z557" i="1"/>
  <c r="AD557" i="1"/>
  <c r="AE557" i="1"/>
  <c r="AF557" i="1"/>
  <c r="AG557" i="1"/>
  <c r="AH557" i="1"/>
  <c r="AI557" i="1"/>
  <c r="I558" i="1"/>
  <c r="J558" i="1"/>
  <c r="M558" i="1"/>
  <c r="N558" i="1"/>
  <c r="O558" i="1"/>
  <c r="S558" i="1"/>
  <c r="T558" i="1"/>
  <c r="X558" i="1"/>
  <c r="Y558" i="1"/>
  <c r="Z558" i="1"/>
  <c r="AD558" i="1"/>
  <c r="AE558" i="1"/>
  <c r="AF558" i="1"/>
  <c r="AG558" i="1"/>
  <c r="AH558" i="1"/>
  <c r="AI558" i="1"/>
  <c r="I559" i="1"/>
  <c r="J559" i="1"/>
  <c r="M559" i="1"/>
  <c r="N559" i="1"/>
  <c r="O559" i="1"/>
  <c r="S559" i="1"/>
  <c r="T559" i="1"/>
  <c r="X559" i="1"/>
  <c r="Y559" i="1"/>
  <c r="Z559" i="1"/>
  <c r="AD559" i="1"/>
  <c r="AE559" i="1"/>
  <c r="AF559" i="1"/>
  <c r="AG559" i="1"/>
  <c r="AH559" i="1"/>
  <c r="AI559" i="1"/>
  <c r="I560" i="1"/>
  <c r="J560" i="1"/>
  <c r="M560" i="1"/>
  <c r="N560" i="1"/>
  <c r="O560" i="1"/>
  <c r="S560" i="1"/>
  <c r="T560" i="1"/>
  <c r="X560" i="1"/>
  <c r="Y560" i="1"/>
  <c r="Z560" i="1"/>
  <c r="AD560" i="1"/>
  <c r="AE560" i="1"/>
  <c r="AF560" i="1"/>
  <c r="AG560" i="1"/>
  <c r="AH560" i="1"/>
  <c r="AI560" i="1"/>
  <c r="I561" i="1"/>
  <c r="J561" i="1"/>
  <c r="M561" i="1"/>
  <c r="N561" i="1"/>
  <c r="O561" i="1"/>
  <c r="S561" i="1"/>
  <c r="T561" i="1"/>
  <c r="X561" i="1"/>
  <c r="Y561" i="1"/>
  <c r="Z561" i="1"/>
  <c r="AD561" i="1"/>
  <c r="AE561" i="1"/>
  <c r="AF561" i="1"/>
  <c r="AG561" i="1"/>
  <c r="AH561" i="1"/>
  <c r="AI561" i="1"/>
  <c r="I562" i="1"/>
  <c r="J562" i="1"/>
  <c r="M562" i="1"/>
  <c r="N562" i="1"/>
  <c r="O562" i="1"/>
  <c r="S562" i="1"/>
  <c r="T562" i="1"/>
  <c r="X562" i="1"/>
  <c r="Y562" i="1"/>
  <c r="Z562" i="1"/>
  <c r="AD562" i="1"/>
  <c r="AE562" i="1"/>
  <c r="AF562" i="1"/>
  <c r="AG562" i="1"/>
  <c r="AH562" i="1"/>
  <c r="AI562" i="1"/>
  <c r="I563" i="1"/>
  <c r="J563" i="1"/>
  <c r="M563" i="1"/>
  <c r="N563" i="1"/>
  <c r="O563" i="1"/>
  <c r="S563" i="1"/>
  <c r="T563" i="1"/>
  <c r="X563" i="1"/>
  <c r="Y563" i="1"/>
  <c r="Z563" i="1"/>
  <c r="AD563" i="1"/>
  <c r="AE563" i="1"/>
  <c r="AF563" i="1"/>
  <c r="AG563" i="1"/>
  <c r="AH563" i="1"/>
  <c r="AI563" i="1"/>
  <c r="I564" i="1"/>
  <c r="J564" i="1"/>
  <c r="M564" i="1"/>
  <c r="N564" i="1"/>
  <c r="O564" i="1"/>
  <c r="S564" i="1"/>
  <c r="T564" i="1"/>
  <c r="X564" i="1"/>
  <c r="Y564" i="1"/>
  <c r="Z564" i="1"/>
  <c r="AD564" i="1"/>
  <c r="AE564" i="1"/>
  <c r="AF564" i="1"/>
  <c r="AG564" i="1"/>
  <c r="AH564" i="1"/>
  <c r="AI564" i="1"/>
  <c r="I565" i="1"/>
  <c r="J565" i="1"/>
  <c r="M565" i="1"/>
  <c r="N565" i="1"/>
  <c r="O565" i="1"/>
  <c r="S565" i="1"/>
  <c r="T565" i="1"/>
  <c r="X565" i="1"/>
  <c r="Y565" i="1"/>
  <c r="Z565" i="1"/>
  <c r="AD565" i="1"/>
  <c r="AE565" i="1"/>
  <c r="AF565" i="1"/>
  <c r="AG565" i="1"/>
  <c r="AH565" i="1"/>
  <c r="AI565" i="1"/>
  <c r="I566" i="1"/>
  <c r="J566" i="1"/>
  <c r="M566" i="1"/>
  <c r="N566" i="1"/>
  <c r="O566" i="1"/>
  <c r="S566" i="1"/>
  <c r="T566" i="1"/>
  <c r="X566" i="1"/>
  <c r="Y566" i="1"/>
  <c r="Z566" i="1"/>
  <c r="AD566" i="1"/>
  <c r="AE566" i="1"/>
  <c r="AF566" i="1"/>
  <c r="AG566" i="1"/>
  <c r="AH566" i="1"/>
  <c r="AI566" i="1"/>
  <c r="I567" i="1"/>
  <c r="J567" i="1"/>
  <c r="M567" i="1"/>
  <c r="N567" i="1"/>
  <c r="O567" i="1"/>
  <c r="S567" i="1"/>
  <c r="T567" i="1"/>
  <c r="X567" i="1"/>
  <c r="Y567" i="1"/>
  <c r="Z567" i="1"/>
  <c r="AD567" i="1"/>
  <c r="AE567" i="1"/>
  <c r="AF567" i="1"/>
  <c r="AG567" i="1"/>
  <c r="AH567" i="1"/>
  <c r="AI567" i="1"/>
  <c r="I568" i="1"/>
  <c r="J568" i="1"/>
  <c r="M568" i="1"/>
  <c r="N568" i="1"/>
  <c r="O568" i="1"/>
  <c r="S568" i="1"/>
  <c r="T568" i="1"/>
  <c r="X568" i="1"/>
  <c r="Y568" i="1"/>
  <c r="Z568" i="1"/>
  <c r="AD568" i="1"/>
  <c r="AE568" i="1"/>
  <c r="AF568" i="1"/>
  <c r="AG568" i="1"/>
  <c r="AH568" i="1"/>
  <c r="AI568" i="1"/>
  <c r="I569" i="1"/>
  <c r="J569" i="1"/>
  <c r="M569" i="1"/>
  <c r="N569" i="1"/>
  <c r="O569" i="1"/>
  <c r="S569" i="1"/>
  <c r="T569" i="1"/>
  <c r="X569" i="1"/>
  <c r="Y569" i="1"/>
  <c r="Z569" i="1"/>
  <c r="AD569" i="1"/>
  <c r="AE569" i="1"/>
  <c r="AF569" i="1"/>
  <c r="AG569" i="1"/>
  <c r="AH569" i="1"/>
  <c r="AI569" i="1"/>
  <c r="I570" i="1"/>
  <c r="J570" i="1"/>
  <c r="M570" i="1"/>
  <c r="N570" i="1"/>
  <c r="O570" i="1"/>
  <c r="S570" i="1"/>
  <c r="T570" i="1"/>
  <c r="X570" i="1"/>
  <c r="Y570" i="1"/>
  <c r="Z570" i="1"/>
  <c r="AD570" i="1"/>
  <c r="AE570" i="1"/>
  <c r="AF570" i="1"/>
  <c r="AG570" i="1"/>
  <c r="AH570" i="1"/>
  <c r="AI570" i="1"/>
  <c r="I571" i="1"/>
  <c r="J571" i="1"/>
  <c r="M571" i="1"/>
  <c r="N571" i="1"/>
  <c r="O571" i="1"/>
  <c r="S571" i="1"/>
  <c r="T571" i="1"/>
  <c r="X571" i="1"/>
  <c r="Y571" i="1"/>
  <c r="Z571" i="1"/>
  <c r="AD571" i="1"/>
  <c r="AE571" i="1"/>
  <c r="AF571" i="1"/>
  <c r="AG571" i="1"/>
  <c r="AH571" i="1"/>
  <c r="AI571" i="1"/>
  <c r="I572" i="1"/>
  <c r="J572" i="1"/>
  <c r="M572" i="1"/>
  <c r="N572" i="1"/>
  <c r="O572" i="1"/>
  <c r="S572" i="1"/>
  <c r="T572" i="1"/>
  <c r="X572" i="1"/>
  <c r="Y572" i="1"/>
  <c r="Z572" i="1"/>
  <c r="AD572" i="1"/>
  <c r="AE572" i="1"/>
  <c r="AF572" i="1"/>
  <c r="AG572" i="1"/>
  <c r="AH572" i="1"/>
  <c r="AI572" i="1"/>
  <c r="I573" i="1"/>
  <c r="J573" i="1"/>
  <c r="M573" i="1"/>
  <c r="N573" i="1"/>
  <c r="O573" i="1"/>
  <c r="S573" i="1"/>
  <c r="T573" i="1"/>
  <c r="X573" i="1"/>
  <c r="Y573" i="1"/>
  <c r="Z573" i="1"/>
  <c r="AD573" i="1"/>
  <c r="AE573" i="1"/>
  <c r="AF573" i="1"/>
  <c r="AG573" i="1"/>
  <c r="AH573" i="1"/>
  <c r="AI573" i="1"/>
  <c r="I574" i="1"/>
  <c r="J574" i="1"/>
  <c r="M574" i="1"/>
  <c r="N574" i="1"/>
  <c r="O574" i="1"/>
  <c r="S574" i="1"/>
  <c r="T574" i="1"/>
  <c r="X574" i="1"/>
  <c r="Y574" i="1"/>
  <c r="Z574" i="1"/>
  <c r="AD574" i="1"/>
  <c r="AE574" i="1"/>
  <c r="AF574" i="1"/>
  <c r="AG574" i="1"/>
  <c r="AH574" i="1"/>
  <c r="AI574" i="1"/>
  <c r="I575" i="1"/>
  <c r="J575" i="1"/>
  <c r="M575" i="1"/>
  <c r="N575" i="1"/>
  <c r="O575" i="1"/>
  <c r="S575" i="1"/>
  <c r="T575" i="1"/>
  <c r="X575" i="1"/>
  <c r="Y575" i="1"/>
  <c r="Z575" i="1"/>
  <c r="AD575" i="1"/>
  <c r="AE575" i="1"/>
  <c r="AF575" i="1"/>
  <c r="AG575" i="1"/>
  <c r="AH575" i="1"/>
  <c r="AI575" i="1"/>
  <c r="I576" i="1"/>
  <c r="J576" i="1"/>
  <c r="M576" i="1"/>
  <c r="N576" i="1"/>
  <c r="O576" i="1"/>
  <c r="S576" i="1"/>
  <c r="T576" i="1"/>
  <c r="X576" i="1"/>
  <c r="Y576" i="1"/>
  <c r="Z576" i="1"/>
  <c r="AD576" i="1"/>
  <c r="AE576" i="1"/>
  <c r="AF576" i="1"/>
  <c r="AG576" i="1"/>
  <c r="AH576" i="1"/>
  <c r="AI576" i="1"/>
  <c r="I577" i="1"/>
  <c r="J577" i="1"/>
  <c r="M577" i="1"/>
  <c r="N577" i="1"/>
  <c r="O577" i="1"/>
  <c r="S577" i="1"/>
  <c r="T577" i="1"/>
  <c r="X577" i="1"/>
  <c r="Y577" i="1"/>
  <c r="Z577" i="1"/>
  <c r="AD577" i="1"/>
  <c r="AE577" i="1"/>
  <c r="AF577" i="1"/>
  <c r="AG577" i="1"/>
  <c r="AH577" i="1"/>
  <c r="AI577" i="1"/>
  <c r="I578" i="1"/>
  <c r="J578" i="1"/>
  <c r="M578" i="1"/>
  <c r="N578" i="1"/>
  <c r="O578" i="1"/>
  <c r="S578" i="1"/>
  <c r="T578" i="1"/>
  <c r="X578" i="1"/>
  <c r="Y578" i="1"/>
  <c r="Z578" i="1"/>
  <c r="AD578" i="1"/>
  <c r="AE578" i="1"/>
  <c r="AF578" i="1"/>
  <c r="AG578" i="1"/>
  <c r="AH578" i="1"/>
  <c r="AI578" i="1"/>
  <c r="I579" i="1"/>
  <c r="J579" i="1"/>
  <c r="M579" i="1"/>
  <c r="N579" i="1"/>
  <c r="O579" i="1"/>
  <c r="S579" i="1"/>
  <c r="T579" i="1"/>
  <c r="X579" i="1"/>
  <c r="Y579" i="1"/>
  <c r="Z579" i="1"/>
  <c r="AD579" i="1"/>
  <c r="AE579" i="1"/>
  <c r="AF579" i="1"/>
  <c r="AG579" i="1"/>
  <c r="AH579" i="1"/>
  <c r="AI579" i="1"/>
  <c r="I580" i="1"/>
  <c r="J580" i="1"/>
  <c r="M580" i="1"/>
  <c r="N580" i="1"/>
  <c r="O580" i="1"/>
  <c r="S580" i="1"/>
  <c r="T580" i="1"/>
  <c r="X580" i="1"/>
  <c r="Y580" i="1"/>
  <c r="Z580" i="1"/>
  <c r="AD580" i="1"/>
  <c r="AE580" i="1"/>
  <c r="AF580" i="1"/>
  <c r="AG580" i="1"/>
  <c r="AH580" i="1"/>
  <c r="AI580" i="1"/>
  <c r="I581" i="1"/>
  <c r="J581" i="1"/>
  <c r="M581" i="1"/>
  <c r="N581" i="1"/>
  <c r="O581" i="1"/>
  <c r="S581" i="1"/>
  <c r="T581" i="1"/>
  <c r="X581" i="1"/>
  <c r="Y581" i="1"/>
  <c r="Z581" i="1"/>
  <c r="AD581" i="1"/>
  <c r="AE581" i="1"/>
  <c r="AF581" i="1"/>
  <c r="AG581" i="1"/>
  <c r="AH581" i="1"/>
  <c r="AI581" i="1"/>
  <c r="I582" i="1"/>
  <c r="J582" i="1"/>
  <c r="M582" i="1"/>
  <c r="N582" i="1"/>
  <c r="O582" i="1"/>
  <c r="S582" i="1"/>
  <c r="T582" i="1"/>
  <c r="X582" i="1"/>
  <c r="Y582" i="1"/>
  <c r="Z582" i="1"/>
  <c r="AD582" i="1"/>
  <c r="AE582" i="1"/>
  <c r="AF582" i="1"/>
  <c r="AG582" i="1"/>
  <c r="AH582" i="1"/>
  <c r="AI582" i="1"/>
  <c r="I583" i="1"/>
  <c r="J583" i="1"/>
  <c r="M583" i="1"/>
  <c r="N583" i="1"/>
  <c r="O583" i="1"/>
  <c r="S583" i="1"/>
  <c r="T583" i="1"/>
  <c r="X583" i="1"/>
  <c r="Y583" i="1"/>
  <c r="Z583" i="1"/>
  <c r="AD583" i="1"/>
  <c r="AE583" i="1"/>
  <c r="AF583" i="1"/>
  <c r="AG583" i="1"/>
  <c r="AH583" i="1"/>
  <c r="AI583" i="1"/>
  <c r="I584" i="1"/>
  <c r="J584" i="1"/>
  <c r="M584" i="1"/>
  <c r="N584" i="1"/>
  <c r="O584" i="1"/>
  <c r="S584" i="1"/>
  <c r="T584" i="1"/>
  <c r="X584" i="1"/>
  <c r="Y584" i="1"/>
  <c r="Z584" i="1"/>
  <c r="AD584" i="1"/>
  <c r="AE584" i="1"/>
  <c r="AF584" i="1"/>
  <c r="AG584" i="1"/>
  <c r="AH584" i="1"/>
  <c r="AI584" i="1"/>
  <c r="I585" i="1"/>
  <c r="J585" i="1"/>
  <c r="M585" i="1"/>
  <c r="N585" i="1"/>
  <c r="O585" i="1"/>
  <c r="S585" i="1"/>
  <c r="T585" i="1"/>
  <c r="X585" i="1"/>
  <c r="Y585" i="1"/>
  <c r="Z585" i="1"/>
  <c r="AD585" i="1"/>
  <c r="AE585" i="1"/>
  <c r="AF585" i="1"/>
  <c r="AG585" i="1"/>
  <c r="AH585" i="1"/>
  <c r="AI585" i="1"/>
  <c r="I586" i="1"/>
  <c r="J586" i="1"/>
  <c r="M586" i="1"/>
  <c r="N586" i="1"/>
  <c r="O586" i="1"/>
  <c r="S586" i="1"/>
  <c r="T586" i="1"/>
  <c r="X586" i="1"/>
  <c r="Y586" i="1"/>
  <c r="Z586" i="1"/>
  <c r="AD586" i="1"/>
  <c r="AE586" i="1"/>
  <c r="AF586" i="1"/>
  <c r="AG586" i="1"/>
  <c r="AH586" i="1"/>
  <c r="AI586" i="1"/>
  <c r="I587" i="1"/>
  <c r="J587" i="1"/>
  <c r="M587" i="1"/>
  <c r="N587" i="1"/>
  <c r="O587" i="1"/>
  <c r="S587" i="1"/>
  <c r="T587" i="1"/>
  <c r="X587" i="1"/>
  <c r="Y587" i="1"/>
  <c r="Z587" i="1"/>
  <c r="AD587" i="1"/>
  <c r="AE587" i="1"/>
  <c r="AF587" i="1"/>
  <c r="AG587" i="1"/>
  <c r="AH587" i="1"/>
  <c r="AI587" i="1"/>
  <c r="I588" i="1"/>
  <c r="J588" i="1"/>
  <c r="M588" i="1"/>
  <c r="N588" i="1"/>
  <c r="O588" i="1"/>
  <c r="S588" i="1"/>
  <c r="T588" i="1"/>
  <c r="X588" i="1"/>
  <c r="Y588" i="1"/>
  <c r="Z588" i="1"/>
  <c r="AD588" i="1"/>
  <c r="AE588" i="1"/>
  <c r="AF588" i="1"/>
  <c r="AG588" i="1"/>
  <c r="AH588" i="1"/>
  <c r="AI588" i="1"/>
  <c r="I589" i="1"/>
  <c r="J589" i="1"/>
  <c r="M589" i="1"/>
  <c r="N589" i="1"/>
  <c r="O589" i="1"/>
  <c r="S589" i="1"/>
  <c r="T589" i="1"/>
  <c r="X589" i="1"/>
  <c r="Y589" i="1"/>
  <c r="Z589" i="1"/>
  <c r="AD589" i="1"/>
  <c r="AE589" i="1"/>
  <c r="AF589" i="1"/>
  <c r="AG589" i="1"/>
  <c r="AH589" i="1"/>
  <c r="AI589" i="1"/>
  <c r="I590" i="1"/>
  <c r="J590" i="1"/>
  <c r="M590" i="1"/>
  <c r="N590" i="1"/>
  <c r="O590" i="1"/>
  <c r="S590" i="1"/>
  <c r="T590" i="1"/>
  <c r="X590" i="1"/>
  <c r="Y590" i="1"/>
  <c r="Z590" i="1"/>
  <c r="AD590" i="1"/>
  <c r="AE590" i="1"/>
  <c r="AF590" i="1"/>
  <c r="AG590" i="1"/>
  <c r="AH590" i="1"/>
  <c r="AI590" i="1"/>
  <c r="I591" i="1"/>
  <c r="J591" i="1"/>
  <c r="M591" i="1"/>
  <c r="N591" i="1"/>
  <c r="O591" i="1"/>
  <c r="S591" i="1"/>
  <c r="T591" i="1"/>
  <c r="X591" i="1"/>
  <c r="Y591" i="1"/>
  <c r="Z591" i="1"/>
  <c r="AD591" i="1"/>
  <c r="AE591" i="1"/>
  <c r="AF591" i="1"/>
  <c r="AG591" i="1"/>
  <c r="AH591" i="1"/>
  <c r="AI591" i="1"/>
  <c r="I592" i="1"/>
  <c r="J592" i="1"/>
  <c r="M592" i="1"/>
  <c r="N592" i="1"/>
  <c r="O592" i="1"/>
  <c r="S592" i="1"/>
  <c r="T592" i="1"/>
  <c r="X592" i="1"/>
  <c r="Y592" i="1"/>
  <c r="Z592" i="1"/>
  <c r="AD592" i="1"/>
  <c r="AE592" i="1"/>
  <c r="AF592" i="1"/>
  <c r="AG592" i="1"/>
  <c r="AH592" i="1"/>
  <c r="AI592" i="1"/>
  <c r="I593" i="1"/>
  <c r="J593" i="1"/>
  <c r="M593" i="1"/>
  <c r="N593" i="1"/>
  <c r="O593" i="1"/>
  <c r="S593" i="1"/>
  <c r="T593" i="1"/>
  <c r="X593" i="1"/>
  <c r="Y593" i="1"/>
  <c r="Z593" i="1"/>
  <c r="AD593" i="1"/>
  <c r="AE593" i="1"/>
  <c r="AF593" i="1"/>
  <c r="AG593" i="1"/>
  <c r="AH593" i="1"/>
  <c r="AI593" i="1"/>
  <c r="I594" i="1"/>
  <c r="J594" i="1"/>
  <c r="M594" i="1"/>
  <c r="N594" i="1"/>
  <c r="O594" i="1"/>
  <c r="S594" i="1"/>
  <c r="T594" i="1"/>
  <c r="X594" i="1"/>
  <c r="Y594" i="1"/>
  <c r="Z594" i="1"/>
  <c r="AD594" i="1"/>
  <c r="AE594" i="1"/>
  <c r="AF594" i="1"/>
  <c r="AG594" i="1"/>
  <c r="AH594" i="1"/>
  <c r="AI594" i="1"/>
  <c r="I595" i="1"/>
  <c r="J595" i="1"/>
  <c r="M595" i="1"/>
  <c r="N595" i="1"/>
  <c r="O595" i="1"/>
  <c r="S595" i="1"/>
  <c r="T595" i="1"/>
  <c r="X595" i="1"/>
  <c r="Y595" i="1"/>
  <c r="Z595" i="1"/>
  <c r="AD595" i="1"/>
  <c r="AE595" i="1"/>
  <c r="AF595" i="1"/>
  <c r="AG595" i="1"/>
  <c r="AH595" i="1"/>
  <c r="AI595" i="1"/>
  <c r="I596" i="1"/>
  <c r="J596" i="1"/>
  <c r="M596" i="1"/>
  <c r="N596" i="1"/>
  <c r="O596" i="1"/>
  <c r="S596" i="1"/>
  <c r="T596" i="1"/>
  <c r="X596" i="1"/>
  <c r="Y596" i="1"/>
  <c r="Z596" i="1"/>
  <c r="AD596" i="1"/>
  <c r="AE596" i="1"/>
  <c r="AF596" i="1"/>
  <c r="AG596" i="1"/>
  <c r="AH596" i="1"/>
  <c r="AI596" i="1"/>
  <c r="I597" i="1"/>
  <c r="J597" i="1"/>
  <c r="M597" i="1"/>
  <c r="N597" i="1"/>
  <c r="O597" i="1"/>
  <c r="S597" i="1"/>
  <c r="T597" i="1"/>
  <c r="X597" i="1"/>
  <c r="Y597" i="1"/>
  <c r="Z597" i="1"/>
  <c r="AD597" i="1"/>
  <c r="AE597" i="1"/>
  <c r="AF597" i="1"/>
  <c r="AG597" i="1"/>
  <c r="AH597" i="1"/>
  <c r="AI597" i="1"/>
  <c r="I598" i="1"/>
  <c r="J598" i="1"/>
  <c r="M598" i="1"/>
  <c r="N598" i="1"/>
  <c r="O598" i="1"/>
  <c r="S598" i="1"/>
  <c r="T598" i="1"/>
  <c r="X598" i="1"/>
  <c r="Y598" i="1"/>
  <c r="Z598" i="1"/>
  <c r="AD598" i="1"/>
  <c r="AE598" i="1"/>
  <c r="AF598" i="1"/>
  <c r="AG598" i="1"/>
  <c r="AH598" i="1"/>
  <c r="AI598" i="1"/>
  <c r="I599" i="1"/>
  <c r="J599" i="1"/>
  <c r="M599" i="1"/>
  <c r="N599" i="1"/>
  <c r="O599" i="1"/>
  <c r="S599" i="1"/>
  <c r="T599" i="1"/>
  <c r="X599" i="1"/>
  <c r="Y599" i="1"/>
  <c r="Z599" i="1"/>
  <c r="AD599" i="1"/>
  <c r="AE599" i="1"/>
  <c r="AF599" i="1"/>
  <c r="AG599" i="1"/>
  <c r="AH599" i="1"/>
  <c r="AI599" i="1"/>
  <c r="I600" i="1"/>
  <c r="J600" i="1"/>
  <c r="M600" i="1"/>
  <c r="N600" i="1"/>
  <c r="O600" i="1"/>
  <c r="S600" i="1"/>
  <c r="T600" i="1"/>
  <c r="X600" i="1"/>
  <c r="Y600" i="1"/>
  <c r="Z600" i="1"/>
  <c r="AD600" i="1"/>
  <c r="AE600" i="1"/>
  <c r="AF600" i="1"/>
  <c r="AG600" i="1"/>
  <c r="AH600" i="1"/>
  <c r="AI600" i="1"/>
  <c r="I601" i="1"/>
  <c r="J601" i="1"/>
  <c r="M601" i="1"/>
  <c r="N601" i="1"/>
  <c r="O601" i="1"/>
  <c r="S601" i="1"/>
  <c r="T601" i="1"/>
  <c r="X601" i="1"/>
  <c r="Y601" i="1"/>
  <c r="Z601" i="1"/>
  <c r="AD601" i="1"/>
  <c r="AE601" i="1"/>
  <c r="AF601" i="1"/>
  <c r="AG601" i="1"/>
  <c r="AH601" i="1"/>
  <c r="AI601" i="1"/>
  <c r="I602" i="1"/>
  <c r="J602" i="1"/>
  <c r="M602" i="1"/>
  <c r="N602" i="1"/>
  <c r="O602" i="1"/>
  <c r="S602" i="1"/>
  <c r="T602" i="1"/>
  <c r="X602" i="1"/>
  <c r="Y602" i="1"/>
  <c r="Z602" i="1"/>
  <c r="AD602" i="1"/>
  <c r="AE602" i="1"/>
  <c r="AF602" i="1"/>
  <c r="AG602" i="1"/>
  <c r="AH602" i="1"/>
  <c r="AI602" i="1"/>
  <c r="I603" i="1"/>
  <c r="J603" i="1"/>
  <c r="M603" i="1"/>
  <c r="N603" i="1"/>
  <c r="O603" i="1"/>
  <c r="S603" i="1"/>
  <c r="T603" i="1"/>
  <c r="X603" i="1"/>
  <c r="Y603" i="1"/>
  <c r="Z603" i="1"/>
  <c r="AD603" i="1"/>
  <c r="AE603" i="1"/>
  <c r="AF603" i="1"/>
  <c r="AG603" i="1"/>
  <c r="AH603" i="1"/>
  <c r="AI603" i="1"/>
  <c r="I604" i="1"/>
  <c r="J604" i="1"/>
  <c r="M604" i="1"/>
  <c r="N604" i="1"/>
  <c r="O604" i="1"/>
  <c r="S604" i="1"/>
  <c r="T604" i="1"/>
  <c r="X604" i="1"/>
  <c r="Y604" i="1"/>
  <c r="Z604" i="1"/>
  <c r="AD604" i="1"/>
  <c r="AE604" i="1"/>
  <c r="AF604" i="1"/>
  <c r="AG604" i="1"/>
  <c r="AH604" i="1"/>
  <c r="AI604" i="1"/>
  <c r="I605" i="1"/>
  <c r="J605" i="1"/>
  <c r="M605" i="1"/>
  <c r="N605" i="1"/>
  <c r="O605" i="1"/>
  <c r="S605" i="1"/>
  <c r="T605" i="1"/>
  <c r="X605" i="1"/>
  <c r="Y605" i="1"/>
  <c r="Z605" i="1"/>
  <c r="AD605" i="1"/>
  <c r="AE605" i="1"/>
  <c r="AF605" i="1"/>
  <c r="AG605" i="1"/>
  <c r="AH605" i="1"/>
  <c r="AI605" i="1"/>
  <c r="I606" i="1"/>
  <c r="J606" i="1"/>
  <c r="M606" i="1"/>
  <c r="N606" i="1"/>
  <c r="O606" i="1"/>
  <c r="S606" i="1"/>
  <c r="T606" i="1"/>
  <c r="X606" i="1"/>
  <c r="Y606" i="1"/>
  <c r="Z606" i="1"/>
  <c r="AD606" i="1"/>
  <c r="AE606" i="1"/>
  <c r="AF606" i="1"/>
  <c r="AG606" i="1"/>
  <c r="AH606" i="1"/>
  <c r="AI606" i="1"/>
  <c r="I607" i="1"/>
  <c r="J607" i="1"/>
  <c r="M607" i="1"/>
  <c r="N607" i="1"/>
  <c r="O607" i="1"/>
  <c r="S607" i="1"/>
  <c r="T607" i="1"/>
  <c r="X607" i="1"/>
  <c r="Y607" i="1"/>
  <c r="Z607" i="1"/>
  <c r="AD607" i="1"/>
  <c r="AE607" i="1"/>
  <c r="AF607" i="1"/>
  <c r="AG607" i="1"/>
  <c r="AH607" i="1"/>
  <c r="AI607" i="1"/>
  <c r="I608" i="1"/>
  <c r="J608" i="1"/>
  <c r="M608" i="1"/>
  <c r="N608" i="1"/>
  <c r="O608" i="1"/>
  <c r="S608" i="1"/>
  <c r="T608" i="1"/>
  <c r="X608" i="1"/>
  <c r="Y608" i="1"/>
  <c r="Z608" i="1"/>
  <c r="AD608" i="1"/>
  <c r="AE608" i="1"/>
  <c r="AF608" i="1"/>
  <c r="AG608" i="1"/>
  <c r="AH608" i="1"/>
  <c r="AI608" i="1"/>
  <c r="I609" i="1"/>
  <c r="J609" i="1"/>
  <c r="M609" i="1"/>
  <c r="N609" i="1"/>
  <c r="O609" i="1"/>
  <c r="S609" i="1"/>
  <c r="T609" i="1"/>
  <c r="X609" i="1"/>
  <c r="Y609" i="1"/>
  <c r="Z609" i="1"/>
  <c r="AD609" i="1"/>
  <c r="AE609" i="1"/>
  <c r="AF609" i="1"/>
  <c r="AG609" i="1"/>
  <c r="AH609" i="1"/>
  <c r="AI609" i="1"/>
  <c r="I610" i="1"/>
  <c r="J610" i="1"/>
  <c r="M610" i="1"/>
  <c r="N610" i="1"/>
  <c r="O610" i="1"/>
  <c r="S610" i="1"/>
  <c r="T610" i="1"/>
  <c r="X610" i="1"/>
  <c r="Y610" i="1"/>
  <c r="Z610" i="1"/>
  <c r="AD610" i="1"/>
  <c r="AE610" i="1"/>
  <c r="AF610" i="1"/>
  <c r="AG610" i="1"/>
  <c r="AH610" i="1"/>
  <c r="AI610" i="1"/>
  <c r="I611" i="1"/>
  <c r="J611" i="1"/>
  <c r="M611" i="1"/>
  <c r="N611" i="1"/>
  <c r="O611" i="1"/>
  <c r="S611" i="1"/>
  <c r="T611" i="1"/>
  <c r="X611" i="1"/>
  <c r="Y611" i="1"/>
  <c r="Z611" i="1"/>
  <c r="AD611" i="1"/>
  <c r="AE611" i="1"/>
  <c r="AF611" i="1"/>
  <c r="AG611" i="1"/>
  <c r="AH611" i="1"/>
  <c r="AI611" i="1"/>
  <c r="I612" i="1"/>
  <c r="J612" i="1"/>
  <c r="M612" i="1"/>
  <c r="N612" i="1"/>
  <c r="O612" i="1"/>
  <c r="S612" i="1"/>
  <c r="T612" i="1"/>
  <c r="X612" i="1"/>
  <c r="Y612" i="1"/>
  <c r="Z612" i="1"/>
  <c r="AD612" i="1"/>
  <c r="AE612" i="1"/>
  <c r="AF612" i="1"/>
  <c r="AG612" i="1"/>
  <c r="AH612" i="1"/>
  <c r="AI612" i="1"/>
  <c r="I613" i="1"/>
  <c r="J613" i="1"/>
  <c r="M613" i="1"/>
  <c r="N613" i="1"/>
  <c r="O613" i="1"/>
  <c r="S613" i="1"/>
  <c r="T613" i="1"/>
  <c r="X613" i="1"/>
  <c r="Y613" i="1"/>
  <c r="Z613" i="1"/>
  <c r="AD613" i="1"/>
  <c r="AE613" i="1"/>
  <c r="AF613" i="1"/>
  <c r="AG613" i="1"/>
  <c r="AH613" i="1"/>
  <c r="AI613" i="1"/>
  <c r="I614" i="1"/>
  <c r="J614" i="1"/>
  <c r="M614" i="1"/>
  <c r="N614" i="1"/>
  <c r="O614" i="1"/>
  <c r="S614" i="1"/>
  <c r="T614" i="1"/>
  <c r="X614" i="1"/>
  <c r="Y614" i="1"/>
  <c r="Z614" i="1"/>
  <c r="AD614" i="1"/>
  <c r="AE614" i="1"/>
  <c r="AF614" i="1"/>
  <c r="AG614" i="1"/>
  <c r="AH614" i="1"/>
  <c r="AI614" i="1"/>
  <c r="I615" i="1"/>
  <c r="J615" i="1"/>
  <c r="M615" i="1"/>
  <c r="N615" i="1"/>
  <c r="O615" i="1"/>
  <c r="S615" i="1"/>
  <c r="T615" i="1"/>
  <c r="X615" i="1"/>
  <c r="Y615" i="1"/>
  <c r="Z615" i="1"/>
  <c r="AD615" i="1"/>
  <c r="AE615" i="1"/>
  <c r="AF615" i="1"/>
  <c r="AG615" i="1"/>
  <c r="AH615" i="1"/>
  <c r="AI615" i="1"/>
  <c r="I616" i="1"/>
  <c r="J616" i="1"/>
  <c r="M616" i="1"/>
  <c r="N616" i="1"/>
  <c r="O616" i="1"/>
  <c r="S616" i="1"/>
  <c r="T616" i="1"/>
  <c r="X616" i="1"/>
  <c r="Y616" i="1"/>
  <c r="Z616" i="1"/>
  <c r="AD616" i="1"/>
  <c r="AE616" i="1"/>
  <c r="AF616" i="1"/>
  <c r="AG616" i="1"/>
  <c r="AH616" i="1"/>
  <c r="AI616" i="1"/>
  <c r="I617" i="1"/>
  <c r="J617" i="1"/>
  <c r="M617" i="1"/>
  <c r="N617" i="1"/>
  <c r="O617" i="1"/>
  <c r="S617" i="1"/>
  <c r="T617" i="1"/>
  <c r="X617" i="1"/>
  <c r="Y617" i="1"/>
  <c r="Z617" i="1"/>
  <c r="AD617" i="1"/>
  <c r="AE617" i="1"/>
  <c r="AF617" i="1"/>
  <c r="AG617" i="1"/>
  <c r="AH617" i="1"/>
  <c r="AI617" i="1"/>
  <c r="I618" i="1"/>
  <c r="J618" i="1"/>
  <c r="M618" i="1"/>
  <c r="N618" i="1"/>
  <c r="O618" i="1"/>
  <c r="S618" i="1"/>
  <c r="T618" i="1"/>
  <c r="X618" i="1"/>
  <c r="Y618" i="1"/>
  <c r="Z618" i="1"/>
  <c r="AD618" i="1"/>
  <c r="AE618" i="1"/>
  <c r="AF618" i="1"/>
  <c r="AG618" i="1"/>
  <c r="AH618" i="1"/>
  <c r="AI618" i="1"/>
  <c r="I619" i="1"/>
  <c r="J619" i="1"/>
  <c r="M619" i="1"/>
  <c r="N619" i="1"/>
  <c r="O619" i="1"/>
  <c r="S619" i="1"/>
  <c r="T619" i="1"/>
  <c r="X619" i="1"/>
  <c r="Y619" i="1"/>
  <c r="Z619" i="1"/>
  <c r="AD619" i="1"/>
  <c r="AE619" i="1"/>
  <c r="AF619" i="1"/>
  <c r="AG619" i="1"/>
  <c r="AH619" i="1"/>
  <c r="AI619" i="1"/>
  <c r="I620" i="1"/>
  <c r="J620" i="1"/>
  <c r="M620" i="1"/>
  <c r="N620" i="1"/>
  <c r="O620" i="1"/>
  <c r="S620" i="1"/>
  <c r="T620" i="1"/>
  <c r="X620" i="1"/>
  <c r="Y620" i="1"/>
  <c r="Z620" i="1"/>
  <c r="AD620" i="1"/>
  <c r="AE620" i="1"/>
  <c r="AF620" i="1"/>
  <c r="AG620" i="1"/>
  <c r="AH620" i="1"/>
  <c r="AI620" i="1"/>
  <c r="I621" i="1"/>
  <c r="J621" i="1"/>
  <c r="M621" i="1"/>
  <c r="N621" i="1"/>
  <c r="O621" i="1"/>
  <c r="S621" i="1"/>
  <c r="T621" i="1"/>
  <c r="X621" i="1"/>
  <c r="Y621" i="1"/>
  <c r="Z621" i="1"/>
  <c r="AD621" i="1"/>
  <c r="AE621" i="1"/>
  <c r="AF621" i="1"/>
  <c r="AG621" i="1"/>
  <c r="AH621" i="1"/>
  <c r="AI621" i="1"/>
  <c r="I622" i="1"/>
  <c r="J622" i="1"/>
  <c r="M622" i="1"/>
  <c r="N622" i="1"/>
  <c r="O622" i="1"/>
  <c r="S622" i="1"/>
  <c r="T622" i="1"/>
  <c r="X622" i="1"/>
  <c r="Y622" i="1"/>
  <c r="Z622" i="1"/>
  <c r="AD622" i="1"/>
  <c r="AE622" i="1"/>
  <c r="AF622" i="1"/>
  <c r="AG622" i="1"/>
  <c r="AH622" i="1"/>
  <c r="AI622" i="1"/>
  <c r="I623" i="1"/>
  <c r="J623" i="1"/>
  <c r="M623" i="1"/>
  <c r="N623" i="1"/>
  <c r="O623" i="1"/>
  <c r="S623" i="1"/>
  <c r="T623" i="1"/>
  <c r="X623" i="1"/>
  <c r="Y623" i="1"/>
  <c r="Z623" i="1"/>
  <c r="AD623" i="1"/>
  <c r="AE623" i="1"/>
  <c r="AF623" i="1"/>
  <c r="AG623" i="1"/>
  <c r="AH623" i="1"/>
  <c r="AI623" i="1"/>
  <c r="I624" i="1"/>
  <c r="J624" i="1"/>
  <c r="M624" i="1"/>
  <c r="N624" i="1"/>
  <c r="O624" i="1"/>
  <c r="S624" i="1"/>
  <c r="T624" i="1"/>
  <c r="X624" i="1"/>
  <c r="Y624" i="1"/>
  <c r="Z624" i="1"/>
  <c r="AD624" i="1"/>
  <c r="AE624" i="1"/>
  <c r="AF624" i="1"/>
  <c r="AG624" i="1"/>
  <c r="AH624" i="1"/>
  <c r="AI624" i="1"/>
  <c r="I625" i="1"/>
  <c r="J625" i="1"/>
  <c r="M625" i="1"/>
  <c r="N625" i="1"/>
  <c r="O625" i="1"/>
  <c r="S625" i="1"/>
  <c r="T625" i="1"/>
  <c r="X625" i="1"/>
  <c r="Y625" i="1"/>
  <c r="Z625" i="1"/>
  <c r="AD625" i="1"/>
  <c r="AE625" i="1"/>
  <c r="AF625" i="1"/>
  <c r="AG625" i="1"/>
  <c r="AH625" i="1"/>
  <c r="AI625" i="1"/>
  <c r="I626" i="1"/>
  <c r="J626" i="1"/>
  <c r="M626" i="1"/>
  <c r="N626" i="1"/>
  <c r="O626" i="1"/>
  <c r="S626" i="1"/>
  <c r="T626" i="1"/>
  <c r="X626" i="1"/>
  <c r="Y626" i="1"/>
  <c r="Z626" i="1"/>
  <c r="AD626" i="1"/>
  <c r="AE626" i="1"/>
  <c r="AF626" i="1"/>
  <c r="AG626" i="1"/>
  <c r="AH626" i="1"/>
  <c r="AI626" i="1"/>
  <c r="I627" i="1"/>
  <c r="J627" i="1"/>
  <c r="M627" i="1"/>
  <c r="N627" i="1"/>
  <c r="O627" i="1"/>
  <c r="S627" i="1"/>
  <c r="T627" i="1"/>
  <c r="X627" i="1"/>
  <c r="Y627" i="1"/>
  <c r="Z627" i="1"/>
  <c r="AD627" i="1"/>
  <c r="AE627" i="1"/>
  <c r="AF627" i="1"/>
  <c r="AG627" i="1"/>
  <c r="AH627" i="1"/>
  <c r="AI627" i="1"/>
  <c r="I628" i="1"/>
  <c r="J628" i="1"/>
  <c r="M628" i="1"/>
  <c r="N628" i="1"/>
  <c r="O628" i="1"/>
  <c r="S628" i="1"/>
  <c r="T628" i="1"/>
  <c r="X628" i="1"/>
  <c r="Y628" i="1"/>
  <c r="Z628" i="1"/>
  <c r="AD628" i="1"/>
  <c r="AE628" i="1"/>
  <c r="AF628" i="1"/>
  <c r="AG628" i="1"/>
  <c r="AH628" i="1"/>
  <c r="AI628" i="1"/>
  <c r="I629" i="1"/>
  <c r="J629" i="1"/>
  <c r="M629" i="1"/>
  <c r="N629" i="1"/>
  <c r="O629" i="1"/>
  <c r="S629" i="1"/>
  <c r="T629" i="1"/>
  <c r="X629" i="1"/>
  <c r="Y629" i="1"/>
  <c r="Z629" i="1"/>
  <c r="AD629" i="1"/>
  <c r="AE629" i="1"/>
  <c r="AF629" i="1"/>
  <c r="AG629" i="1"/>
  <c r="AH629" i="1"/>
  <c r="AI629" i="1"/>
  <c r="I630" i="1"/>
  <c r="J630" i="1"/>
  <c r="M630" i="1"/>
  <c r="N630" i="1"/>
  <c r="O630" i="1"/>
  <c r="S630" i="1"/>
  <c r="T630" i="1"/>
  <c r="X630" i="1"/>
  <c r="Y630" i="1"/>
  <c r="Z630" i="1"/>
  <c r="AD630" i="1"/>
  <c r="AE630" i="1"/>
  <c r="AF630" i="1"/>
  <c r="AG630" i="1"/>
  <c r="AH630" i="1"/>
  <c r="AI630" i="1"/>
  <c r="I631" i="1"/>
  <c r="J631" i="1"/>
  <c r="M631" i="1"/>
  <c r="N631" i="1"/>
  <c r="O631" i="1"/>
  <c r="S631" i="1"/>
  <c r="T631" i="1"/>
  <c r="X631" i="1"/>
  <c r="Y631" i="1"/>
  <c r="Z631" i="1"/>
  <c r="AD631" i="1"/>
  <c r="AE631" i="1"/>
  <c r="AF631" i="1"/>
  <c r="AG631" i="1"/>
  <c r="AH631" i="1"/>
  <c r="AI631" i="1"/>
  <c r="I632" i="1"/>
  <c r="J632" i="1"/>
  <c r="M632" i="1"/>
  <c r="N632" i="1"/>
  <c r="O632" i="1"/>
  <c r="S632" i="1"/>
  <c r="T632" i="1"/>
  <c r="X632" i="1"/>
  <c r="Y632" i="1"/>
  <c r="Z632" i="1"/>
  <c r="AD632" i="1"/>
  <c r="AE632" i="1"/>
  <c r="AF632" i="1"/>
  <c r="AG632" i="1"/>
  <c r="AH632" i="1"/>
  <c r="AI632" i="1"/>
  <c r="I633" i="1"/>
  <c r="J633" i="1"/>
  <c r="M633" i="1"/>
  <c r="N633" i="1"/>
  <c r="O633" i="1"/>
  <c r="S633" i="1"/>
  <c r="T633" i="1"/>
  <c r="X633" i="1"/>
  <c r="Y633" i="1"/>
  <c r="Z633" i="1"/>
  <c r="AD633" i="1"/>
  <c r="AE633" i="1"/>
  <c r="AF633" i="1"/>
  <c r="AG633" i="1"/>
  <c r="AH633" i="1"/>
  <c r="AI633" i="1"/>
  <c r="I634" i="1"/>
  <c r="J634" i="1"/>
  <c r="M634" i="1"/>
  <c r="N634" i="1"/>
  <c r="O634" i="1"/>
  <c r="S634" i="1"/>
  <c r="T634" i="1"/>
  <c r="X634" i="1"/>
  <c r="Y634" i="1"/>
  <c r="Z634" i="1"/>
  <c r="AD634" i="1"/>
  <c r="AE634" i="1"/>
  <c r="AF634" i="1"/>
  <c r="AG634" i="1"/>
  <c r="AH634" i="1"/>
  <c r="AI634" i="1"/>
  <c r="I635" i="1"/>
  <c r="J635" i="1"/>
  <c r="M635" i="1"/>
  <c r="N635" i="1"/>
  <c r="O635" i="1"/>
  <c r="S635" i="1"/>
  <c r="T635" i="1"/>
  <c r="X635" i="1"/>
  <c r="Y635" i="1"/>
  <c r="Z635" i="1"/>
  <c r="AD635" i="1"/>
  <c r="AE635" i="1"/>
  <c r="AF635" i="1"/>
  <c r="AG635" i="1"/>
  <c r="AH635" i="1"/>
  <c r="AI635" i="1"/>
  <c r="I636" i="1"/>
  <c r="J636" i="1"/>
  <c r="M636" i="1"/>
  <c r="N636" i="1"/>
  <c r="O636" i="1"/>
  <c r="S636" i="1"/>
  <c r="T636" i="1"/>
  <c r="X636" i="1"/>
  <c r="Y636" i="1"/>
  <c r="Z636" i="1"/>
  <c r="AD636" i="1"/>
  <c r="AE636" i="1"/>
  <c r="AF636" i="1"/>
  <c r="AG636" i="1"/>
  <c r="AH636" i="1"/>
  <c r="AI636" i="1"/>
  <c r="I637" i="1"/>
  <c r="J637" i="1"/>
  <c r="M637" i="1"/>
  <c r="N637" i="1"/>
  <c r="O637" i="1"/>
  <c r="S637" i="1"/>
  <c r="T637" i="1"/>
  <c r="X637" i="1"/>
  <c r="Y637" i="1"/>
  <c r="Z637" i="1"/>
  <c r="AD637" i="1"/>
  <c r="AE637" i="1"/>
  <c r="AF637" i="1"/>
  <c r="AG637" i="1"/>
  <c r="AH637" i="1"/>
  <c r="AI637" i="1"/>
  <c r="I638" i="1"/>
  <c r="J638" i="1"/>
  <c r="M638" i="1"/>
  <c r="N638" i="1"/>
  <c r="O638" i="1"/>
  <c r="S638" i="1"/>
  <c r="T638" i="1"/>
  <c r="X638" i="1"/>
  <c r="Y638" i="1"/>
  <c r="Z638" i="1"/>
  <c r="AD638" i="1"/>
  <c r="AE638" i="1"/>
  <c r="AF638" i="1"/>
  <c r="AG638" i="1"/>
  <c r="AH638" i="1"/>
  <c r="AI638" i="1"/>
  <c r="I639" i="1"/>
  <c r="J639" i="1"/>
  <c r="M639" i="1"/>
  <c r="N639" i="1"/>
  <c r="O639" i="1"/>
  <c r="S639" i="1"/>
  <c r="T639" i="1"/>
  <c r="X639" i="1"/>
  <c r="Y639" i="1"/>
  <c r="Z639" i="1"/>
  <c r="AD639" i="1"/>
  <c r="AE639" i="1"/>
  <c r="AF639" i="1"/>
  <c r="AG639" i="1"/>
  <c r="AH639" i="1"/>
  <c r="AI639" i="1"/>
  <c r="I640" i="1"/>
  <c r="J640" i="1"/>
  <c r="M640" i="1"/>
  <c r="N640" i="1"/>
  <c r="O640" i="1"/>
  <c r="S640" i="1"/>
  <c r="T640" i="1"/>
  <c r="X640" i="1"/>
  <c r="Y640" i="1"/>
  <c r="Z640" i="1"/>
  <c r="AD640" i="1"/>
  <c r="AE640" i="1"/>
  <c r="AF640" i="1"/>
  <c r="AG640" i="1"/>
  <c r="AH640" i="1"/>
  <c r="AI640" i="1"/>
  <c r="I641" i="1"/>
  <c r="J641" i="1"/>
  <c r="M641" i="1"/>
  <c r="N641" i="1"/>
  <c r="O641" i="1"/>
  <c r="S641" i="1"/>
  <c r="T641" i="1"/>
  <c r="X641" i="1"/>
  <c r="Y641" i="1"/>
  <c r="Z641" i="1"/>
  <c r="AD641" i="1"/>
  <c r="AE641" i="1"/>
  <c r="AF641" i="1"/>
  <c r="AG641" i="1"/>
  <c r="AH641" i="1"/>
  <c r="AI641" i="1"/>
  <c r="I642" i="1"/>
  <c r="J642" i="1"/>
  <c r="M642" i="1"/>
  <c r="N642" i="1"/>
  <c r="O642" i="1"/>
  <c r="S642" i="1"/>
  <c r="T642" i="1"/>
  <c r="X642" i="1"/>
  <c r="Y642" i="1"/>
  <c r="Z642" i="1"/>
  <c r="AD642" i="1"/>
  <c r="AE642" i="1"/>
  <c r="AF642" i="1"/>
  <c r="AG642" i="1"/>
  <c r="AH642" i="1"/>
  <c r="AI642" i="1"/>
  <c r="I643" i="1"/>
  <c r="J643" i="1"/>
  <c r="M643" i="1"/>
  <c r="N643" i="1"/>
  <c r="O643" i="1"/>
  <c r="S643" i="1"/>
  <c r="T643" i="1"/>
  <c r="X643" i="1"/>
  <c r="Y643" i="1"/>
  <c r="Z643" i="1"/>
  <c r="AD643" i="1"/>
  <c r="AE643" i="1"/>
  <c r="AF643" i="1"/>
  <c r="AG643" i="1"/>
  <c r="AH643" i="1"/>
  <c r="AI643" i="1"/>
  <c r="I644" i="1"/>
  <c r="J644" i="1"/>
  <c r="M644" i="1"/>
  <c r="N644" i="1"/>
  <c r="O644" i="1"/>
  <c r="S644" i="1"/>
  <c r="T644" i="1"/>
  <c r="X644" i="1"/>
  <c r="Y644" i="1"/>
  <c r="Z644" i="1"/>
  <c r="AD644" i="1"/>
  <c r="AE644" i="1"/>
  <c r="AF644" i="1"/>
  <c r="AG644" i="1"/>
  <c r="AH644" i="1"/>
  <c r="AI644" i="1"/>
  <c r="I645" i="1"/>
  <c r="J645" i="1"/>
  <c r="M645" i="1"/>
  <c r="N645" i="1"/>
  <c r="O645" i="1"/>
  <c r="S645" i="1"/>
  <c r="T645" i="1"/>
  <c r="X645" i="1"/>
  <c r="Y645" i="1"/>
  <c r="Z645" i="1"/>
  <c r="AD645" i="1"/>
  <c r="AE645" i="1"/>
  <c r="AF645" i="1"/>
  <c r="AG645" i="1"/>
  <c r="AH645" i="1"/>
  <c r="AI645" i="1"/>
  <c r="I646" i="1"/>
  <c r="J646" i="1"/>
  <c r="M646" i="1"/>
  <c r="N646" i="1"/>
  <c r="O646" i="1"/>
  <c r="S646" i="1"/>
  <c r="T646" i="1"/>
  <c r="X646" i="1"/>
  <c r="Y646" i="1"/>
  <c r="Z646" i="1"/>
  <c r="AD646" i="1"/>
  <c r="AE646" i="1"/>
  <c r="AF646" i="1"/>
  <c r="AG646" i="1"/>
  <c r="AH646" i="1"/>
  <c r="AI646" i="1"/>
  <c r="I647" i="1"/>
  <c r="J647" i="1"/>
  <c r="M647" i="1"/>
  <c r="N647" i="1"/>
  <c r="O647" i="1"/>
  <c r="S647" i="1"/>
  <c r="T647" i="1"/>
  <c r="X647" i="1"/>
  <c r="Y647" i="1"/>
  <c r="Z647" i="1"/>
  <c r="AD647" i="1"/>
  <c r="AE647" i="1"/>
  <c r="AF647" i="1"/>
  <c r="AG647" i="1"/>
  <c r="AH647" i="1"/>
  <c r="AI647" i="1"/>
  <c r="I648" i="1"/>
  <c r="J648" i="1"/>
  <c r="M648" i="1"/>
  <c r="N648" i="1"/>
  <c r="O648" i="1"/>
  <c r="S648" i="1"/>
  <c r="T648" i="1"/>
  <c r="X648" i="1"/>
  <c r="Y648" i="1"/>
  <c r="Z648" i="1"/>
  <c r="AD648" i="1"/>
  <c r="AE648" i="1"/>
  <c r="AF648" i="1"/>
  <c r="AG648" i="1"/>
  <c r="AH648" i="1"/>
  <c r="AI648" i="1"/>
  <c r="I649" i="1"/>
  <c r="J649" i="1"/>
  <c r="M649" i="1"/>
  <c r="N649" i="1"/>
  <c r="O649" i="1"/>
  <c r="S649" i="1"/>
  <c r="T649" i="1"/>
  <c r="X649" i="1"/>
  <c r="Y649" i="1"/>
  <c r="Z649" i="1"/>
  <c r="AD649" i="1"/>
  <c r="AE649" i="1"/>
  <c r="AF649" i="1"/>
  <c r="AG649" i="1"/>
  <c r="AH649" i="1"/>
  <c r="AI649" i="1"/>
  <c r="I650" i="1"/>
  <c r="J650" i="1"/>
  <c r="M650" i="1"/>
  <c r="N650" i="1"/>
  <c r="O650" i="1"/>
  <c r="S650" i="1"/>
  <c r="T650" i="1"/>
  <c r="X650" i="1"/>
  <c r="Y650" i="1"/>
  <c r="Z650" i="1"/>
  <c r="AD650" i="1"/>
  <c r="AE650" i="1"/>
  <c r="AF650" i="1"/>
  <c r="AG650" i="1"/>
  <c r="AH650" i="1"/>
  <c r="AI650" i="1"/>
  <c r="I651" i="1"/>
  <c r="J651" i="1"/>
  <c r="M651" i="1"/>
  <c r="N651" i="1"/>
  <c r="O651" i="1"/>
  <c r="S651" i="1"/>
  <c r="T651" i="1"/>
  <c r="X651" i="1"/>
  <c r="Y651" i="1"/>
  <c r="Z651" i="1"/>
  <c r="AD651" i="1"/>
  <c r="AE651" i="1"/>
  <c r="AF651" i="1"/>
  <c r="AG651" i="1"/>
  <c r="AH651" i="1"/>
  <c r="AI651" i="1"/>
  <c r="I652" i="1"/>
  <c r="J652" i="1"/>
  <c r="M652" i="1"/>
  <c r="N652" i="1"/>
  <c r="O652" i="1"/>
  <c r="S652" i="1"/>
  <c r="T652" i="1"/>
  <c r="X652" i="1"/>
  <c r="Y652" i="1"/>
  <c r="Z652" i="1"/>
  <c r="AD652" i="1"/>
  <c r="AE652" i="1"/>
  <c r="AF652" i="1"/>
  <c r="AG652" i="1"/>
  <c r="AH652" i="1"/>
  <c r="AI652" i="1"/>
  <c r="I653" i="1"/>
  <c r="J653" i="1"/>
  <c r="M653" i="1"/>
  <c r="N653" i="1"/>
  <c r="O653" i="1"/>
  <c r="S653" i="1"/>
  <c r="T653" i="1"/>
  <c r="X653" i="1"/>
  <c r="Y653" i="1"/>
  <c r="Z653" i="1"/>
  <c r="AD653" i="1"/>
  <c r="AE653" i="1"/>
  <c r="AF653" i="1"/>
  <c r="AG653" i="1"/>
  <c r="AH653" i="1"/>
  <c r="AI653" i="1"/>
  <c r="I654" i="1"/>
  <c r="J654" i="1"/>
  <c r="M654" i="1"/>
  <c r="N654" i="1"/>
  <c r="O654" i="1"/>
  <c r="S654" i="1"/>
  <c r="T654" i="1"/>
  <c r="X654" i="1"/>
  <c r="Y654" i="1"/>
  <c r="Z654" i="1"/>
  <c r="AD654" i="1"/>
  <c r="AE654" i="1"/>
  <c r="AF654" i="1"/>
  <c r="AG654" i="1"/>
  <c r="AH654" i="1"/>
  <c r="AI654" i="1"/>
  <c r="I655" i="1"/>
  <c r="J655" i="1"/>
  <c r="M655" i="1"/>
  <c r="N655" i="1"/>
  <c r="O655" i="1"/>
  <c r="S655" i="1"/>
  <c r="T655" i="1"/>
  <c r="X655" i="1"/>
  <c r="Y655" i="1"/>
  <c r="Z655" i="1"/>
  <c r="AD655" i="1"/>
  <c r="AE655" i="1"/>
  <c r="AF655" i="1"/>
  <c r="AG655" i="1"/>
  <c r="AH655" i="1"/>
  <c r="AI655" i="1"/>
  <c r="I656" i="1"/>
  <c r="J656" i="1"/>
  <c r="M656" i="1"/>
  <c r="N656" i="1"/>
  <c r="O656" i="1"/>
  <c r="S656" i="1"/>
  <c r="T656" i="1"/>
  <c r="X656" i="1"/>
  <c r="Y656" i="1"/>
  <c r="Z656" i="1"/>
  <c r="AD656" i="1"/>
  <c r="AE656" i="1"/>
  <c r="AF656" i="1"/>
  <c r="AG656" i="1"/>
  <c r="AH656" i="1"/>
  <c r="AI656" i="1"/>
  <c r="I657" i="1"/>
  <c r="J657" i="1"/>
  <c r="M657" i="1"/>
  <c r="N657" i="1"/>
  <c r="O657" i="1"/>
  <c r="S657" i="1"/>
  <c r="T657" i="1"/>
  <c r="X657" i="1"/>
  <c r="Y657" i="1"/>
  <c r="Z657" i="1"/>
  <c r="AD657" i="1"/>
  <c r="AE657" i="1"/>
  <c r="AF657" i="1"/>
  <c r="AG657" i="1"/>
  <c r="AH657" i="1"/>
  <c r="AI657" i="1"/>
  <c r="I658" i="1"/>
  <c r="J658" i="1"/>
  <c r="M658" i="1"/>
  <c r="N658" i="1"/>
  <c r="O658" i="1"/>
  <c r="S658" i="1"/>
  <c r="T658" i="1"/>
  <c r="X658" i="1"/>
  <c r="Y658" i="1"/>
  <c r="Z658" i="1"/>
  <c r="AD658" i="1"/>
  <c r="AE658" i="1"/>
  <c r="AF658" i="1"/>
  <c r="AG658" i="1"/>
  <c r="AH658" i="1"/>
  <c r="AI658" i="1"/>
  <c r="I659" i="1"/>
  <c r="J659" i="1"/>
  <c r="M659" i="1"/>
  <c r="N659" i="1"/>
  <c r="O659" i="1"/>
  <c r="S659" i="1"/>
  <c r="T659" i="1"/>
  <c r="X659" i="1"/>
  <c r="Y659" i="1"/>
  <c r="Z659" i="1"/>
  <c r="AD659" i="1"/>
  <c r="AE659" i="1"/>
  <c r="AF659" i="1"/>
  <c r="AG659" i="1"/>
  <c r="AH659" i="1"/>
  <c r="AI659" i="1"/>
  <c r="I660" i="1"/>
  <c r="J660" i="1"/>
  <c r="M660" i="1"/>
  <c r="N660" i="1"/>
  <c r="O660" i="1"/>
  <c r="S660" i="1"/>
  <c r="T660" i="1"/>
  <c r="X660" i="1"/>
  <c r="Y660" i="1"/>
  <c r="Z660" i="1"/>
  <c r="AD660" i="1"/>
  <c r="AE660" i="1"/>
  <c r="AF660" i="1"/>
  <c r="AG660" i="1"/>
  <c r="AH660" i="1"/>
  <c r="AI660" i="1"/>
  <c r="I661" i="1"/>
  <c r="J661" i="1"/>
  <c r="M661" i="1"/>
  <c r="N661" i="1"/>
  <c r="O661" i="1"/>
  <c r="S661" i="1"/>
  <c r="T661" i="1"/>
  <c r="X661" i="1"/>
  <c r="Y661" i="1"/>
  <c r="Z661" i="1"/>
  <c r="AD661" i="1"/>
  <c r="AE661" i="1"/>
  <c r="AF661" i="1"/>
  <c r="AG661" i="1"/>
  <c r="AH661" i="1"/>
  <c r="AI661" i="1"/>
  <c r="I662" i="1"/>
  <c r="J662" i="1"/>
  <c r="M662" i="1"/>
  <c r="N662" i="1"/>
  <c r="O662" i="1"/>
  <c r="S662" i="1"/>
  <c r="T662" i="1"/>
  <c r="X662" i="1"/>
  <c r="Y662" i="1"/>
  <c r="Z662" i="1"/>
  <c r="AD662" i="1"/>
  <c r="AE662" i="1"/>
  <c r="AF662" i="1"/>
  <c r="AG662" i="1"/>
  <c r="AH662" i="1"/>
  <c r="AI662" i="1"/>
  <c r="I663" i="1"/>
  <c r="J663" i="1"/>
  <c r="M663" i="1"/>
  <c r="N663" i="1"/>
  <c r="O663" i="1"/>
  <c r="S663" i="1"/>
  <c r="T663" i="1"/>
  <c r="X663" i="1"/>
  <c r="Y663" i="1"/>
  <c r="Z663" i="1"/>
  <c r="AD663" i="1"/>
  <c r="AE663" i="1"/>
  <c r="AF663" i="1"/>
  <c r="AG663" i="1"/>
  <c r="AH663" i="1"/>
  <c r="AI663" i="1"/>
  <c r="I664" i="1"/>
  <c r="J664" i="1"/>
  <c r="M664" i="1"/>
  <c r="N664" i="1"/>
  <c r="O664" i="1"/>
  <c r="S664" i="1"/>
  <c r="T664" i="1"/>
  <c r="X664" i="1"/>
  <c r="Y664" i="1"/>
  <c r="Z664" i="1"/>
  <c r="AD664" i="1"/>
  <c r="AE664" i="1"/>
  <c r="AF664" i="1"/>
  <c r="AG664" i="1"/>
  <c r="AH664" i="1"/>
  <c r="AI664" i="1"/>
  <c r="I665" i="1"/>
  <c r="J665" i="1"/>
  <c r="M665" i="1"/>
  <c r="N665" i="1"/>
  <c r="O665" i="1"/>
  <c r="S665" i="1"/>
  <c r="T665" i="1"/>
  <c r="X665" i="1"/>
  <c r="Y665" i="1"/>
  <c r="Z665" i="1"/>
  <c r="AD665" i="1"/>
  <c r="AE665" i="1"/>
  <c r="AF665" i="1"/>
  <c r="AG665" i="1"/>
  <c r="AH665" i="1"/>
  <c r="AI665" i="1"/>
  <c r="I666" i="1"/>
  <c r="J666" i="1"/>
  <c r="M666" i="1"/>
  <c r="N666" i="1"/>
  <c r="O666" i="1"/>
  <c r="S666" i="1"/>
  <c r="T666" i="1"/>
  <c r="X666" i="1"/>
  <c r="Y666" i="1"/>
  <c r="Z666" i="1"/>
  <c r="AD666" i="1"/>
  <c r="AE666" i="1"/>
  <c r="AF666" i="1"/>
  <c r="AG666" i="1"/>
  <c r="AH666" i="1"/>
  <c r="AI666" i="1"/>
  <c r="I667" i="1"/>
  <c r="J667" i="1"/>
  <c r="M667" i="1"/>
  <c r="N667" i="1"/>
  <c r="O667" i="1"/>
  <c r="S667" i="1"/>
  <c r="T667" i="1"/>
  <c r="X667" i="1"/>
  <c r="Y667" i="1"/>
  <c r="Z667" i="1"/>
  <c r="AD667" i="1"/>
  <c r="AE667" i="1"/>
  <c r="AF667" i="1"/>
  <c r="AG667" i="1"/>
  <c r="AH667" i="1"/>
  <c r="AI667" i="1"/>
  <c r="I668" i="1"/>
  <c r="J668" i="1"/>
  <c r="M668" i="1"/>
  <c r="N668" i="1"/>
  <c r="O668" i="1"/>
  <c r="S668" i="1"/>
  <c r="T668" i="1"/>
  <c r="X668" i="1"/>
  <c r="Y668" i="1"/>
  <c r="Z668" i="1"/>
  <c r="AD668" i="1"/>
  <c r="AE668" i="1"/>
  <c r="AF668" i="1"/>
  <c r="AG668" i="1"/>
  <c r="AH668" i="1"/>
  <c r="AI668" i="1"/>
  <c r="I669" i="1"/>
  <c r="J669" i="1"/>
  <c r="M669" i="1"/>
  <c r="N669" i="1"/>
  <c r="O669" i="1"/>
  <c r="S669" i="1"/>
  <c r="T669" i="1"/>
  <c r="X669" i="1"/>
  <c r="Y669" i="1"/>
  <c r="Z669" i="1"/>
  <c r="AD669" i="1"/>
  <c r="AE669" i="1"/>
  <c r="AF669" i="1"/>
  <c r="AG669" i="1"/>
  <c r="AH669" i="1"/>
  <c r="AI669" i="1"/>
  <c r="I670" i="1"/>
  <c r="J670" i="1"/>
  <c r="M670" i="1"/>
  <c r="N670" i="1"/>
  <c r="O670" i="1"/>
  <c r="S670" i="1"/>
  <c r="T670" i="1"/>
  <c r="X670" i="1"/>
  <c r="Y670" i="1"/>
  <c r="Z670" i="1"/>
  <c r="AD670" i="1"/>
  <c r="AE670" i="1"/>
  <c r="AF670" i="1"/>
  <c r="AG670" i="1"/>
  <c r="AH670" i="1"/>
  <c r="AI670" i="1"/>
  <c r="I671" i="1"/>
  <c r="J671" i="1"/>
  <c r="M671" i="1"/>
  <c r="N671" i="1"/>
  <c r="O671" i="1"/>
  <c r="S671" i="1"/>
  <c r="T671" i="1"/>
  <c r="X671" i="1"/>
  <c r="Y671" i="1"/>
  <c r="Z671" i="1"/>
  <c r="AD671" i="1"/>
  <c r="AE671" i="1"/>
  <c r="AF671" i="1"/>
  <c r="AG671" i="1"/>
  <c r="AH671" i="1"/>
  <c r="AI671" i="1"/>
  <c r="I672" i="1"/>
  <c r="J672" i="1"/>
  <c r="M672" i="1"/>
  <c r="N672" i="1"/>
  <c r="O672" i="1"/>
  <c r="S672" i="1"/>
  <c r="T672" i="1"/>
  <c r="X672" i="1"/>
  <c r="Y672" i="1"/>
  <c r="Z672" i="1"/>
  <c r="AD672" i="1"/>
  <c r="AE672" i="1"/>
  <c r="AF672" i="1"/>
  <c r="AG672" i="1"/>
  <c r="AH672" i="1"/>
  <c r="AI672" i="1"/>
  <c r="I673" i="1"/>
  <c r="J673" i="1"/>
  <c r="M673" i="1"/>
  <c r="N673" i="1"/>
  <c r="O673" i="1"/>
  <c r="S673" i="1"/>
  <c r="T673" i="1"/>
  <c r="X673" i="1"/>
  <c r="Y673" i="1"/>
  <c r="Z673" i="1"/>
  <c r="AD673" i="1"/>
  <c r="AE673" i="1"/>
  <c r="AF673" i="1"/>
  <c r="AG673" i="1"/>
  <c r="AH673" i="1"/>
  <c r="AI673" i="1"/>
  <c r="I674" i="1"/>
  <c r="J674" i="1"/>
  <c r="M674" i="1"/>
  <c r="N674" i="1"/>
  <c r="O674" i="1"/>
  <c r="S674" i="1"/>
  <c r="T674" i="1"/>
  <c r="X674" i="1"/>
  <c r="Y674" i="1"/>
  <c r="Z674" i="1"/>
  <c r="AD674" i="1"/>
  <c r="AE674" i="1"/>
  <c r="AF674" i="1"/>
  <c r="AG674" i="1"/>
  <c r="AH674" i="1"/>
  <c r="AI674" i="1"/>
  <c r="I675" i="1"/>
  <c r="J675" i="1"/>
  <c r="M675" i="1"/>
  <c r="N675" i="1"/>
  <c r="O675" i="1"/>
  <c r="S675" i="1"/>
  <c r="T675" i="1"/>
  <c r="X675" i="1"/>
  <c r="Y675" i="1"/>
  <c r="Z675" i="1"/>
  <c r="AD675" i="1"/>
  <c r="AE675" i="1"/>
  <c r="AF675" i="1"/>
  <c r="AG675" i="1"/>
  <c r="AH675" i="1"/>
  <c r="AI675" i="1"/>
  <c r="I676" i="1"/>
  <c r="J676" i="1"/>
  <c r="M676" i="1"/>
  <c r="N676" i="1"/>
  <c r="O676" i="1"/>
  <c r="S676" i="1"/>
  <c r="T676" i="1"/>
  <c r="X676" i="1"/>
  <c r="Y676" i="1"/>
  <c r="Z676" i="1"/>
  <c r="AD676" i="1"/>
  <c r="AE676" i="1"/>
  <c r="AF676" i="1"/>
  <c r="AG676" i="1"/>
  <c r="AH676" i="1"/>
  <c r="AI676" i="1"/>
  <c r="I677" i="1"/>
  <c r="J677" i="1"/>
  <c r="M677" i="1"/>
  <c r="N677" i="1"/>
  <c r="O677" i="1"/>
  <c r="S677" i="1"/>
  <c r="T677" i="1"/>
  <c r="X677" i="1"/>
  <c r="Y677" i="1"/>
  <c r="Z677" i="1"/>
  <c r="AD677" i="1"/>
  <c r="AE677" i="1"/>
  <c r="AF677" i="1"/>
  <c r="AG677" i="1"/>
  <c r="AH677" i="1"/>
  <c r="AI677" i="1"/>
  <c r="I678" i="1"/>
  <c r="J678" i="1"/>
  <c r="M678" i="1"/>
  <c r="N678" i="1"/>
  <c r="O678" i="1"/>
  <c r="S678" i="1"/>
  <c r="T678" i="1"/>
  <c r="X678" i="1"/>
  <c r="Y678" i="1"/>
  <c r="Z678" i="1"/>
  <c r="AD678" i="1"/>
  <c r="AE678" i="1"/>
  <c r="AF678" i="1"/>
  <c r="AG678" i="1"/>
  <c r="AH678" i="1"/>
  <c r="AI678" i="1"/>
  <c r="I679" i="1"/>
  <c r="J679" i="1"/>
  <c r="M679" i="1"/>
  <c r="N679" i="1"/>
  <c r="O679" i="1"/>
  <c r="S679" i="1"/>
  <c r="T679" i="1"/>
  <c r="X679" i="1"/>
  <c r="Y679" i="1"/>
  <c r="Z679" i="1"/>
  <c r="AD679" i="1"/>
  <c r="AE679" i="1"/>
  <c r="AF679" i="1"/>
  <c r="AG679" i="1"/>
  <c r="AH679" i="1"/>
  <c r="AI679" i="1"/>
  <c r="I680" i="1"/>
  <c r="J680" i="1"/>
  <c r="M680" i="1"/>
  <c r="N680" i="1"/>
  <c r="O680" i="1"/>
  <c r="S680" i="1"/>
  <c r="T680" i="1"/>
  <c r="X680" i="1"/>
  <c r="Y680" i="1"/>
  <c r="Z680" i="1"/>
  <c r="AD680" i="1"/>
  <c r="AE680" i="1"/>
  <c r="AF680" i="1"/>
  <c r="AG680" i="1"/>
  <c r="AH680" i="1"/>
  <c r="AI680" i="1"/>
  <c r="I681" i="1"/>
  <c r="J681" i="1"/>
  <c r="M681" i="1"/>
  <c r="N681" i="1"/>
  <c r="O681" i="1"/>
  <c r="S681" i="1"/>
  <c r="T681" i="1"/>
  <c r="X681" i="1"/>
  <c r="Y681" i="1"/>
  <c r="Z681" i="1"/>
  <c r="AD681" i="1"/>
  <c r="AE681" i="1"/>
  <c r="AF681" i="1"/>
  <c r="AG681" i="1"/>
  <c r="AH681" i="1"/>
  <c r="AI681" i="1"/>
  <c r="I682" i="1"/>
  <c r="J682" i="1"/>
  <c r="M682" i="1"/>
  <c r="N682" i="1"/>
  <c r="O682" i="1"/>
  <c r="S682" i="1"/>
  <c r="T682" i="1"/>
  <c r="X682" i="1"/>
  <c r="Y682" i="1"/>
  <c r="Z682" i="1"/>
  <c r="AD682" i="1"/>
  <c r="AE682" i="1"/>
  <c r="AF682" i="1"/>
  <c r="AG682" i="1"/>
  <c r="AH682" i="1"/>
  <c r="AI682" i="1"/>
  <c r="I683" i="1"/>
  <c r="J683" i="1"/>
  <c r="M683" i="1"/>
  <c r="N683" i="1"/>
  <c r="O683" i="1"/>
  <c r="S683" i="1"/>
  <c r="T683" i="1"/>
  <c r="X683" i="1"/>
  <c r="Y683" i="1"/>
  <c r="Z683" i="1"/>
  <c r="AD683" i="1"/>
  <c r="AE683" i="1"/>
  <c r="AF683" i="1"/>
  <c r="AG683" i="1"/>
  <c r="AH683" i="1"/>
  <c r="AI683" i="1"/>
  <c r="I684" i="1"/>
  <c r="J684" i="1"/>
  <c r="M684" i="1"/>
  <c r="N684" i="1"/>
  <c r="O684" i="1"/>
  <c r="S684" i="1"/>
  <c r="T684" i="1"/>
  <c r="X684" i="1"/>
  <c r="Y684" i="1"/>
  <c r="Z684" i="1"/>
  <c r="AD684" i="1"/>
  <c r="AE684" i="1"/>
  <c r="AF684" i="1"/>
  <c r="AG684" i="1"/>
  <c r="AH684" i="1"/>
  <c r="AI684" i="1"/>
  <c r="I685" i="1"/>
  <c r="J685" i="1"/>
  <c r="M685" i="1"/>
  <c r="N685" i="1"/>
  <c r="O685" i="1"/>
  <c r="S685" i="1"/>
  <c r="T685" i="1"/>
  <c r="X685" i="1"/>
  <c r="Y685" i="1"/>
  <c r="Z685" i="1"/>
  <c r="AD685" i="1"/>
  <c r="AE685" i="1"/>
  <c r="AF685" i="1"/>
  <c r="AG685" i="1"/>
  <c r="AH685" i="1"/>
  <c r="AI685" i="1"/>
  <c r="I686" i="1"/>
  <c r="J686" i="1"/>
  <c r="M686" i="1"/>
  <c r="N686" i="1"/>
  <c r="O686" i="1"/>
  <c r="S686" i="1"/>
  <c r="T686" i="1"/>
  <c r="X686" i="1"/>
  <c r="Y686" i="1"/>
  <c r="Z686" i="1"/>
  <c r="AD686" i="1"/>
  <c r="AE686" i="1"/>
  <c r="AF686" i="1"/>
  <c r="AG686" i="1"/>
  <c r="AH686" i="1"/>
  <c r="AI686" i="1"/>
  <c r="I687" i="1"/>
  <c r="J687" i="1"/>
  <c r="M687" i="1"/>
  <c r="N687" i="1"/>
  <c r="O687" i="1"/>
  <c r="S687" i="1"/>
  <c r="T687" i="1"/>
  <c r="X687" i="1"/>
  <c r="Y687" i="1"/>
  <c r="Z687" i="1"/>
  <c r="AD687" i="1"/>
  <c r="AE687" i="1"/>
  <c r="AF687" i="1"/>
  <c r="AG687" i="1"/>
  <c r="AH687" i="1"/>
  <c r="AI687" i="1"/>
  <c r="I688" i="1"/>
  <c r="J688" i="1"/>
  <c r="M688" i="1"/>
  <c r="N688" i="1"/>
  <c r="O688" i="1"/>
  <c r="S688" i="1"/>
  <c r="T688" i="1"/>
  <c r="X688" i="1"/>
  <c r="Y688" i="1"/>
  <c r="Z688" i="1"/>
  <c r="AD688" i="1"/>
  <c r="AE688" i="1"/>
  <c r="AF688" i="1"/>
  <c r="AG688" i="1"/>
  <c r="AH688" i="1"/>
  <c r="AI688" i="1"/>
  <c r="I689" i="1"/>
  <c r="J689" i="1"/>
  <c r="M689" i="1"/>
  <c r="N689" i="1"/>
  <c r="O689" i="1"/>
  <c r="S689" i="1"/>
  <c r="T689" i="1"/>
  <c r="X689" i="1"/>
  <c r="Y689" i="1"/>
  <c r="Z689" i="1"/>
  <c r="AD689" i="1"/>
  <c r="AE689" i="1"/>
  <c r="AF689" i="1"/>
  <c r="AG689" i="1"/>
  <c r="AH689" i="1"/>
  <c r="AI689" i="1"/>
  <c r="I690" i="1"/>
  <c r="J690" i="1"/>
  <c r="M690" i="1"/>
  <c r="N690" i="1"/>
  <c r="O690" i="1"/>
  <c r="S690" i="1"/>
  <c r="T690" i="1"/>
  <c r="X690" i="1"/>
  <c r="Y690" i="1"/>
  <c r="Z690" i="1"/>
  <c r="AD690" i="1"/>
  <c r="AE690" i="1"/>
  <c r="AF690" i="1"/>
  <c r="AG690" i="1"/>
  <c r="AH690" i="1"/>
  <c r="AI690" i="1"/>
  <c r="I691" i="1"/>
  <c r="J691" i="1"/>
  <c r="M691" i="1"/>
  <c r="N691" i="1"/>
  <c r="O691" i="1"/>
  <c r="S691" i="1"/>
  <c r="T691" i="1"/>
  <c r="X691" i="1"/>
  <c r="Y691" i="1"/>
  <c r="Z691" i="1"/>
  <c r="AD691" i="1"/>
  <c r="AE691" i="1"/>
  <c r="AF691" i="1"/>
  <c r="AG691" i="1"/>
  <c r="AH691" i="1"/>
  <c r="AI691" i="1"/>
  <c r="I692" i="1"/>
  <c r="J692" i="1"/>
  <c r="M692" i="1"/>
  <c r="N692" i="1"/>
  <c r="O692" i="1"/>
  <c r="S692" i="1"/>
  <c r="T692" i="1"/>
  <c r="X692" i="1"/>
  <c r="Y692" i="1"/>
  <c r="Z692" i="1"/>
  <c r="AD692" i="1"/>
  <c r="AE692" i="1"/>
  <c r="AF692" i="1"/>
  <c r="AG692" i="1"/>
  <c r="AH692" i="1"/>
  <c r="AI692" i="1"/>
  <c r="I693" i="1"/>
  <c r="J693" i="1"/>
  <c r="M693" i="1"/>
  <c r="N693" i="1"/>
  <c r="O693" i="1"/>
  <c r="S693" i="1"/>
  <c r="T693" i="1"/>
  <c r="X693" i="1"/>
  <c r="Y693" i="1"/>
  <c r="Z693" i="1"/>
  <c r="AD693" i="1"/>
  <c r="AE693" i="1"/>
  <c r="AF693" i="1"/>
  <c r="AG693" i="1"/>
  <c r="AH693" i="1"/>
  <c r="AI693" i="1"/>
  <c r="I694" i="1"/>
  <c r="J694" i="1"/>
  <c r="M694" i="1"/>
  <c r="N694" i="1"/>
  <c r="O694" i="1"/>
  <c r="S694" i="1"/>
  <c r="T694" i="1"/>
  <c r="X694" i="1"/>
  <c r="Y694" i="1"/>
  <c r="Z694" i="1"/>
  <c r="AD694" i="1"/>
  <c r="AE694" i="1"/>
  <c r="AF694" i="1"/>
  <c r="AG694" i="1"/>
  <c r="AH694" i="1"/>
  <c r="AI694" i="1"/>
  <c r="I695" i="1"/>
  <c r="J695" i="1"/>
  <c r="M695" i="1"/>
  <c r="N695" i="1"/>
  <c r="O695" i="1"/>
  <c r="S695" i="1"/>
  <c r="T695" i="1"/>
  <c r="X695" i="1"/>
  <c r="Y695" i="1"/>
  <c r="Z695" i="1"/>
  <c r="AD695" i="1"/>
  <c r="AE695" i="1"/>
  <c r="AF695" i="1"/>
  <c r="AG695" i="1"/>
  <c r="AH695" i="1"/>
  <c r="AI695" i="1"/>
  <c r="I696" i="1"/>
  <c r="J696" i="1"/>
  <c r="M696" i="1"/>
  <c r="N696" i="1"/>
  <c r="O696" i="1"/>
  <c r="S696" i="1"/>
  <c r="T696" i="1"/>
  <c r="X696" i="1"/>
  <c r="Y696" i="1"/>
  <c r="Z696" i="1"/>
  <c r="AD696" i="1"/>
  <c r="AE696" i="1"/>
  <c r="AF696" i="1"/>
  <c r="AG696" i="1"/>
  <c r="AH696" i="1"/>
  <c r="AI696" i="1"/>
  <c r="I697" i="1"/>
  <c r="J697" i="1"/>
  <c r="M697" i="1"/>
  <c r="N697" i="1"/>
  <c r="O697" i="1"/>
  <c r="S697" i="1"/>
  <c r="T697" i="1"/>
  <c r="X697" i="1"/>
  <c r="Y697" i="1"/>
  <c r="Z697" i="1"/>
  <c r="AD697" i="1"/>
  <c r="AE697" i="1"/>
  <c r="AF697" i="1"/>
  <c r="AG697" i="1"/>
  <c r="AH697" i="1"/>
  <c r="AI697" i="1"/>
  <c r="I698" i="1"/>
  <c r="J698" i="1"/>
  <c r="M698" i="1"/>
  <c r="N698" i="1"/>
  <c r="O698" i="1"/>
  <c r="S698" i="1"/>
  <c r="T698" i="1"/>
  <c r="X698" i="1"/>
  <c r="Y698" i="1"/>
  <c r="Z698" i="1"/>
  <c r="AD698" i="1"/>
  <c r="AE698" i="1"/>
  <c r="AF698" i="1"/>
  <c r="AG698" i="1"/>
  <c r="AH698" i="1"/>
  <c r="AI698" i="1"/>
  <c r="I699" i="1"/>
  <c r="J699" i="1"/>
  <c r="M699" i="1"/>
  <c r="N699" i="1"/>
  <c r="O699" i="1"/>
  <c r="S699" i="1"/>
  <c r="T699" i="1"/>
  <c r="X699" i="1"/>
  <c r="Y699" i="1"/>
  <c r="Z699" i="1"/>
  <c r="AD699" i="1"/>
  <c r="AE699" i="1"/>
  <c r="AF699" i="1"/>
  <c r="AG699" i="1"/>
  <c r="AH699" i="1"/>
  <c r="AI699" i="1"/>
  <c r="I700" i="1"/>
  <c r="J700" i="1"/>
  <c r="M700" i="1"/>
  <c r="N700" i="1"/>
  <c r="O700" i="1"/>
  <c r="S700" i="1"/>
  <c r="T700" i="1"/>
  <c r="X700" i="1"/>
  <c r="Y700" i="1"/>
  <c r="Z700" i="1"/>
  <c r="AD700" i="1"/>
  <c r="AE700" i="1"/>
  <c r="AF700" i="1"/>
  <c r="AG700" i="1"/>
  <c r="AH700" i="1"/>
  <c r="AI700" i="1"/>
  <c r="I701" i="1"/>
  <c r="J701" i="1"/>
  <c r="M701" i="1"/>
  <c r="N701" i="1"/>
  <c r="O701" i="1"/>
  <c r="S701" i="1"/>
  <c r="T701" i="1"/>
  <c r="X701" i="1"/>
  <c r="Y701" i="1"/>
  <c r="Z701" i="1"/>
  <c r="AD701" i="1"/>
  <c r="AE701" i="1"/>
  <c r="AF701" i="1"/>
  <c r="AG701" i="1"/>
  <c r="AH701" i="1"/>
  <c r="AI701" i="1"/>
  <c r="I702" i="1"/>
  <c r="J702" i="1"/>
  <c r="M702" i="1"/>
  <c r="N702" i="1"/>
  <c r="O702" i="1"/>
  <c r="S702" i="1"/>
  <c r="T702" i="1"/>
  <c r="X702" i="1"/>
  <c r="Y702" i="1"/>
  <c r="Z702" i="1"/>
  <c r="AD702" i="1"/>
  <c r="AE702" i="1"/>
  <c r="AF702" i="1"/>
  <c r="AG702" i="1"/>
  <c r="AH702" i="1"/>
  <c r="AI702" i="1"/>
  <c r="I703" i="1"/>
  <c r="J703" i="1"/>
  <c r="M703" i="1"/>
  <c r="N703" i="1"/>
  <c r="O703" i="1"/>
  <c r="S703" i="1"/>
  <c r="T703" i="1"/>
  <c r="X703" i="1"/>
  <c r="Y703" i="1"/>
  <c r="Z703" i="1"/>
  <c r="AD703" i="1"/>
  <c r="AE703" i="1"/>
  <c r="AF703" i="1"/>
  <c r="AG703" i="1"/>
  <c r="AH703" i="1"/>
  <c r="AI703" i="1"/>
  <c r="I704" i="1"/>
  <c r="J704" i="1"/>
  <c r="M704" i="1"/>
  <c r="N704" i="1"/>
  <c r="O704" i="1"/>
  <c r="S704" i="1"/>
  <c r="T704" i="1"/>
  <c r="X704" i="1"/>
  <c r="Y704" i="1"/>
  <c r="Z704" i="1"/>
  <c r="AD704" i="1"/>
  <c r="AE704" i="1"/>
  <c r="AF704" i="1"/>
  <c r="AG704" i="1"/>
  <c r="AH704" i="1"/>
  <c r="AI704" i="1"/>
  <c r="I705" i="1"/>
  <c r="J705" i="1"/>
  <c r="M705" i="1"/>
  <c r="N705" i="1"/>
  <c r="O705" i="1"/>
  <c r="S705" i="1"/>
  <c r="T705" i="1"/>
  <c r="X705" i="1"/>
  <c r="Y705" i="1"/>
  <c r="Z705" i="1"/>
  <c r="AD705" i="1"/>
  <c r="AE705" i="1"/>
  <c r="AF705" i="1"/>
  <c r="AG705" i="1"/>
  <c r="AH705" i="1"/>
  <c r="AI705" i="1"/>
  <c r="I706" i="1"/>
  <c r="J706" i="1"/>
  <c r="M706" i="1"/>
  <c r="N706" i="1"/>
  <c r="O706" i="1"/>
  <c r="S706" i="1"/>
  <c r="T706" i="1"/>
  <c r="X706" i="1"/>
  <c r="Y706" i="1"/>
  <c r="Z706" i="1"/>
  <c r="AD706" i="1"/>
  <c r="AE706" i="1"/>
  <c r="AF706" i="1"/>
  <c r="AG706" i="1"/>
  <c r="AH706" i="1"/>
  <c r="AI706" i="1"/>
  <c r="I707" i="1"/>
  <c r="J707" i="1"/>
  <c r="M707" i="1"/>
  <c r="N707" i="1"/>
  <c r="O707" i="1"/>
  <c r="S707" i="1"/>
  <c r="T707" i="1"/>
  <c r="X707" i="1"/>
  <c r="Y707" i="1"/>
  <c r="Z707" i="1"/>
  <c r="AD707" i="1"/>
  <c r="AE707" i="1"/>
  <c r="AF707" i="1"/>
  <c r="AG707" i="1"/>
  <c r="AH707" i="1"/>
  <c r="AI707" i="1"/>
  <c r="I708" i="1"/>
  <c r="J708" i="1"/>
  <c r="M708" i="1"/>
  <c r="N708" i="1"/>
  <c r="O708" i="1"/>
  <c r="S708" i="1"/>
  <c r="T708" i="1"/>
  <c r="X708" i="1"/>
  <c r="Y708" i="1"/>
  <c r="Z708" i="1"/>
  <c r="AD708" i="1"/>
  <c r="AE708" i="1"/>
  <c r="AF708" i="1"/>
  <c r="AG708" i="1"/>
  <c r="AH708" i="1"/>
  <c r="AI708" i="1"/>
  <c r="I709" i="1"/>
  <c r="J709" i="1"/>
  <c r="M709" i="1"/>
  <c r="N709" i="1"/>
  <c r="O709" i="1"/>
  <c r="S709" i="1"/>
  <c r="T709" i="1"/>
  <c r="X709" i="1"/>
  <c r="Y709" i="1"/>
  <c r="Z709" i="1"/>
  <c r="AD709" i="1"/>
  <c r="AE709" i="1"/>
  <c r="AF709" i="1"/>
  <c r="AG709" i="1"/>
  <c r="AH709" i="1"/>
  <c r="AI709" i="1"/>
  <c r="I710" i="1"/>
  <c r="J710" i="1"/>
  <c r="M710" i="1"/>
  <c r="N710" i="1"/>
  <c r="O710" i="1"/>
  <c r="S710" i="1"/>
  <c r="T710" i="1"/>
  <c r="X710" i="1"/>
  <c r="Y710" i="1"/>
  <c r="Z710" i="1"/>
  <c r="AD710" i="1"/>
  <c r="AE710" i="1"/>
  <c r="AF710" i="1"/>
  <c r="AG710" i="1"/>
  <c r="AH710" i="1"/>
  <c r="AI710" i="1"/>
  <c r="I711" i="1"/>
  <c r="J711" i="1"/>
  <c r="M711" i="1"/>
  <c r="N711" i="1"/>
  <c r="O711" i="1"/>
  <c r="S711" i="1"/>
  <c r="T711" i="1"/>
  <c r="X711" i="1"/>
  <c r="Y711" i="1"/>
  <c r="Z711" i="1"/>
  <c r="AD711" i="1"/>
  <c r="AE711" i="1"/>
  <c r="AF711" i="1"/>
  <c r="AG711" i="1"/>
  <c r="AH711" i="1"/>
  <c r="AI711" i="1"/>
  <c r="I712" i="1"/>
  <c r="J712" i="1"/>
  <c r="M712" i="1"/>
  <c r="N712" i="1"/>
  <c r="O712" i="1"/>
  <c r="S712" i="1"/>
  <c r="T712" i="1"/>
  <c r="X712" i="1"/>
  <c r="Y712" i="1"/>
  <c r="Z712" i="1"/>
  <c r="AD712" i="1"/>
  <c r="AE712" i="1"/>
  <c r="AF712" i="1"/>
  <c r="AG712" i="1"/>
  <c r="AH712" i="1"/>
  <c r="AI712" i="1"/>
  <c r="I713" i="1"/>
  <c r="J713" i="1"/>
  <c r="M713" i="1"/>
  <c r="N713" i="1"/>
  <c r="O713" i="1"/>
  <c r="S713" i="1"/>
  <c r="T713" i="1"/>
  <c r="X713" i="1"/>
  <c r="Y713" i="1"/>
  <c r="Z713" i="1"/>
  <c r="AD713" i="1"/>
  <c r="AE713" i="1"/>
  <c r="AF713" i="1"/>
  <c r="AG713" i="1"/>
  <c r="AH713" i="1"/>
  <c r="AI713" i="1"/>
  <c r="I714" i="1"/>
  <c r="J714" i="1"/>
  <c r="M714" i="1"/>
  <c r="N714" i="1"/>
  <c r="O714" i="1"/>
  <c r="S714" i="1"/>
  <c r="T714" i="1"/>
  <c r="X714" i="1"/>
  <c r="Y714" i="1"/>
  <c r="Z714" i="1"/>
  <c r="AD714" i="1"/>
  <c r="AE714" i="1"/>
  <c r="AF714" i="1"/>
  <c r="AG714" i="1"/>
  <c r="AH714" i="1"/>
  <c r="AI714" i="1"/>
  <c r="I715" i="1"/>
  <c r="J715" i="1"/>
  <c r="M715" i="1"/>
  <c r="N715" i="1"/>
  <c r="O715" i="1"/>
  <c r="S715" i="1"/>
  <c r="T715" i="1"/>
  <c r="X715" i="1"/>
  <c r="Y715" i="1"/>
  <c r="Z715" i="1"/>
  <c r="AD715" i="1"/>
  <c r="AE715" i="1"/>
  <c r="AF715" i="1"/>
  <c r="AG715" i="1"/>
  <c r="AH715" i="1"/>
  <c r="AI715" i="1"/>
  <c r="I716" i="1"/>
  <c r="J716" i="1"/>
  <c r="M716" i="1"/>
  <c r="N716" i="1"/>
  <c r="O716" i="1"/>
  <c r="S716" i="1"/>
  <c r="T716" i="1"/>
  <c r="X716" i="1"/>
  <c r="Y716" i="1"/>
  <c r="Z716" i="1"/>
  <c r="AD716" i="1"/>
  <c r="AE716" i="1"/>
  <c r="AF716" i="1"/>
  <c r="AG716" i="1"/>
  <c r="AH716" i="1"/>
  <c r="AI716" i="1"/>
  <c r="I717" i="1"/>
  <c r="J717" i="1"/>
  <c r="M717" i="1"/>
  <c r="N717" i="1"/>
  <c r="O717" i="1"/>
  <c r="S717" i="1"/>
  <c r="T717" i="1"/>
  <c r="X717" i="1"/>
  <c r="Y717" i="1"/>
  <c r="Z717" i="1"/>
  <c r="AD717" i="1"/>
  <c r="AE717" i="1"/>
  <c r="AF717" i="1"/>
  <c r="AG717" i="1"/>
  <c r="AH717" i="1"/>
  <c r="AI717" i="1"/>
  <c r="I718" i="1"/>
  <c r="J718" i="1"/>
  <c r="M718" i="1"/>
  <c r="N718" i="1"/>
  <c r="O718" i="1"/>
  <c r="S718" i="1"/>
  <c r="T718" i="1"/>
  <c r="X718" i="1"/>
  <c r="Y718" i="1"/>
  <c r="Z718" i="1"/>
  <c r="AD718" i="1"/>
  <c r="AE718" i="1"/>
  <c r="AF718" i="1"/>
  <c r="AG718" i="1"/>
  <c r="AH718" i="1"/>
  <c r="AI718" i="1"/>
  <c r="I719" i="1"/>
  <c r="J719" i="1"/>
  <c r="M719" i="1"/>
  <c r="N719" i="1"/>
  <c r="O719" i="1"/>
  <c r="S719" i="1"/>
  <c r="T719" i="1"/>
  <c r="X719" i="1"/>
  <c r="Y719" i="1"/>
  <c r="Z719" i="1"/>
  <c r="AD719" i="1"/>
  <c r="AE719" i="1"/>
  <c r="AF719" i="1"/>
  <c r="AG719" i="1"/>
  <c r="AH719" i="1"/>
  <c r="AI719" i="1"/>
  <c r="I720" i="1"/>
  <c r="J720" i="1"/>
  <c r="M720" i="1"/>
  <c r="N720" i="1"/>
  <c r="O720" i="1"/>
  <c r="S720" i="1"/>
  <c r="T720" i="1"/>
  <c r="X720" i="1"/>
  <c r="Y720" i="1"/>
  <c r="Z720" i="1"/>
  <c r="AD720" i="1"/>
  <c r="AE720" i="1"/>
  <c r="AF720" i="1"/>
  <c r="AG720" i="1"/>
  <c r="AH720" i="1"/>
  <c r="AI720" i="1"/>
  <c r="I721" i="1"/>
  <c r="J721" i="1"/>
  <c r="M721" i="1"/>
  <c r="N721" i="1"/>
  <c r="O721" i="1"/>
  <c r="S721" i="1"/>
  <c r="T721" i="1"/>
  <c r="X721" i="1"/>
  <c r="Y721" i="1"/>
  <c r="Z721" i="1"/>
  <c r="AD721" i="1"/>
  <c r="AE721" i="1"/>
  <c r="AF721" i="1"/>
  <c r="AG721" i="1"/>
  <c r="AH721" i="1"/>
  <c r="AI721" i="1"/>
  <c r="I722" i="1"/>
  <c r="J722" i="1"/>
  <c r="M722" i="1"/>
  <c r="N722" i="1"/>
  <c r="O722" i="1"/>
  <c r="S722" i="1"/>
  <c r="T722" i="1"/>
  <c r="X722" i="1"/>
  <c r="Y722" i="1"/>
  <c r="Z722" i="1"/>
  <c r="AD722" i="1"/>
  <c r="AE722" i="1"/>
  <c r="AF722" i="1"/>
  <c r="AG722" i="1"/>
  <c r="AH722" i="1"/>
  <c r="AI722" i="1"/>
  <c r="I723" i="1"/>
  <c r="J723" i="1"/>
  <c r="M723" i="1"/>
  <c r="N723" i="1"/>
  <c r="O723" i="1"/>
  <c r="S723" i="1"/>
  <c r="T723" i="1"/>
  <c r="X723" i="1"/>
  <c r="Y723" i="1"/>
  <c r="Z723" i="1"/>
  <c r="AD723" i="1"/>
  <c r="AE723" i="1"/>
  <c r="AF723" i="1"/>
  <c r="AG723" i="1"/>
  <c r="AH723" i="1"/>
  <c r="AI723" i="1"/>
  <c r="I724" i="1"/>
  <c r="J724" i="1"/>
  <c r="M724" i="1"/>
  <c r="N724" i="1"/>
  <c r="O724" i="1"/>
  <c r="S724" i="1"/>
  <c r="T724" i="1"/>
  <c r="X724" i="1"/>
  <c r="Y724" i="1"/>
  <c r="Z724" i="1"/>
  <c r="AD724" i="1"/>
  <c r="AE724" i="1"/>
  <c r="AF724" i="1"/>
  <c r="AG724" i="1"/>
  <c r="AH724" i="1"/>
  <c r="AI724" i="1"/>
  <c r="I725" i="1"/>
  <c r="J725" i="1"/>
  <c r="M725" i="1"/>
  <c r="N725" i="1"/>
  <c r="O725" i="1"/>
  <c r="S725" i="1"/>
  <c r="T725" i="1"/>
  <c r="X725" i="1"/>
  <c r="Y725" i="1"/>
  <c r="Z725" i="1"/>
  <c r="AD725" i="1"/>
  <c r="AE725" i="1"/>
  <c r="AF725" i="1"/>
  <c r="AG725" i="1"/>
  <c r="AH725" i="1"/>
  <c r="AI725" i="1"/>
  <c r="I726" i="1"/>
  <c r="J726" i="1"/>
  <c r="M726" i="1"/>
  <c r="N726" i="1"/>
  <c r="O726" i="1"/>
  <c r="S726" i="1"/>
  <c r="T726" i="1"/>
  <c r="X726" i="1"/>
  <c r="Y726" i="1"/>
  <c r="Z726" i="1"/>
  <c r="AD726" i="1"/>
  <c r="AE726" i="1"/>
  <c r="AF726" i="1"/>
  <c r="AG726" i="1"/>
  <c r="AH726" i="1"/>
  <c r="AI726" i="1"/>
  <c r="I727" i="1"/>
  <c r="J727" i="1"/>
  <c r="M727" i="1"/>
  <c r="N727" i="1"/>
  <c r="O727" i="1"/>
  <c r="S727" i="1"/>
  <c r="T727" i="1"/>
  <c r="X727" i="1"/>
  <c r="Y727" i="1"/>
  <c r="Z727" i="1"/>
  <c r="AD727" i="1"/>
  <c r="AE727" i="1"/>
  <c r="AF727" i="1"/>
  <c r="AG727" i="1"/>
  <c r="AH727" i="1"/>
  <c r="AI727" i="1"/>
  <c r="I728" i="1"/>
  <c r="J728" i="1"/>
  <c r="M728" i="1"/>
  <c r="N728" i="1"/>
  <c r="O728" i="1"/>
  <c r="S728" i="1"/>
  <c r="T728" i="1"/>
  <c r="X728" i="1"/>
  <c r="Y728" i="1"/>
  <c r="Z728" i="1"/>
  <c r="AD728" i="1"/>
  <c r="AE728" i="1"/>
  <c r="AF728" i="1"/>
  <c r="AG728" i="1"/>
  <c r="AH728" i="1"/>
  <c r="AI728" i="1"/>
  <c r="I729" i="1"/>
  <c r="J729" i="1"/>
  <c r="M729" i="1"/>
  <c r="N729" i="1"/>
  <c r="O729" i="1"/>
  <c r="S729" i="1"/>
  <c r="T729" i="1"/>
  <c r="X729" i="1"/>
  <c r="Y729" i="1"/>
  <c r="Z729" i="1"/>
  <c r="AD729" i="1"/>
  <c r="AE729" i="1"/>
  <c r="AF729" i="1"/>
  <c r="AG729" i="1"/>
  <c r="AH729" i="1"/>
  <c r="AI729" i="1"/>
  <c r="I730" i="1"/>
  <c r="J730" i="1"/>
  <c r="M730" i="1"/>
  <c r="N730" i="1"/>
  <c r="O730" i="1"/>
  <c r="S730" i="1"/>
  <c r="T730" i="1"/>
  <c r="X730" i="1"/>
  <c r="Y730" i="1"/>
  <c r="Z730" i="1"/>
  <c r="AD730" i="1"/>
  <c r="AE730" i="1"/>
  <c r="AF730" i="1"/>
  <c r="AG730" i="1"/>
  <c r="AH730" i="1"/>
  <c r="AI730" i="1"/>
  <c r="I731" i="1"/>
  <c r="J731" i="1"/>
  <c r="M731" i="1"/>
  <c r="N731" i="1"/>
  <c r="O731" i="1"/>
  <c r="S731" i="1"/>
  <c r="T731" i="1"/>
  <c r="X731" i="1"/>
  <c r="Y731" i="1"/>
  <c r="Z731" i="1"/>
  <c r="AD731" i="1"/>
  <c r="AE731" i="1"/>
  <c r="AF731" i="1"/>
  <c r="AG731" i="1"/>
  <c r="AH731" i="1"/>
  <c r="AI731" i="1"/>
  <c r="I732" i="1"/>
  <c r="J732" i="1"/>
  <c r="M732" i="1"/>
  <c r="N732" i="1"/>
  <c r="O732" i="1"/>
  <c r="S732" i="1"/>
  <c r="T732" i="1"/>
  <c r="X732" i="1"/>
  <c r="Y732" i="1"/>
  <c r="Z732" i="1"/>
  <c r="AD732" i="1"/>
  <c r="AE732" i="1"/>
  <c r="AF732" i="1"/>
  <c r="AG732" i="1"/>
  <c r="AH732" i="1"/>
  <c r="AI732" i="1"/>
  <c r="I733" i="1"/>
  <c r="J733" i="1"/>
  <c r="M733" i="1"/>
  <c r="N733" i="1"/>
  <c r="O733" i="1"/>
  <c r="S733" i="1"/>
  <c r="T733" i="1"/>
  <c r="X733" i="1"/>
  <c r="Y733" i="1"/>
  <c r="Z733" i="1"/>
  <c r="AD733" i="1"/>
  <c r="AE733" i="1"/>
  <c r="AF733" i="1"/>
  <c r="AG733" i="1"/>
  <c r="AH733" i="1"/>
  <c r="AI733" i="1"/>
  <c r="I734" i="1"/>
  <c r="J734" i="1"/>
  <c r="M734" i="1"/>
  <c r="N734" i="1"/>
  <c r="O734" i="1"/>
  <c r="S734" i="1"/>
  <c r="T734" i="1"/>
  <c r="X734" i="1"/>
  <c r="Y734" i="1"/>
  <c r="Z734" i="1"/>
  <c r="AD734" i="1"/>
  <c r="AE734" i="1"/>
  <c r="AF734" i="1"/>
  <c r="AG734" i="1"/>
  <c r="AH734" i="1"/>
  <c r="AI734" i="1"/>
  <c r="I735" i="1"/>
  <c r="J735" i="1"/>
  <c r="M735" i="1"/>
  <c r="N735" i="1"/>
  <c r="O735" i="1"/>
  <c r="S735" i="1"/>
  <c r="T735" i="1"/>
  <c r="X735" i="1"/>
  <c r="Y735" i="1"/>
  <c r="Z735" i="1"/>
  <c r="AD735" i="1"/>
  <c r="AE735" i="1"/>
  <c r="AF735" i="1"/>
  <c r="AG735" i="1"/>
  <c r="AH735" i="1"/>
  <c r="AI735" i="1"/>
  <c r="I736" i="1"/>
  <c r="J736" i="1"/>
  <c r="M736" i="1"/>
  <c r="N736" i="1"/>
  <c r="O736" i="1"/>
  <c r="S736" i="1"/>
  <c r="T736" i="1"/>
  <c r="X736" i="1"/>
  <c r="Y736" i="1"/>
  <c r="Z736" i="1"/>
  <c r="AD736" i="1"/>
  <c r="AE736" i="1"/>
  <c r="AF736" i="1"/>
  <c r="AG736" i="1"/>
  <c r="AH736" i="1"/>
  <c r="AI736" i="1"/>
  <c r="I737" i="1"/>
  <c r="J737" i="1"/>
  <c r="M737" i="1"/>
  <c r="N737" i="1"/>
  <c r="O737" i="1"/>
  <c r="S737" i="1"/>
  <c r="T737" i="1"/>
  <c r="X737" i="1"/>
  <c r="Y737" i="1"/>
  <c r="Z737" i="1"/>
  <c r="AD737" i="1"/>
  <c r="AE737" i="1"/>
  <c r="AF737" i="1"/>
  <c r="AG737" i="1"/>
  <c r="AH737" i="1"/>
  <c r="AI737" i="1"/>
  <c r="I738" i="1"/>
  <c r="J738" i="1"/>
  <c r="M738" i="1"/>
  <c r="N738" i="1"/>
  <c r="O738" i="1"/>
  <c r="S738" i="1"/>
  <c r="T738" i="1"/>
  <c r="X738" i="1"/>
  <c r="Y738" i="1"/>
  <c r="Z738" i="1"/>
  <c r="AD738" i="1"/>
  <c r="AE738" i="1"/>
  <c r="AF738" i="1"/>
  <c r="AG738" i="1"/>
  <c r="AH738" i="1"/>
  <c r="AI738" i="1"/>
  <c r="I739" i="1"/>
  <c r="J739" i="1"/>
  <c r="M739" i="1"/>
  <c r="N739" i="1"/>
  <c r="O739" i="1"/>
  <c r="S739" i="1"/>
  <c r="T739" i="1"/>
  <c r="X739" i="1"/>
  <c r="Y739" i="1"/>
  <c r="Z739" i="1"/>
  <c r="AD739" i="1"/>
  <c r="AE739" i="1"/>
  <c r="AF739" i="1"/>
  <c r="AG739" i="1"/>
  <c r="AH739" i="1"/>
  <c r="AI739" i="1"/>
  <c r="I740" i="1"/>
  <c r="J740" i="1"/>
  <c r="M740" i="1"/>
  <c r="N740" i="1"/>
  <c r="O740" i="1"/>
  <c r="S740" i="1"/>
  <c r="T740" i="1"/>
  <c r="X740" i="1"/>
  <c r="Y740" i="1"/>
  <c r="Z740" i="1"/>
  <c r="AD740" i="1"/>
  <c r="AE740" i="1"/>
  <c r="AF740" i="1"/>
  <c r="AG740" i="1"/>
  <c r="AH740" i="1"/>
  <c r="AI740" i="1"/>
  <c r="I741" i="1"/>
  <c r="J741" i="1"/>
  <c r="M741" i="1"/>
  <c r="N741" i="1"/>
  <c r="O741" i="1"/>
  <c r="S741" i="1"/>
  <c r="T741" i="1"/>
  <c r="X741" i="1"/>
  <c r="Y741" i="1"/>
  <c r="Z741" i="1"/>
  <c r="AD741" i="1"/>
  <c r="AE741" i="1"/>
  <c r="AF741" i="1"/>
  <c r="AG741" i="1"/>
  <c r="AH741" i="1"/>
  <c r="AI741" i="1"/>
  <c r="I742" i="1"/>
  <c r="J742" i="1"/>
  <c r="M742" i="1"/>
  <c r="N742" i="1"/>
  <c r="O742" i="1"/>
  <c r="S742" i="1"/>
  <c r="T742" i="1"/>
  <c r="X742" i="1"/>
  <c r="Y742" i="1"/>
  <c r="Z742" i="1"/>
  <c r="AD742" i="1"/>
  <c r="AE742" i="1"/>
  <c r="AF742" i="1"/>
  <c r="AG742" i="1"/>
  <c r="AH742" i="1"/>
  <c r="AI742" i="1"/>
  <c r="I743" i="1"/>
  <c r="J743" i="1"/>
  <c r="M743" i="1"/>
  <c r="N743" i="1"/>
  <c r="O743" i="1"/>
  <c r="S743" i="1"/>
  <c r="T743" i="1"/>
  <c r="X743" i="1"/>
  <c r="Y743" i="1"/>
  <c r="Z743" i="1"/>
  <c r="AD743" i="1"/>
  <c r="AE743" i="1"/>
  <c r="AF743" i="1"/>
  <c r="AG743" i="1"/>
  <c r="AH743" i="1"/>
  <c r="AI743" i="1"/>
  <c r="I744" i="1"/>
  <c r="J744" i="1"/>
  <c r="M744" i="1"/>
  <c r="N744" i="1"/>
  <c r="O744" i="1"/>
  <c r="S744" i="1"/>
  <c r="T744" i="1"/>
  <c r="X744" i="1"/>
  <c r="Y744" i="1"/>
  <c r="Z744" i="1"/>
  <c r="AD744" i="1"/>
  <c r="AE744" i="1"/>
  <c r="AF744" i="1"/>
  <c r="AG744" i="1"/>
  <c r="AH744" i="1"/>
  <c r="AI744" i="1"/>
  <c r="I745" i="1"/>
  <c r="J745" i="1"/>
  <c r="M745" i="1"/>
  <c r="N745" i="1"/>
  <c r="O745" i="1"/>
  <c r="S745" i="1"/>
  <c r="T745" i="1"/>
  <c r="X745" i="1"/>
  <c r="Y745" i="1"/>
  <c r="Z745" i="1"/>
  <c r="AD745" i="1"/>
  <c r="AE745" i="1"/>
  <c r="AF745" i="1"/>
  <c r="AG745" i="1"/>
  <c r="AH745" i="1"/>
  <c r="AI745" i="1"/>
  <c r="I746" i="1"/>
  <c r="J746" i="1"/>
  <c r="M746" i="1"/>
  <c r="N746" i="1"/>
  <c r="O746" i="1"/>
  <c r="S746" i="1"/>
  <c r="T746" i="1"/>
  <c r="X746" i="1"/>
  <c r="Y746" i="1"/>
  <c r="Z746" i="1"/>
  <c r="AD746" i="1"/>
  <c r="AE746" i="1"/>
  <c r="AF746" i="1"/>
  <c r="AG746" i="1"/>
  <c r="AH746" i="1"/>
  <c r="AI746" i="1"/>
  <c r="I747" i="1"/>
  <c r="J747" i="1"/>
  <c r="M747" i="1"/>
  <c r="N747" i="1"/>
  <c r="O747" i="1"/>
  <c r="S747" i="1"/>
  <c r="T747" i="1"/>
  <c r="X747" i="1"/>
  <c r="Y747" i="1"/>
  <c r="Z747" i="1"/>
  <c r="AD747" i="1"/>
  <c r="AE747" i="1"/>
  <c r="AF747" i="1"/>
  <c r="AG747" i="1"/>
  <c r="AH747" i="1"/>
  <c r="AI747" i="1"/>
  <c r="I748" i="1"/>
  <c r="J748" i="1"/>
  <c r="M748" i="1"/>
  <c r="N748" i="1"/>
  <c r="O748" i="1"/>
  <c r="S748" i="1"/>
  <c r="T748" i="1"/>
  <c r="X748" i="1"/>
  <c r="Y748" i="1"/>
  <c r="Z748" i="1"/>
  <c r="AD748" i="1"/>
  <c r="AE748" i="1"/>
  <c r="AF748" i="1"/>
  <c r="AG748" i="1"/>
  <c r="AH748" i="1"/>
  <c r="AI748" i="1"/>
  <c r="I749" i="1"/>
  <c r="J749" i="1"/>
  <c r="M749" i="1"/>
  <c r="N749" i="1"/>
  <c r="O749" i="1"/>
  <c r="S749" i="1"/>
  <c r="T749" i="1"/>
  <c r="X749" i="1"/>
  <c r="Y749" i="1"/>
  <c r="Z749" i="1"/>
  <c r="AD749" i="1"/>
  <c r="AE749" i="1"/>
  <c r="AF749" i="1"/>
  <c r="AG749" i="1"/>
  <c r="AH749" i="1"/>
  <c r="AI749" i="1"/>
  <c r="I750" i="1"/>
  <c r="J750" i="1"/>
  <c r="M750" i="1"/>
  <c r="N750" i="1"/>
  <c r="O750" i="1"/>
  <c r="S750" i="1"/>
  <c r="T750" i="1"/>
  <c r="X750" i="1"/>
  <c r="Y750" i="1"/>
  <c r="Z750" i="1"/>
  <c r="AD750" i="1"/>
  <c r="AE750" i="1"/>
  <c r="AF750" i="1"/>
  <c r="AG750" i="1"/>
  <c r="AH750" i="1"/>
  <c r="AI750" i="1"/>
  <c r="I751" i="1"/>
  <c r="J751" i="1"/>
  <c r="M751" i="1"/>
  <c r="N751" i="1"/>
  <c r="O751" i="1"/>
  <c r="S751" i="1"/>
  <c r="T751" i="1"/>
  <c r="X751" i="1"/>
  <c r="Y751" i="1"/>
  <c r="Z751" i="1"/>
  <c r="AD751" i="1"/>
  <c r="AE751" i="1"/>
  <c r="AF751" i="1"/>
  <c r="AG751" i="1"/>
  <c r="AH751" i="1"/>
  <c r="AI751" i="1"/>
  <c r="I752" i="1"/>
  <c r="J752" i="1"/>
  <c r="M752" i="1"/>
  <c r="N752" i="1"/>
  <c r="O752" i="1"/>
  <c r="S752" i="1"/>
  <c r="T752" i="1"/>
  <c r="X752" i="1"/>
  <c r="Y752" i="1"/>
  <c r="Z752" i="1"/>
  <c r="AD752" i="1"/>
  <c r="AE752" i="1"/>
  <c r="AF752" i="1"/>
  <c r="AG752" i="1"/>
  <c r="AH752" i="1"/>
  <c r="AI752" i="1"/>
  <c r="I753" i="1"/>
  <c r="J753" i="1"/>
  <c r="M753" i="1"/>
  <c r="N753" i="1"/>
  <c r="O753" i="1"/>
  <c r="S753" i="1"/>
  <c r="T753" i="1"/>
  <c r="X753" i="1"/>
  <c r="Y753" i="1"/>
  <c r="Z753" i="1"/>
  <c r="AD753" i="1"/>
  <c r="AE753" i="1"/>
  <c r="AF753" i="1"/>
  <c r="AG753" i="1"/>
  <c r="AH753" i="1"/>
  <c r="AI753" i="1"/>
  <c r="I754" i="1"/>
  <c r="J754" i="1"/>
  <c r="M754" i="1"/>
  <c r="N754" i="1"/>
  <c r="O754" i="1"/>
  <c r="S754" i="1"/>
  <c r="T754" i="1"/>
  <c r="X754" i="1"/>
  <c r="Y754" i="1"/>
  <c r="Z754" i="1"/>
  <c r="AD754" i="1"/>
  <c r="AE754" i="1"/>
  <c r="AF754" i="1"/>
  <c r="AG754" i="1"/>
  <c r="AH754" i="1"/>
  <c r="AI754" i="1"/>
  <c r="I755" i="1"/>
  <c r="J755" i="1"/>
  <c r="M755" i="1"/>
  <c r="N755" i="1"/>
  <c r="O755" i="1"/>
  <c r="S755" i="1"/>
  <c r="T755" i="1"/>
  <c r="X755" i="1"/>
  <c r="Y755" i="1"/>
  <c r="Z755" i="1"/>
  <c r="AD755" i="1"/>
  <c r="AE755" i="1"/>
  <c r="AF755" i="1"/>
  <c r="AG755" i="1"/>
  <c r="AH755" i="1"/>
  <c r="AI755" i="1"/>
  <c r="I756" i="1"/>
  <c r="J756" i="1"/>
  <c r="M756" i="1"/>
  <c r="N756" i="1"/>
  <c r="O756" i="1"/>
  <c r="S756" i="1"/>
  <c r="T756" i="1"/>
  <c r="X756" i="1"/>
  <c r="Y756" i="1"/>
  <c r="Z756" i="1"/>
  <c r="AD756" i="1"/>
  <c r="AE756" i="1"/>
  <c r="AF756" i="1"/>
  <c r="AG756" i="1"/>
  <c r="AH756" i="1"/>
  <c r="AI756" i="1"/>
  <c r="I757" i="1"/>
  <c r="J757" i="1"/>
  <c r="M757" i="1"/>
  <c r="N757" i="1"/>
  <c r="O757" i="1"/>
  <c r="S757" i="1"/>
  <c r="T757" i="1"/>
  <c r="X757" i="1"/>
  <c r="Y757" i="1"/>
  <c r="Z757" i="1"/>
  <c r="AD757" i="1"/>
  <c r="AE757" i="1"/>
  <c r="AF757" i="1"/>
  <c r="AG757" i="1"/>
  <c r="AH757" i="1"/>
  <c r="AI757" i="1"/>
  <c r="I758" i="1"/>
  <c r="J758" i="1"/>
  <c r="M758" i="1"/>
  <c r="N758" i="1"/>
  <c r="O758" i="1"/>
  <c r="S758" i="1"/>
  <c r="T758" i="1"/>
  <c r="X758" i="1"/>
  <c r="Y758" i="1"/>
  <c r="Z758" i="1"/>
  <c r="AD758" i="1"/>
  <c r="AE758" i="1"/>
  <c r="AF758" i="1"/>
  <c r="AG758" i="1"/>
  <c r="AH758" i="1"/>
  <c r="AI758" i="1"/>
  <c r="I759" i="1"/>
  <c r="J759" i="1"/>
  <c r="M759" i="1"/>
  <c r="N759" i="1"/>
  <c r="O759" i="1"/>
  <c r="S759" i="1"/>
  <c r="T759" i="1"/>
  <c r="X759" i="1"/>
  <c r="Y759" i="1"/>
  <c r="Z759" i="1"/>
  <c r="AD759" i="1"/>
  <c r="AE759" i="1"/>
  <c r="AF759" i="1"/>
  <c r="AG759" i="1"/>
  <c r="AH759" i="1"/>
  <c r="AI759" i="1"/>
  <c r="I760" i="1"/>
  <c r="J760" i="1"/>
  <c r="M760" i="1"/>
  <c r="N760" i="1"/>
  <c r="O760" i="1"/>
  <c r="S760" i="1"/>
  <c r="T760" i="1"/>
  <c r="X760" i="1"/>
  <c r="Y760" i="1"/>
  <c r="Z760" i="1"/>
  <c r="AD760" i="1"/>
  <c r="AE760" i="1"/>
  <c r="AF760" i="1"/>
  <c r="AG760" i="1"/>
  <c r="AH760" i="1"/>
  <c r="AI760" i="1"/>
  <c r="I761" i="1"/>
  <c r="J761" i="1"/>
  <c r="M761" i="1"/>
  <c r="N761" i="1"/>
  <c r="O761" i="1"/>
  <c r="S761" i="1"/>
  <c r="T761" i="1"/>
  <c r="X761" i="1"/>
  <c r="Y761" i="1"/>
  <c r="Z761" i="1"/>
  <c r="AD761" i="1"/>
  <c r="AE761" i="1"/>
  <c r="AF761" i="1"/>
  <c r="AG761" i="1"/>
  <c r="AH761" i="1"/>
  <c r="AI761" i="1"/>
  <c r="I762" i="1"/>
  <c r="J762" i="1"/>
  <c r="M762" i="1"/>
  <c r="N762" i="1"/>
  <c r="O762" i="1"/>
  <c r="S762" i="1"/>
  <c r="T762" i="1"/>
  <c r="X762" i="1"/>
  <c r="Y762" i="1"/>
  <c r="Z762" i="1"/>
  <c r="AD762" i="1"/>
  <c r="AE762" i="1"/>
  <c r="AF762" i="1"/>
  <c r="AG762" i="1"/>
  <c r="AH762" i="1"/>
  <c r="AI762" i="1"/>
  <c r="I763" i="1"/>
  <c r="J763" i="1"/>
  <c r="M763" i="1"/>
  <c r="N763" i="1"/>
  <c r="O763" i="1"/>
  <c r="S763" i="1"/>
  <c r="T763" i="1"/>
  <c r="X763" i="1"/>
  <c r="Y763" i="1"/>
  <c r="Z763" i="1"/>
  <c r="AD763" i="1"/>
  <c r="AE763" i="1"/>
  <c r="AF763" i="1"/>
  <c r="AG763" i="1"/>
  <c r="AH763" i="1"/>
  <c r="AI763" i="1"/>
  <c r="I764" i="1"/>
  <c r="J764" i="1"/>
  <c r="M764" i="1"/>
  <c r="N764" i="1"/>
  <c r="O764" i="1"/>
  <c r="S764" i="1"/>
  <c r="T764" i="1"/>
  <c r="X764" i="1"/>
  <c r="Y764" i="1"/>
  <c r="Z764" i="1"/>
  <c r="AD764" i="1"/>
  <c r="AE764" i="1"/>
  <c r="AF764" i="1"/>
  <c r="AG764" i="1"/>
  <c r="AH764" i="1"/>
  <c r="AI764" i="1"/>
  <c r="I765" i="1"/>
  <c r="J765" i="1"/>
  <c r="M765" i="1"/>
  <c r="N765" i="1"/>
  <c r="O765" i="1"/>
  <c r="S765" i="1"/>
  <c r="T765" i="1"/>
  <c r="X765" i="1"/>
  <c r="Y765" i="1"/>
  <c r="Z765" i="1"/>
  <c r="AD765" i="1"/>
  <c r="AE765" i="1"/>
  <c r="AF765" i="1"/>
  <c r="AG765" i="1"/>
  <c r="AH765" i="1"/>
  <c r="AI765" i="1"/>
  <c r="I766" i="1"/>
  <c r="J766" i="1"/>
  <c r="M766" i="1"/>
  <c r="N766" i="1"/>
  <c r="O766" i="1"/>
  <c r="S766" i="1"/>
  <c r="T766" i="1"/>
  <c r="X766" i="1"/>
  <c r="Y766" i="1"/>
  <c r="Z766" i="1"/>
  <c r="AD766" i="1"/>
  <c r="AE766" i="1"/>
  <c r="AF766" i="1"/>
  <c r="AG766" i="1"/>
  <c r="AH766" i="1"/>
  <c r="AI766" i="1"/>
  <c r="I767" i="1"/>
  <c r="J767" i="1"/>
  <c r="M767" i="1"/>
  <c r="N767" i="1"/>
  <c r="O767" i="1"/>
  <c r="S767" i="1"/>
  <c r="T767" i="1"/>
  <c r="X767" i="1"/>
  <c r="Y767" i="1"/>
  <c r="Z767" i="1"/>
  <c r="AD767" i="1"/>
  <c r="AE767" i="1"/>
  <c r="AF767" i="1"/>
  <c r="AG767" i="1"/>
  <c r="AH767" i="1"/>
  <c r="AI767" i="1"/>
  <c r="I768" i="1"/>
  <c r="J768" i="1"/>
  <c r="M768" i="1"/>
  <c r="N768" i="1"/>
  <c r="O768" i="1"/>
  <c r="S768" i="1"/>
  <c r="T768" i="1"/>
  <c r="X768" i="1"/>
  <c r="Y768" i="1"/>
  <c r="Z768" i="1"/>
  <c r="AD768" i="1"/>
  <c r="AE768" i="1"/>
  <c r="AF768" i="1"/>
  <c r="AG768" i="1"/>
  <c r="AH768" i="1"/>
  <c r="AI768" i="1"/>
  <c r="I769" i="1"/>
  <c r="J769" i="1"/>
  <c r="M769" i="1"/>
  <c r="N769" i="1"/>
  <c r="O769" i="1"/>
  <c r="S769" i="1"/>
  <c r="T769" i="1"/>
  <c r="X769" i="1"/>
  <c r="Y769" i="1"/>
  <c r="Z769" i="1"/>
  <c r="AD769" i="1"/>
  <c r="AE769" i="1"/>
  <c r="AF769" i="1"/>
  <c r="AG769" i="1"/>
  <c r="AH769" i="1"/>
  <c r="AI769" i="1"/>
  <c r="I770" i="1"/>
  <c r="J770" i="1"/>
  <c r="M770" i="1"/>
  <c r="N770" i="1"/>
  <c r="O770" i="1"/>
  <c r="S770" i="1"/>
  <c r="T770" i="1"/>
  <c r="X770" i="1"/>
  <c r="Y770" i="1"/>
  <c r="Z770" i="1"/>
  <c r="AD770" i="1"/>
  <c r="AE770" i="1"/>
  <c r="AF770" i="1"/>
  <c r="AG770" i="1"/>
  <c r="AH770" i="1"/>
  <c r="AI770" i="1"/>
  <c r="I771" i="1"/>
  <c r="J771" i="1"/>
  <c r="M771" i="1"/>
  <c r="N771" i="1"/>
  <c r="O771" i="1"/>
  <c r="S771" i="1"/>
  <c r="T771" i="1"/>
  <c r="X771" i="1"/>
  <c r="Y771" i="1"/>
  <c r="Z771" i="1"/>
  <c r="AD771" i="1"/>
  <c r="AE771" i="1"/>
  <c r="AF771" i="1"/>
  <c r="AG771" i="1"/>
  <c r="AH771" i="1"/>
  <c r="AI771" i="1"/>
  <c r="I772" i="1"/>
  <c r="J772" i="1"/>
  <c r="M772" i="1"/>
  <c r="N772" i="1"/>
  <c r="O772" i="1"/>
  <c r="S772" i="1"/>
  <c r="T772" i="1"/>
  <c r="X772" i="1"/>
  <c r="Y772" i="1"/>
  <c r="Z772" i="1"/>
  <c r="AD772" i="1"/>
  <c r="AE772" i="1"/>
  <c r="AF772" i="1"/>
  <c r="AG772" i="1"/>
  <c r="AH772" i="1"/>
  <c r="AI772" i="1"/>
  <c r="I773" i="1"/>
  <c r="J773" i="1"/>
  <c r="M773" i="1"/>
  <c r="N773" i="1"/>
  <c r="O773" i="1"/>
  <c r="S773" i="1"/>
  <c r="T773" i="1"/>
  <c r="X773" i="1"/>
  <c r="Y773" i="1"/>
  <c r="Z773" i="1"/>
  <c r="AD773" i="1"/>
  <c r="AE773" i="1"/>
  <c r="AF773" i="1"/>
  <c r="AG773" i="1"/>
  <c r="AH773" i="1"/>
  <c r="AI773" i="1"/>
  <c r="I774" i="1"/>
  <c r="J774" i="1"/>
  <c r="M774" i="1"/>
  <c r="N774" i="1"/>
  <c r="O774" i="1"/>
  <c r="S774" i="1"/>
  <c r="T774" i="1"/>
  <c r="X774" i="1"/>
  <c r="Y774" i="1"/>
  <c r="Z774" i="1"/>
  <c r="AD774" i="1"/>
  <c r="AE774" i="1"/>
  <c r="AF774" i="1"/>
  <c r="AG774" i="1"/>
  <c r="AH774" i="1"/>
  <c r="AI774" i="1"/>
  <c r="I775" i="1"/>
  <c r="J775" i="1"/>
  <c r="M775" i="1"/>
  <c r="N775" i="1"/>
  <c r="O775" i="1"/>
  <c r="S775" i="1"/>
  <c r="T775" i="1"/>
  <c r="X775" i="1"/>
  <c r="Y775" i="1"/>
  <c r="Z775" i="1"/>
  <c r="AD775" i="1"/>
  <c r="AE775" i="1"/>
  <c r="AF775" i="1"/>
  <c r="AG775" i="1"/>
  <c r="AH775" i="1"/>
  <c r="AI775" i="1"/>
  <c r="I776" i="1"/>
  <c r="J776" i="1"/>
  <c r="M776" i="1"/>
  <c r="N776" i="1"/>
  <c r="O776" i="1"/>
  <c r="S776" i="1"/>
  <c r="T776" i="1"/>
  <c r="X776" i="1"/>
  <c r="Y776" i="1"/>
  <c r="Z776" i="1"/>
  <c r="AD776" i="1"/>
  <c r="AE776" i="1"/>
  <c r="AF776" i="1"/>
  <c r="AG776" i="1"/>
  <c r="AH776" i="1"/>
  <c r="AI776" i="1"/>
  <c r="I777" i="1"/>
  <c r="J777" i="1"/>
  <c r="M777" i="1"/>
  <c r="N777" i="1"/>
  <c r="O777" i="1"/>
  <c r="S777" i="1"/>
  <c r="T777" i="1"/>
  <c r="X777" i="1"/>
  <c r="Y777" i="1"/>
  <c r="Z777" i="1"/>
  <c r="AD777" i="1"/>
  <c r="AE777" i="1"/>
  <c r="AF777" i="1"/>
  <c r="AG777" i="1"/>
  <c r="AH777" i="1"/>
  <c r="AI777" i="1"/>
  <c r="I778" i="1"/>
  <c r="J778" i="1"/>
  <c r="M778" i="1"/>
  <c r="N778" i="1"/>
  <c r="O778" i="1"/>
  <c r="S778" i="1"/>
  <c r="T778" i="1"/>
  <c r="X778" i="1"/>
  <c r="Y778" i="1"/>
  <c r="Z778" i="1"/>
  <c r="AD778" i="1"/>
  <c r="AE778" i="1"/>
  <c r="AF778" i="1"/>
  <c r="AG778" i="1"/>
  <c r="AH778" i="1"/>
  <c r="AI778" i="1"/>
  <c r="I779" i="1"/>
  <c r="J779" i="1"/>
  <c r="M779" i="1"/>
  <c r="N779" i="1"/>
  <c r="O779" i="1"/>
  <c r="S779" i="1"/>
  <c r="T779" i="1"/>
  <c r="X779" i="1"/>
  <c r="Y779" i="1"/>
  <c r="Z779" i="1"/>
  <c r="AD779" i="1"/>
  <c r="AE779" i="1"/>
  <c r="AF779" i="1"/>
  <c r="AG779" i="1"/>
  <c r="AH779" i="1"/>
  <c r="AI779" i="1"/>
  <c r="I780" i="1"/>
  <c r="J780" i="1"/>
  <c r="M780" i="1"/>
  <c r="N780" i="1"/>
  <c r="O780" i="1"/>
  <c r="S780" i="1"/>
  <c r="T780" i="1"/>
  <c r="X780" i="1"/>
  <c r="Y780" i="1"/>
  <c r="Z780" i="1"/>
  <c r="AD780" i="1"/>
  <c r="AE780" i="1"/>
  <c r="AF780" i="1"/>
  <c r="AG780" i="1"/>
  <c r="AH780" i="1"/>
  <c r="AI780" i="1"/>
  <c r="I781" i="1"/>
  <c r="J781" i="1"/>
  <c r="M781" i="1"/>
  <c r="N781" i="1"/>
  <c r="O781" i="1"/>
  <c r="S781" i="1"/>
  <c r="T781" i="1"/>
  <c r="X781" i="1"/>
  <c r="Y781" i="1"/>
  <c r="Z781" i="1"/>
  <c r="AD781" i="1"/>
  <c r="AE781" i="1"/>
  <c r="AF781" i="1"/>
  <c r="AG781" i="1"/>
  <c r="AH781" i="1"/>
  <c r="AI781" i="1"/>
  <c r="I782" i="1"/>
  <c r="J782" i="1"/>
  <c r="M782" i="1"/>
  <c r="N782" i="1"/>
  <c r="O782" i="1"/>
  <c r="S782" i="1"/>
  <c r="T782" i="1"/>
  <c r="X782" i="1"/>
  <c r="Y782" i="1"/>
  <c r="Z782" i="1"/>
  <c r="AD782" i="1"/>
  <c r="AE782" i="1"/>
  <c r="AF782" i="1"/>
  <c r="AG782" i="1"/>
  <c r="AH782" i="1"/>
  <c r="AI782" i="1"/>
  <c r="I783" i="1"/>
  <c r="J783" i="1"/>
  <c r="M783" i="1"/>
  <c r="N783" i="1"/>
  <c r="O783" i="1"/>
  <c r="S783" i="1"/>
  <c r="T783" i="1"/>
  <c r="X783" i="1"/>
  <c r="Y783" i="1"/>
  <c r="Z783" i="1"/>
  <c r="AD783" i="1"/>
  <c r="AE783" i="1"/>
  <c r="AF783" i="1"/>
  <c r="AG783" i="1"/>
  <c r="AH783" i="1"/>
  <c r="AI783" i="1"/>
  <c r="I784" i="1"/>
  <c r="J784" i="1"/>
  <c r="M784" i="1"/>
  <c r="N784" i="1"/>
  <c r="O784" i="1"/>
  <c r="S784" i="1"/>
  <c r="T784" i="1"/>
  <c r="X784" i="1"/>
  <c r="Y784" i="1"/>
  <c r="Z784" i="1"/>
  <c r="AD784" i="1"/>
  <c r="AE784" i="1"/>
  <c r="AF784" i="1"/>
  <c r="AG784" i="1"/>
  <c r="AH784" i="1"/>
  <c r="AI784" i="1"/>
  <c r="I785" i="1"/>
  <c r="J785" i="1"/>
  <c r="M785" i="1"/>
  <c r="N785" i="1"/>
  <c r="O785" i="1"/>
  <c r="S785" i="1"/>
  <c r="T785" i="1"/>
  <c r="X785" i="1"/>
  <c r="Y785" i="1"/>
  <c r="Z785" i="1"/>
  <c r="AD785" i="1"/>
  <c r="AE785" i="1"/>
  <c r="AF785" i="1"/>
  <c r="AG785" i="1"/>
  <c r="AH785" i="1"/>
  <c r="AI785" i="1"/>
  <c r="I786" i="1"/>
  <c r="J786" i="1"/>
  <c r="M786" i="1"/>
  <c r="N786" i="1"/>
  <c r="O786" i="1"/>
  <c r="S786" i="1"/>
  <c r="T786" i="1"/>
  <c r="X786" i="1"/>
  <c r="Y786" i="1"/>
  <c r="Z786" i="1"/>
  <c r="AD786" i="1"/>
  <c r="AE786" i="1"/>
  <c r="AF786" i="1"/>
  <c r="AG786" i="1"/>
  <c r="AH786" i="1"/>
  <c r="AI786" i="1"/>
  <c r="I787" i="1"/>
  <c r="J787" i="1"/>
  <c r="M787" i="1"/>
  <c r="N787" i="1"/>
  <c r="O787" i="1"/>
  <c r="S787" i="1"/>
  <c r="T787" i="1"/>
  <c r="X787" i="1"/>
  <c r="Y787" i="1"/>
  <c r="Z787" i="1"/>
  <c r="AD787" i="1"/>
  <c r="AE787" i="1"/>
  <c r="AF787" i="1"/>
  <c r="AG787" i="1"/>
  <c r="AH787" i="1"/>
  <c r="AI787" i="1"/>
  <c r="I788" i="1"/>
  <c r="J788" i="1"/>
  <c r="M788" i="1"/>
  <c r="N788" i="1"/>
  <c r="O788" i="1"/>
  <c r="S788" i="1"/>
  <c r="T788" i="1"/>
  <c r="X788" i="1"/>
  <c r="Y788" i="1"/>
  <c r="Z788" i="1"/>
  <c r="AD788" i="1"/>
  <c r="AE788" i="1"/>
  <c r="AF788" i="1"/>
  <c r="AG788" i="1"/>
  <c r="AH788" i="1"/>
  <c r="AI788" i="1"/>
  <c r="I789" i="1"/>
  <c r="J789" i="1"/>
  <c r="M789" i="1"/>
  <c r="N789" i="1"/>
  <c r="O789" i="1"/>
  <c r="S789" i="1"/>
  <c r="T789" i="1"/>
  <c r="X789" i="1"/>
  <c r="Y789" i="1"/>
  <c r="Z789" i="1"/>
  <c r="AD789" i="1"/>
  <c r="AE789" i="1"/>
  <c r="AF789" i="1"/>
  <c r="AG789" i="1"/>
  <c r="AH789" i="1"/>
  <c r="AI789" i="1"/>
  <c r="I790" i="1"/>
  <c r="J790" i="1"/>
  <c r="M790" i="1"/>
  <c r="N790" i="1"/>
  <c r="O790" i="1"/>
  <c r="S790" i="1"/>
  <c r="T790" i="1"/>
  <c r="X790" i="1"/>
  <c r="Y790" i="1"/>
  <c r="Z790" i="1"/>
  <c r="AD790" i="1"/>
  <c r="AE790" i="1"/>
  <c r="AF790" i="1"/>
  <c r="AG790" i="1"/>
  <c r="AH790" i="1"/>
  <c r="AI790" i="1"/>
  <c r="I791" i="1"/>
  <c r="J791" i="1"/>
  <c r="M791" i="1"/>
  <c r="N791" i="1"/>
  <c r="O791" i="1"/>
  <c r="S791" i="1"/>
  <c r="T791" i="1"/>
  <c r="X791" i="1"/>
  <c r="Y791" i="1"/>
  <c r="Z791" i="1"/>
  <c r="AD791" i="1"/>
  <c r="AE791" i="1"/>
  <c r="AF791" i="1"/>
  <c r="AG791" i="1"/>
  <c r="AH791" i="1"/>
  <c r="AI791" i="1"/>
  <c r="I792" i="1"/>
  <c r="J792" i="1"/>
  <c r="M792" i="1"/>
  <c r="N792" i="1"/>
  <c r="O792" i="1"/>
  <c r="S792" i="1"/>
  <c r="T792" i="1"/>
  <c r="X792" i="1"/>
  <c r="Y792" i="1"/>
  <c r="Z792" i="1"/>
  <c r="AD792" i="1"/>
  <c r="AE792" i="1"/>
  <c r="AF792" i="1"/>
  <c r="AG792" i="1"/>
  <c r="AH792" i="1"/>
  <c r="AI792" i="1"/>
  <c r="I793" i="1"/>
  <c r="J793" i="1"/>
  <c r="M793" i="1"/>
  <c r="N793" i="1"/>
  <c r="O793" i="1"/>
  <c r="S793" i="1"/>
  <c r="T793" i="1"/>
  <c r="X793" i="1"/>
  <c r="Y793" i="1"/>
  <c r="Z793" i="1"/>
  <c r="AD793" i="1"/>
  <c r="AE793" i="1"/>
  <c r="AF793" i="1"/>
  <c r="AG793" i="1"/>
  <c r="AH793" i="1"/>
  <c r="AI793" i="1"/>
  <c r="I794" i="1"/>
  <c r="J794" i="1"/>
  <c r="M794" i="1"/>
  <c r="N794" i="1"/>
  <c r="O794" i="1"/>
  <c r="S794" i="1"/>
  <c r="T794" i="1"/>
  <c r="X794" i="1"/>
  <c r="Y794" i="1"/>
  <c r="Z794" i="1"/>
  <c r="AD794" i="1"/>
  <c r="AE794" i="1"/>
  <c r="AF794" i="1"/>
  <c r="AG794" i="1"/>
  <c r="AH794" i="1"/>
  <c r="AI794" i="1"/>
  <c r="I795" i="1"/>
  <c r="J795" i="1"/>
  <c r="M795" i="1"/>
  <c r="N795" i="1"/>
  <c r="O795" i="1"/>
  <c r="S795" i="1"/>
  <c r="T795" i="1"/>
  <c r="X795" i="1"/>
  <c r="Y795" i="1"/>
  <c r="Z795" i="1"/>
  <c r="AD795" i="1"/>
  <c r="AE795" i="1"/>
  <c r="AF795" i="1"/>
  <c r="AG795" i="1"/>
  <c r="AH795" i="1"/>
  <c r="AI795" i="1"/>
  <c r="I796" i="1"/>
  <c r="J796" i="1"/>
  <c r="M796" i="1"/>
  <c r="N796" i="1"/>
  <c r="O796" i="1"/>
  <c r="S796" i="1"/>
  <c r="T796" i="1"/>
  <c r="X796" i="1"/>
  <c r="Y796" i="1"/>
  <c r="Z796" i="1"/>
  <c r="AD796" i="1"/>
  <c r="AE796" i="1"/>
  <c r="AF796" i="1"/>
  <c r="AG796" i="1"/>
  <c r="AH796" i="1"/>
  <c r="AI796" i="1"/>
  <c r="I797" i="1"/>
  <c r="J797" i="1"/>
  <c r="M797" i="1"/>
  <c r="N797" i="1"/>
  <c r="O797" i="1"/>
  <c r="S797" i="1"/>
  <c r="T797" i="1"/>
  <c r="X797" i="1"/>
  <c r="Y797" i="1"/>
  <c r="Z797" i="1"/>
  <c r="AD797" i="1"/>
  <c r="AE797" i="1"/>
  <c r="AF797" i="1"/>
  <c r="AG797" i="1"/>
  <c r="AH797" i="1"/>
  <c r="AI797" i="1"/>
  <c r="I798" i="1"/>
  <c r="J798" i="1"/>
  <c r="M798" i="1"/>
  <c r="N798" i="1"/>
  <c r="O798" i="1"/>
  <c r="S798" i="1"/>
  <c r="T798" i="1"/>
  <c r="X798" i="1"/>
  <c r="Y798" i="1"/>
  <c r="Z798" i="1"/>
  <c r="AD798" i="1"/>
  <c r="AE798" i="1"/>
  <c r="AF798" i="1"/>
  <c r="AG798" i="1"/>
  <c r="AH798" i="1"/>
  <c r="AI798" i="1"/>
  <c r="I799" i="1"/>
  <c r="J799" i="1"/>
  <c r="M799" i="1"/>
  <c r="N799" i="1"/>
  <c r="O799" i="1"/>
  <c r="S799" i="1"/>
  <c r="T799" i="1"/>
  <c r="X799" i="1"/>
  <c r="Y799" i="1"/>
  <c r="Z799" i="1"/>
  <c r="AD799" i="1"/>
  <c r="AE799" i="1"/>
  <c r="AF799" i="1"/>
  <c r="AG799" i="1"/>
  <c r="AH799" i="1"/>
  <c r="AI799" i="1"/>
  <c r="I800" i="1"/>
  <c r="J800" i="1"/>
  <c r="M800" i="1"/>
  <c r="N800" i="1"/>
  <c r="O800" i="1"/>
  <c r="S800" i="1"/>
  <c r="T800" i="1"/>
  <c r="X800" i="1"/>
  <c r="Y800" i="1"/>
  <c r="Z800" i="1"/>
  <c r="AD800" i="1"/>
  <c r="AE800" i="1"/>
  <c r="AF800" i="1"/>
  <c r="AG800" i="1"/>
  <c r="AH800" i="1"/>
  <c r="AI800" i="1"/>
  <c r="I801" i="1"/>
  <c r="J801" i="1"/>
  <c r="M801" i="1"/>
  <c r="N801" i="1"/>
  <c r="O801" i="1"/>
  <c r="S801" i="1"/>
  <c r="T801" i="1"/>
  <c r="X801" i="1"/>
  <c r="Y801" i="1"/>
  <c r="Z801" i="1"/>
  <c r="AD801" i="1"/>
  <c r="AE801" i="1"/>
  <c r="AF801" i="1"/>
  <c r="AG801" i="1"/>
  <c r="AH801" i="1"/>
  <c r="AI801" i="1"/>
  <c r="I802" i="1"/>
  <c r="J802" i="1"/>
  <c r="M802" i="1"/>
  <c r="N802" i="1"/>
  <c r="O802" i="1"/>
  <c r="S802" i="1"/>
  <c r="T802" i="1"/>
  <c r="X802" i="1"/>
  <c r="Y802" i="1"/>
  <c r="Z802" i="1"/>
  <c r="AD802" i="1"/>
  <c r="AE802" i="1"/>
  <c r="AF802" i="1"/>
  <c r="AG802" i="1"/>
  <c r="AH802" i="1"/>
  <c r="AI802" i="1"/>
  <c r="I803" i="1"/>
  <c r="J803" i="1"/>
  <c r="M803" i="1"/>
  <c r="N803" i="1"/>
  <c r="O803" i="1"/>
  <c r="S803" i="1"/>
  <c r="T803" i="1"/>
  <c r="X803" i="1"/>
  <c r="Y803" i="1"/>
  <c r="Z803" i="1"/>
  <c r="AD803" i="1"/>
  <c r="AE803" i="1"/>
  <c r="AF803" i="1"/>
  <c r="AG803" i="1"/>
  <c r="AH803" i="1"/>
  <c r="AI803" i="1"/>
  <c r="I804" i="1"/>
  <c r="J804" i="1"/>
  <c r="M804" i="1"/>
  <c r="N804" i="1"/>
  <c r="O804" i="1"/>
  <c r="S804" i="1"/>
  <c r="T804" i="1"/>
  <c r="X804" i="1"/>
  <c r="Y804" i="1"/>
  <c r="Z804" i="1"/>
  <c r="AD804" i="1"/>
  <c r="AE804" i="1"/>
  <c r="AF804" i="1"/>
  <c r="AG804" i="1"/>
  <c r="AH804" i="1"/>
  <c r="AI804" i="1"/>
  <c r="I805" i="1"/>
  <c r="J805" i="1"/>
  <c r="M805" i="1"/>
  <c r="N805" i="1"/>
  <c r="O805" i="1"/>
  <c r="S805" i="1"/>
  <c r="T805" i="1"/>
  <c r="X805" i="1"/>
  <c r="Y805" i="1"/>
  <c r="Z805" i="1"/>
  <c r="AD805" i="1"/>
  <c r="AE805" i="1"/>
  <c r="AF805" i="1"/>
  <c r="AG805" i="1"/>
  <c r="AH805" i="1"/>
  <c r="AI805" i="1"/>
  <c r="I806" i="1"/>
  <c r="J806" i="1"/>
  <c r="M806" i="1"/>
  <c r="N806" i="1"/>
  <c r="O806" i="1"/>
  <c r="S806" i="1"/>
  <c r="T806" i="1"/>
  <c r="X806" i="1"/>
  <c r="Y806" i="1"/>
  <c r="Z806" i="1"/>
  <c r="AD806" i="1"/>
  <c r="AE806" i="1"/>
  <c r="AF806" i="1"/>
  <c r="AG806" i="1"/>
  <c r="AH806" i="1"/>
  <c r="AI806"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AB29" i="4"/>
  <c r="AB28" i="4"/>
  <c r="AB27" i="4"/>
  <c r="AB26" i="4"/>
  <c r="AB25" i="4"/>
  <c r="AB24" i="4"/>
  <c r="AB23" i="4"/>
  <c r="AB22" i="4"/>
  <c r="AB21" i="4"/>
  <c r="AB20" i="4"/>
  <c r="AB19" i="4"/>
  <c r="AB18" i="4"/>
  <c r="AB17" i="4"/>
  <c r="AB16" i="4"/>
  <c r="AB15" i="4"/>
  <c r="AB48" i="4"/>
  <c r="AB47" i="4"/>
  <c r="AB46" i="4"/>
  <c r="AB45" i="4"/>
  <c r="AB44" i="4"/>
  <c r="AB43" i="4"/>
  <c r="AB42" i="4"/>
  <c r="AB41" i="4"/>
  <c r="AB40" i="4"/>
  <c r="AB39" i="4"/>
  <c r="AB38" i="4"/>
  <c r="AB37" i="4"/>
  <c r="AB36" i="4"/>
  <c r="AB35" i="4"/>
  <c r="AB34" i="4"/>
  <c r="AB33" i="4"/>
  <c r="AB32" i="4"/>
  <c r="AB31" i="4"/>
  <c r="AB30" i="4"/>
  <c r="AB14" i="4"/>
  <c r="AB13" i="4"/>
  <c r="AB12" i="4"/>
  <c r="AB11" i="4"/>
  <c r="AB10" i="4"/>
  <c r="AB9" i="4"/>
  <c r="AB8" i="4"/>
  <c r="AB7" i="4"/>
  <c r="AB6" i="4"/>
  <c r="AB5" i="4"/>
  <c r="AB4" i="4"/>
  <c r="AB3" i="4"/>
  <c r="AB2" i="4"/>
  <c r="X4" i="4"/>
  <c r="X20" i="4"/>
  <c r="X19" i="4"/>
  <c r="X18" i="4"/>
  <c r="X17" i="4"/>
  <c r="X16" i="4"/>
  <c r="X15" i="4"/>
  <c r="X14" i="4"/>
  <c r="X13" i="4"/>
  <c r="X12" i="4"/>
  <c r="X11" i="4"/>
  <c r="X10" i="4"/>
  <c r="X9" i="4"/>
  <c r="X8" i="4"/>
  <c r="X7" i="4"/>
  <c r="X6" i="4"/>
  <c r="X5" i="4"/>
</calcChain>
</file>

<file path=xl/sharedStrings.xml><?xml version="1.0" encoding="utf-8"?>
<sst xmlns="http://schemas.openxmlformats.org/spreadsheetml/2006/main" count="6382" uniqueCount="2633">
  <si>
    <t>Task Name</t>
  </si>
  <si>
    <t>Bucket Name</t>
  </si>
  <si>
    <t>Labels</t>
  </si>
  <si>
    <t>Description</t>
  </si>
  <si>
    <t>Site</t>
  </si>
  <si>
    <t>Category</t>
  </si>
  <si>
    <t>Configuration Days</t>
  </si>
  <si>
    <t>Blocked Configuration Days</t>
  </si>
  <si>
    <t>Effective Configuration Days</t>
  </si>
  <si>
    <t>Number of Peer Reviews</t>
  </si>
  <si>
    <t>Peer Review Days</t>
  </si>
  <si>
    <t>Peer Review Rework Days</t>
  </si>
  <si>
    <t>Blocked Peer Review Rework Days</t>
  </si>
  <si>
    <t>Effective Peer Review Rework Days</t>
  </si>
  <si>
    <t>Number of Ready for Demo</t>
  </si>
  <si>
    <t>Number of Demos</t>
  </si>
  <si>
    <t>Demo Rework Days</t>
  </si>
  <si>
    <t>Blocked Demo Rework Days</t>
  </si>
  <si>
    <t>Effective Demo Rework Days</t>
  </si>
  <si>
    <t>Number of Ready for Client Verification</t>
  </si>
  <si>
    <t>Number of Client Verification</t>
  </si>
  <si>
    <t>Client Verification Days</t>
  </si>
  <si>
    <t>Rework Client Verification Days</t>
  </si>
  <si>
    <t>Blocked Rework Client Verification Days</t>
  </si>
  <si>
    <t>Effective Rework Client Verification Days</t>
  </si>
  <si>
    <t>Verification Complete Date</t>
  </si>
  <si>
    <t>Ready To Migrate Date</t>
  </si>
  <si>
    <t>Count of Task Name</t>
  </si>
  <si>
    <t>Grand Total</t>
  </si>
  <si>
    <t>Row Labels</t>
  </si>
  <si>
    <t>(All)</t>
  </si>
  <si>
    <t>Sum of Effective Configuration Days</t>
  </si>
  <si>
    <t>Sum of Peer Review Days</t>
  </si>
  <si>
    <t>Sum of Effective Peer Review Rework Days</t>
  </si>
  <si>
    <t>Sum of Effective Demo Rework Days</t>
  </si>
  <si>
    <t>Sum of Effective Rework Client Verification Days</t>
  </si>
  <si>
    <t>Sum of Client Verification Days</t>
  </si>
  <si>
    <t>PR5-HPLC-PM-CAL-NMP</t>
  </si>
  <si>
    <t>PR5</t>
  </si>
  <si>
    <t>ID Color/Chem Template</t>
  </si>
  <si>
    <t>Top-Loading Balance Daily Calibration</t>
  </si>
  <si>
    <t>Analytical Balance Daily Calibration</t>
  </si>
  <si>
    <t>FTIR Mineral Oil Technique Template</t>
  </si>
  <si>
    <t>Titration Template</t>
  </si>
  <si>
    <t>FTIR Weekly Calibration</t>
  </si>
  <si>
    <t>LOD Option 2 Template</t>
  </si>
  <si>
    <t>API-G1153-LOCAL: ELISA FOR PROCESS SPECIFIC E. COLI POLYPEPTIDES IN KPB INTERMEDIATES</t>
  </si>
  <si>
    <t>API-G1155-LOCAL: DETERMINATION OF RESIDUAL UREA IN INSULIN API</t>
  </si>
  <si>
    <t>API-G1983-LOCAL: ELISA for Human Proinsulin in Lyspro</t>
  </si>
  <si>
    <t>API-G2067-LOCAL: ELISA for Proinsulin and C-peptide Related Materials in Lispro</t>
  </si>
  <si>
    <t>API-G2009-LOCAL: Quantitation of Residual E. Coli DNA in Insulin and Insulin Analog Drug Substance and Manufacture Intermediates by qPCR</t>
  </si>
  <si>
    <t>API-G1936-LOCAL: DETERMINATION OF RESIDUAL TRIS IN INSULIN API BY ION CHROMATOGRAPHY</t>
  </si>
  <si>
    <t>API-G1287-LOCAL: ELISA FOR HUMAN PROINSULIN LYSPRO INTERMEDIATES AND DRUG SUBSTANCE</t>
  </si>
  <si>
    <t>API-G1149-LOCAL: DETERMINATION OF CYSTEINE AND CYSTINE IN KPB API BY ION CHROMATOGRAPHY METHOD</t>
  </si>
  <si>
    <t>API-B13000-LOCAL: TETRACYCLINE DETERMINATION INTERMEDIATES BY LIQUID CHROMATOGRAPHY/MASS SPECTROMETRY</t>
  </si>
  <si>
    <t>API-B10389-LOCAL: ELISA FOR HOST YEAST CELL PROTEIN RELATED IMPURITIES IN LISPRO HUMAN INSULIN AND BIOSYNTHETIC HUMAN INSULIN INTERMEDIATES AND FINAL BULK DRUG SUBSTANCES</t>
  </si>
  <si>
    <t>API-B08917-LOCAL: ELISA FOR CARBOXYPEPTIDASE B RELATED IMPURITIES IN BIOSYNTHETIC PROCESS INTERMEDIATES AND ACTIVE PHARAMACEUTICAL SUBSTANCES</t>
  </si>
  <si>
    <t>API-B08916-LOCAL: TRYPSIN RELATED IMPURITIES IN BIOSYNTHETIC INSULIN PROCESS INTERMEDIATES AND ACTIVE PHARMACEUTICAL SUBSTANCES</t>
  </si>
  <si>
    <t>LOD Template</t>
  </si>
  <si>
    <t>GC Template</t>
  </si>
  <si>
    <t xml:space="preserve">HPLC Template </t>
  </si>
  <si>
    <t>AA Template</t>
  </si>
  <si>
    <t>ELISA Template</t>
  </si>
  <si>
    <t>API-G1148-LOCAL: DETERMINATION OF ACETATE AND CHLORIDE IONS IN INSULIN API BY ION CHROMATOGRAPHY</t>
  </si>
  <si>
    <t>B00370: 4-Epianhydrotetracycline Hydrochloride, Tetracycline Hydrochloride, and  Identification of Tetracycline by HPLC - USP Method</t>
  </si>
  <si>
    <t>PREPARATION VESPHENE II, VESPHENE III AND HYPO-CHLOR</t>
  </si>
  <si>
    <t>SODIUM THIOSULFATE 10% SOLUTION PREPARATION</t>
  </si>
  <si>
    <t>Sample Weights Registration for the Microbiology Laboratory</t>
  </si>
  <si>
    <t>RAW MATERIALS FINISHED PRODUCTS RAW DATA REGISTRATION</t>
  </si>
  <si>
    <t>Reference Standards Inventory</t>
  </si>
  <si>
    <t>PRIMUS AUTOCLAVES STERILIZATION CYCLES REGISTRATION</t>
  </si>
  <si>
    <t>PLASMID SOLUTIONS PREPARATION PROCEDURE, Non-Method Procedure: MICRO-PR-PLASMID-SOLN-PREP-NMP</t>
  </si>
  <si>
    <t>Bacteriophage Analysis Raw Data Daily Registration</t>
  </si>
  <si>
    <t>AB 15 pH METER CALIBRATION PROCEDURE</t>
  </si>
  <si>
    <t>ORGANISMS REHYDRATATION</t>
  </si>
  <si>
    <t>Non-Method Procedure for the Microbiology Laboratory Organism Profile in SmartLab</t>
  </si>
  <si>
    <t>MICROORGANISMS CULTURES RECEIVING</t>
  </si>
  <si>
    <t xml:space="preserve">MICRO-PR-MILLI Q-DAILY-CHECK-NMP - MILLI-Q DAILY CHECK PROCEDURE </t>
  </si>
  <si>
    <t>MELTED MEDIA TEMPERING REGISTRATION</t>
  </si>
  <si>
    <t>Culture Media Preparation Laboratory Non-Method Procedure, MICRO-PR-MEDIA-PREP-NMP</t>
  </si>
  <si>
    <t>MATERIAL AND MEDIA REGISTRATION PROCEDURE</t>
  </si>
  <si>
    <t>Non-Method Procedure for Diluting Fuid H Solution Preparation into the Laboratory in SmartLab</t>
  </si>
  <si>
    <t>E COLI 31608 ABSORBANCE READING FOR BACTERIOPHAGE TESTING AND COMPLY WITH THE ACCEPTANCE CRITERIA FOR CP-1 BACTERIOPHAGE</t>
  </si>
  <si>
    <t>DAILY RAW DATA REGISTRATION, MICRO-PR-DAILY-RAW-DATA-REG-NMP</t>
  </si>
  <si>
    <t>Compressed Air Filtration Unit Preparation, MICRO-PR-COMP-AIR-FILTER-PREP-NMP</t>
  </si>
  <si>
    <t>Preventive Maintenance / Correction Maintenance Registration</t>
  </si>
  <si>
    <t>CLEANING / SANITIZATION REGISTRATION</t>
  </si>
  <si>
    <t>MICRO-PR-BALANCE-REQ-NMP</t>
  </si>
  <si>
    <t>Daily Balance Calibration Check Procedure</t>
  </si>
  <si>
    <t>MICRO-PR ATC PROBE MONTHLY VERIFICATION PROCEDURE</t>
  </si>
  <si>
    <t>ALPHA-AMILASE SOLUTION  PREPARATION</t>
  </si>
  <si>
    <t>MICROSEQ ABORTED SEQUENCE REGISTRATION PROCEDURE</t>
  </si>
  <si>
    <t>PLASMID STABILITY ASSAY FOR MR-HPI FERMENTATION BROTH BY GEL ELECTROPHORESIS (QS6240)</t>
  </si>
  <si>
    <t>Violet Red Bile Clucose Growth Promotion</t>
  </si>
  <si>
    <t>XLD Agar Growth Promotion</t>
  </si>
  <si>
    <t>Tryptic Soy Broth Growth Promotion</t>
  </si>
  <si>
    <t>Tryptic Soy Agar Growth Promotion</t>
  </si>
  <si>
    <t>Sabouraud Dextrose Agar Growth Promotion</t>
  </si>
  <si>
    <t>Rappaport Vassiliadis Salmonella Enrichment Broth Growth Promotion</t>
  </si>
  <si>
    <t>Mannitol Salt Agar Growth Promotion</t>
  </si>
  <si>
    <t>Mac Conkey Broth Growth Promotion</t>
  </si>
  <si>
    <t>Mac Conkey Agar Growth Promotion</t>
  </si>
  <si>
    <t>Enterobacteria Enrichment Broth Mossel Growth Promotion</t>
  </si>
  <si>
    <t>Cetrimide Agar Base Growth Promotion</t>
  </si>
  <si>
    <t>Plasmid Stability Assay for Methionyl Aspartyl HGH Fermentation Broth (QS3600) By Gel Electrophoresis</t>
  </si>
  <si>
    <t>Bioburden Testing for sKPB Intermediaries</t>
  </si>
  <si>
    <t>MICRO-B10891-LOCAL, Plasmid Stability for PTH Fusion Protein Frozen Inoculum (QS5300) and Fermentation Broth (QS5303) by Gel Electrophoresis</t>
  </si>
  <si>
    <t>MICRO-B10524-LOCAL, Plasmid Stability Assay for KPB Pro Insulin by Gel Electrophoresis</t>
  </si>
  <si>
    <t>SuperBroth Dehydrated (QA460N) Growth Promotion Test</t>
  </si>
  <si>
    <t>Plate Assay for the Detection of Bacteriophage MICRO-B03888-LOCAL</t>
  </si>
  <si>
    <t>BIOBURDEN TESTING FOR LYSPRO INSULIN ZINC CRYSTALS</t>
  </si>
  <si>
    <t>Growth Promotion Properties of Media</t>
  </si>
  <si>
    <t>PLASMID STABILITY ASSAY FOR LISPRO PROINSULIN FERMENTATION BROTH SAMPLES</t>
  </si>
  <si>
    <t>EMB + 1% DEXTROSE AGAR GROWTH PROMOTION, Method MICRO-000335-LOCAL</t>
  </si>
  <si>
    <t>Phenol Red with Dextrose Growth Promotion, Method MICRO-000334-LOCAL</t>
  </si>
  <si>
    <t>PLASMID STABILITY ASSAY FOR MR-BIV FERMENTATION BROTH BY GEL ELECTROPHORESIS</t>
  </si>
  <si>
    <t>Bioburden Testing for washed Granules Concentrate</t>
  </si>
  <si>
    <t>Microbiological Examination for Bacterial Contamination of Cleaning Water Samples MICRO-000206-LOCAL</t>
  </si>
  <si>
    <t>VEGETABLE CONTACT AGAR+LTHTH-ICPR+GROWTH PROMOTION</t>
  </si>
  <si>
    <t>Sample Weights Registration for the Laboratory</t>
  </si>
  <si>
    <t>SULFATE BUFFER PREPARATION FOR METHOD B09143, B00781 AND B00834 IN SMARTLAB</t>
  </si>
  <si>
    <t>Standard Preparation Procedure in SmartLab</t>
  </si>
  <si>
    <t>PR5-Standardization-NMP</t>
  </si>
  <si>
    <t>PR5-SOLN-PREP-NMP</t>
  </si>
  <si>
    <t>PR5-SOLN-9.6N HCl-NMP</t>
  </si>
  <si>
    <t>CEM Smart System 5 Calibration NMP</t>
  </si>
  <si>
    <t>Total Solids Procedure</t>
  </si>
  <si>
    <t>Serine Determination Procedure</t>
  </si>
  <si>
    <t>MELTING POINT DETERMINATION PROCEDURE</t>
  </si>
  <si>
    <t>Karl Fischer Factor Determination Procedure</t>
  </si>
  <si>
    <t>IRON DETERMINATION PROCEDURE</t>
  </si>
  <si>
    <t>Drying Material NMP for Raw MAterial Lab</t>
  </si>
  <si>
    <t>PI54K REFERENCE STANDARD REGISTRATION PROCEDURE IN SMARTLAB</t>
  </si>
  <si>
    <t>PI54K Reagents Registration Procedure in SmartLab</t>
  </si>
  <si>
    <t>Plate Reader Calibration NMP</t>
  </si>
  <si>
    <t>Pipette Preventive and/or Corrective Maintenance Procedure</t>
  </si>
  <si>
    <t>PI54K pH METER OPERATION PROCEDURE IN SMARTLAB</t>
  </si>
  <si>
    <t>PR5-PH-DETERMINATION-NMP</t>
  </si>
  <si>
    <t>Loss on Drying test for 1-Octanesulfonic Acid (OSA) Procedure in SmartLab</t>
  </si>
  <si>
    <t>Water Purification System (MILLI-Q) Daily Calibration</t>
  </si>
  <si>
    <t>PI54K MATERIAL REGISTRATION PROCEDURE IN SMARTLAB</t>
  </si>
  <si>
    <t>GLASSWARE CLEANING PROCEDURE FOR ATOMIC ABSORPTION METHODS</t>
  </si>
  <si>
    <t>CALIBRATION CURVE PROCEDURE FOR ANALYTICAL TEST METHOD PR5-G2141-LOCAL</t>
  </si>
  <si>
    <t>STANDARD PREPARATION PROCEDURE FOR ANALYTICAL METHOD PR5-G2141-LOCAL</t>
  </si>
  <si>
    <t>SOLUTIONS PREPARATION PROCEDURE FOR ANALYTICAL METHOD PR5-G2141-LOCAL</t>
  </si>
  <si>
    <t>PI54K COLUMN REGISTRATION PROCEDURE IN SMARTLAB</t>
  </si>
  <si>
    <t>PI54K Plate Coating Buffer Preparation Procedure</t>
  </si>
  <si>
    <t>PREVENTIVE MAINTENANCE/ CORRECTIVE MAINTENANCE REGISTRATION PROCEDURE IN SMARTLAB</t>
  </si>
  <si>
    <t>PR5-BLOTTO-PREP-NMP</t>
  </si>
  <si>
    <t>PR05 BASIC STATISTICS CALCULATIONS PROCEDURE IN SMARTLAB</t>
  </si>
  <si>
    <t>WEIGHT SET ACCEPTANCE PROCEDURE IN SMARTLAB</t>
  </si>
  <si>
    <t>BALANCE REQUIREMENTS TEST PROCEDURE</t>
  </si>
  <si>
    <t>Microbalance Daily Calibration</t>
  </si>
  <si>
    <t>Standard Preparation Procedure for Analytical Method PR5-B13269-LOCAL</t>
  </si>
  <si>
    <t>SOLUTIONS PREPARATION PROCEDURE FOR ANALYTICAL METHOD PR5-B13269-LOCAL IN SMARTLAB</t>
  </si>
  <si>
    <t>CALIBRATION CURVE PROCEDURE FOR ANALYTICAL METHOD PR5-B13269-LOCAL</t>
  </si>
  <si>
    <t>Calculation of BIV and MR-BHI Concentration Procedure using Microplate BCA assay</t>
  </si>
  <si>
    <t>STANDARD PREPARATION FOR B10042 IN SMARTLAB</t>
  </si>
  <si>
    <t>2.0% NITRIC ACID PREPARATION IN SMARTLAB FOR ANALYTICAL METHOD B09997</t>
  </si>
  <si>
    <t>0.1 % NITRIC ACID PREPARATION IN SMARTLAB FOR ANALYTICAL METHOD B09997</t>
  </si>
  <si>
    <t>STANDARD PEPARATION FOR METHOD B09143 IN SMARTLAB</t>
  </si>
  <si>
    <t>STANDARDS PREPARATION PROCEDURE FOR ANALYTICAL METHOD PR5-B05054-LOCAL</t>
  </si>
  <si>
    <t>SOLUTIONS PREPARATION PROCEDURE FOR ANALYTICAL METHOD PR5-B05054-LOCAL</t>
  </si>
  <si>
    <t>STANDARD PREPARATION PROCEDURE FOR ANALYTICAL METHOD PR5-B03884-LOCAL IN SMARTLAB</t>
  </si>
  <si>
    <t>SOLUTIONS PREPARATION PROCEDURE FOR ANALYTICAL METHOD PR5-B03884-LOCAL IN  SMARTLAB</t>
  </si>
  <si>
    <t>L-Arginine, Mobile Phase, and Suitability Standard Preps for B03622 in SmartLab</t>
  </si>
  <si>
    <t>Reference Standard and System Suitability Standard Preps for B00834 in SmartLab</t>
  </si>
  <si>
    <t>ELUENT PREPARATION FOR METHOD B00834 IN SMARTLAB</t>
  </si>
  <si>
    <t>Solutions and Suitability Standard Preparation Procedure for Method B00782 in SmartLab</t>
  </si>
  <si>
    <t>PI54K ATC PROBE MONTHLY VERIFICATION PROCEDURE IN SMARTLAB</t>
  </si>
  <si>
    <t>PR5-A13454-GENERAL ASSAY-NMP</t>
  </si>
  <si>
    <t>0.1N HCL ACID PREPARATION IN SMARTLAB</t>
  </si>
  <si>
    <t>PR5-ABORTED-SEQ-LOG-NMP</t>
  </si>
  <si>
    <t>STANDARD PREPARATION PROCEDURE FOR ANALYTICAL METHOD 000346</t>
  </si>
  <si>
    <t>PR5-000346-SOLN-PREP-NMP</t>
  </si>
  <si>
    <t>CALIBRATION CURVE PROCEDURE FOR ANALYTICAL METHOD PR5-000346-LOCAL</t>
  </si>
  <si>
    <t>STANDARD PREPARATION PROCEDURE FOR ANALYTICAL METHOD PR5-000342-LOCAL IN SMARTLAB</t>
  </si>
  <si>
    <t>SOLUTIONS PREPARATION PROCEDURE FOR ANALYTICAL METHOD PR5-000342-LOCAL IN SMARTLAB</t>
  </si>
  <si>
    <t>PR5-000231-STD-PREP-NMP</t>
  </si>
  <si>
    <t>SOLUTIONS PREPARATION PROCEDURE FOR ANALYTICAL METHOD PR5-000231-LOCAL IN SMARTLAB</t>
  </si>
  <si>
    <t>PREVENTIVE MAINTENANCE AND CALIBRATION FOR AGILENT LIQUID CHROMATOGRAPH</t>
  </si>
  <si>
    <t>MICRO-PR-WEIGHT-SET-REG-NMP</t>
  </si>
  <si>
    <t xml:space="preserve">B04338: Determination of Specific Activity </t>
  </si>
  <si>
    <t>B04331: Determination of water content (LOD or Dry Weight) In E. coli Fermantation broth using a moisture % solids analyzer</t>
  </si>
  <si>
    <t>B04261: The Identification of Antifoam 471 by Visual Comparison</t>
  </si>
  <si>
    <t>B03884: MR KPB HPI FERMENTATION BROTH AND GRANULES CONCENTRATES BY REVERSE PHASE HPLC</t>
  </si>
  <si>
    <t>B02744: Calcium, Iron, Lead, Magnesium, Potassium, and Sodium in Zinc Chloride by ACS Atomic Absorption Method</t>
  </si>
  <si>
    <t>B01949:  Potassium in Sodium Hydroxide by ACS Atomic Absorption Method</t>
  </si>
  <si>
    <t>B01796:  Incoming Inspections for Package Components</t>
  </si>
  <si>
    <t>B01619:  ORGANIC VOLATILE IMPURITIES BY EXAMINATION OF LOT DOCUMENTATION</t>
  </si>
  <si>
    <t>B00834: HPLC ASSAY AND IDENTITY DETERMINATION FOR LISPRO DRUG SUBSTANCE AND DRUG PRODUCT FOR ANALYTICAL METHOD B00834 IN SMARTLAB</t>
  </si>
  <si>
    <t>B05054: Determination of Ethanol and Methanol in Zinc Insulin and Insulin Analog AND METHANOL Crystals by Headspaces Gas Chromatography</t>
  </si>
  <si>
    <t>A03886: Acidity (as acetic acid)</t>
  </si>
  <si>
    <t>000364: IDENTIFICATION AND PH DETERMINATION</t>
  </si>
  <si>
    <t>000363: Iron-PH EUR</t>
  </si>
  <si>
    <t>B06267: IPTG by HPLC</t>
  </si>
  <si>
    <t>B06403: Leucine by Titration with Perchloric Acid - USP</t>
  </si>
  <si>
    <t>000362:  Chloride Identification-Ph Eur</t>
  </si>
  <si>
    <t>000321: Identification of Hydrogen Ion</t>
  </si>
  <si>
    <t>B06444: Isoleucine by Titration with Perchloric Acid - USP</t>
  </si>
  <si>
    <t>B06479: HPLC LIMIT TEST FOR OXIDIZERS IN ACETIC ACID</t>
  </si>
  <si>
    <t>B09942: SAP - Weight Percent as is Activity</t>
  </si>
  <si>
    <t>B09980: DETERMINATION OF ZINC IN HUMAN INSULIN AND INSULIN LISPRO</t>
  </si>
  <si>
    <t>B10041: Acetonitrile and Methanol in Biosynthetic Drug Substances</t>
  </si>
  <si>
    <t>B10602: Determination of Sulfated Ash in Insulin Drug Substances by the European Pharmacopeia Method</t>
  </si>
  <si>
    <t>B11181: Spectrophotometric Assay of Total Protein in HGH Granule Concentrates</t>
  </si>
  <si>
    <t>B11760: CALCULATION OF POTENCY AND SOLIDS PERCENT FOR ENTRY INTO LIMS SYSTEM</t>
  </si>
  <si>
    <t>G2141: DETERMINATION OF POTENCY AND PURITY OF LYSPRO BYOSYNTHETIC HUMAN INSULIN (KPB-BHI) BY UPLC</t>
  </si>
  <si>
    <t>000260: Identification EDTA Disodium-USP</t>
  </si>
  <si>
    <t>000231: MR BIV HPI Determination of Potency in Fermentation Broth and Granule Concentrates by Reversed Phase HPLC</t>
  </si>
  <si>
    <t>QA232SV1E: MANGANESE SULFATE MONOHYDRATE GM</t>
  </si>
  <si>
    <t>QA503S: M-R-KPB-HPI WCB E. COLI ELKPB-3</t>
  </si>
  <si>
    <t>QA243V: TRIS REAGENT</t>
  </si>
  <si>
    <t>QA264Q: MAGNESIUM SULFATE FOR FER</t>
  </si>
  <si>
    <t>SC9915: 25 MM SCREW CAP WITH PTFE COATED LINER</t>
  </si>
  <si>
    <t>QA347Y: NZ AMINE L LIQUID</t>
  </si>
  <si>
    <t>QA436Y: BIOSYNTH CARBOXYPEPTIDASE B FINAL PREP</t>
  </si>
  <si>
    <t>CB8475: Shipping box folding 4 bottles</t>
  </si>
  <si>
    <t>SC9914: 80 MM SCREW CAP WITH PTFE COATED LINER</t>
  </si>
  <si>
    <t>QA510D: PTH WCB E. COLI ELPTH-2</t>
  </si>
  <si>
    <t>QA224D: FERROUS AMMONIUM SULFATE</t>
  </si>
  <si>
    <t>QA524Y: ACETONITRILE</t>
  </si>
  <si>
    <t>QA363H: SP SEPHAROSE BIG BEAD</t>
  </si>
  <si>
    <t>QA104V: PHOSPHORIC ACID 75%</t>
  </si>
  <si>
    <t>QA011S: CALCIUM CHLORIDE</t>
  </si>
  <si>
    <t>QA596E: Urea Industrial Grade Bulk</t>
  </si>
  <si>
    <t>QA018L: DEXTROSE</t>
  </si>
  <si>
    <t>QA268VV1E: TETRACYCLINE HYDROCHLORIDE GM</t>
  </si>
  <si>
    <t>BT5990: 25 ML AMBER GLASS BOTTLE</t>
  </si>
  <si>
    <t>QA266K: CITRIC ACID FOR FERMENTATION</t>
  </si>
  <si>
    <t>QA460N: SUPERBROTH DEHYDRATED</t>
  </si>
  <si>
    <t>MX0034: PLASTIC DRUM</t>
  </si>
  <si>
    <t>QA014N: ALCOHOL S D NO. 3A ABSOLUTE</t>
  </si>
  <si>
    <t>QA539C: L-CYSTINE DIHYDROCHLORIDE</t>
  </si>
  <si>
    <t>QA074Y: ZINC CHLORIDE GRANULAR REAGENT</t>
  </si>
  <si>
    <t>QA267V: SODIUM SULFITE ANHYDROUS</t>
  </si>
  <si>
    <t>QA004N: POTASSIUM HYDROXIDE LIQUID</t>
  </si>
  <si>
    <t>QA010R: CALCIUM CHLORIDE TECH</t>
  </si>
  <si>
    <t>QA419Z: SODIUM CHLORIDE - HIGH PURITY</t>
  </si>
  <si>
    <t>QA143Z: HYDROGEN PEROXIDE SOLUTION 3%</t>
  </si>
  <si>
    <t>QA305P: ACETONITRILE RP</t>
  </si>
  <si>
    <t>QA451V: L-CYSTEINE HYDROCHLORIDE-SYNTHETIC</t>
  </si>
  <si>
    <t>MX6414: GP-35 Closed Head Top Plastic Drum, Gal 35</t>
  </si>
  <si>
    <t>QA509Z: HGH WCB E. COLI ELHGH-7</t>
  </si>
  <si>
    <t>QA135H: POTASSIUM PHOSPHATE DIBASIC TECH</t>
  </si>
  <si>
    <t>QA257A: AMMONIUM HYDROXIDE REAGENT 130</t>
  </si>
  <si>
    <t>QA479V: AMISOY</t>
  </si>
  <si>
    <t>BT5992	: 2 LITER AMBER GLASS BOTTLE</t>
  </si>
  <si>
    <t>QA127R: DEXTROSE SOLUTION</t>
  </si>
  <si>
    <t>QA458J: GLYCERIN SYNTHETIC</t>
  </si>
  <si>
    <t>QA270Z: HYDROCHLORIC ACID REAGENT</t>
  </si>
  <si>
    <t>QA442U01: RECOMBINANT TRYPSIN PURIFIED</t>
  </si>
  <si>
    <t>QA310K: AMMONIUM PHOSPHATE MONOBASIC</t>
  </si>
  <si>
    <t>QA524Q: MR BIV PROINSULIN WCB E. COLI ELHIP-11</t>
  </si>
  <si>
    <t>CB8258: Box Corrugated 8 3/16 X 8 3/16 X 16 5/16</t>
  </si>
  <si>
    <t>QA128D: AMMONIA ANHYDROUS BULK</t>
  </si>
  <si>
    <t>QA022SV1E: CUPRIC SULFATE CRYSTALS GM</t>
  </si>
  <si>
    <t>QA309F: 10 MICRON,C-8,LIQUID CHROMATOGRAPHY PACK</t>
  </si>
  <si>
    <t>QA044L: POTASSIUM PHOSPHATE MONOBASIC TECH</t>
  </si>
  <si>
    <t>QA138C: L-LEUCINE</t>
  </si>
  <si>
    <t>QA609F: 10 MICRON, C-8, LIQUID CHROMATOGRAPHY PACK-DAISO</t>
  </si>
  <si>
    <t>QA205H: LIQUEFIED PHENOL DISTILLED</t>
  </si>
  <si>
    <t>QA065TV1E: THIAMINE HYDROCHLORIDE GM</t>
  </si>
  <si>
    <t>QA006F: GLACIAL ACETIC ACID REAGENT</t>
  </si>
  <si>
    <t>QA116W: METHIONINE FEED GRADE</t>
  </si>
  <si>
    <t>QA163E: ANTIFOAM-471</t>
  </si>
  <si>
    <t>QA058T: SODIUM HYDROXIDE REAGENT</t>
  </si>
  <si>
    <t>QA458V: AMMONIUM CHLORIDE TECH PALM OIL TREATED</t>
  </si>
  <si>
    <t>QA233TV1E: ZINC SULFATE HEPTAHYDRATE GM</t>
  </si>
  <si>
    <t>QA175C: SERINE</t>
  </si>
  <si>
    <t>QA139Y: POTASSIUM SULFATE TECH</t>
  </si>
  <si>
    <t>QA264S: SODIUM PHOSPHATE DIBASIC  TECH</t>
  </si>
  <si>
    <t>QA454J: IPTG FOR FERMENTATION</t>
  </si>
  <si>
    <t>QA308W: S-SEPHAROSE FAST FLOW</t>
  </si>
  <si>
    <t>QA426P: REVERSE PHASE AROMATIC TEST SOLUTION</t>
  </si>
  <si>
    <t>QA442U: RECOMBINANT TRYPSIN PURIFIED</t>
  </si>
  <si>
    <t>QA596G: Urea Industrial Grade Tank Truck</t>
  </si>
  <si>
    <t>QA479V01: AMISOY</t>
  </si>
  <si>
    <t>QA565F: T7-MR-DESK64-KPB-HPI WCB ELKPB-10</t>
  </si>
  <si>
    <t>QA188KPUR: SODIUM HYPOCHLORITE SOLN</t>
  </si>
  <si>
    <t>QA445U: L – ISOLEUCINE</t>
  </si>
  <si>
    <t>QS5420: MR-SKPB-HPI CAPTURE</t>
  </si>
  <si>
    <t>QS6540: TRANSVERSION  MR-D64-KPB-HPI TO KPB-BHI</t>
  </si>
  <si>
    <t>QS5400: MR-KPB-HPI WASHED GRANULE CONCENTRATE</t>
  </si>
  <si>
    <t>QS2695: M-R-KPB-HPI VEG FLASK INOCULUM</t>
  </si>
  <si>
    <t>QS3600: M-D-HGH FERMENTATION BROTH</t>
  </si>
  <si>
    <t>QS3602: M-D-hGH FLASK INOCULUM</t>
  </si>
  <si>
    <t>QS5440: SKPB-BHI TRANSVERSION</t>
  </si>
  <si>
    <t>QS6570: KPB-BHI REVERSED PHASE INTERMEDIATE</t>
  </si>
  <si>
    <t>QS5430: MR-SKPB-HPI ULTRAFILTRATION</t>
  </si>
  <si>
    <t>QS6501: MR-D64-KPB-HPI FLASK INOCULUM</t>
  </si>
  <si>
    <t>QS7130: MR-BIV-HPI-FERMENTATION BROTH</t>
  </si>
  <si>
    <t>QS5301: PTH FUSION PROTEIN FLASK INOC.</t>
  </si>
  <si>
    <t>QA103L: HYDROCHLORIC ACID SOLUTION 10%</t>
  </si>
  <si>
    <t>QS6520: MR-D64-KPB-HPI CAPTURE</t>
  </si>
  <si>
    <t>QS6529: MRD64-KPB-HPI WASHED GRANULE CONCENTRATE</t>
  </si>
  <si>
    <t>QS7110: MR-BIV-HPI SHAKE FLASK EXPANSION</t>
  </si>
  <si>
    <t>QS2693: M-R-KPB-HPI FROZEN VEG</t>
  </si>
  <si>
    <t>QS6550: KPB-BHI FFS CATION EXCHANGED</t>
  </si>
  <si>
    <t>QS6500: MR-D64-KPB-HPI SOLUBILIZATION</t>
  </si>
  <si>
    <t>QS5303: PTH FUSION PROTEIN FERM BROTH</t>
  </si>
  <si>
    <t>QS2697: M-R-KPB-HPI FERMENTATION BROTH</t>
  </si>
  <si>
    <t>QS5450: SKPB-BHI FFS CATION EXCHANGED</t>
  </si>
  <si>
    <t>QS5415: MR-SKPB-HPI MICROFILTRATION</t>
  </si>
  <si>
    <t>QS5304: PTH FUSION PROTEIN WASHEDGRANULE CONC</t>
  </si>
  <si>
    <t>QS7140: MR-BIV-WASHED GRANULE CONCENTRATE</t>
  </si>
  <si>
    <t>QS3601V1E: MET-ASP HGH GRANULES V1E</t>
  </si>
  <si>
    <t>QS5140: MR-KPB-HPI WASHED GRANULE CONCENTRATE</t>
  </si>
  <si>
    <t>QS6515: MR-D64-KPB-HPI MICROFILTRATION</t>
  </si>
  <si>
    <t>QS6513: MR-D64-KPBHPI FERMENTATION BROTH</t>
  </si>
  <si>
    <t>QA535Z: LISPRO INSULIN CRYSTALS (STREAMLINE)</t>
  </si>
  <si>
    <t>QA524X: BIV Insulin Crystals</t>
  </si>
  <si>
    <t>QS5410: MR-SKPB-HPI FOLDED</t>
  </si>
  <si>
    <t>QA571X: LISPRO INSULIN CRYSTALS</t>
  </si>
  <si>
    <t>QA541J: SKPB-BHI INSULIN LISPRO ZINC CRYSTALS (STREAMLINE)</t>
  </si>
  <si>
    <t>QS6530: MR-D64-KPB-HPI ULTRAFILTRATION</t>
  </si>
  <si>
    <t>QS6510: FOLDING OF MR-D64-KPB-HPI INTERMEDIATE</t>
  </si>
  <si>
    <t>QS5470: SKPB-BHI REVERSED PHASE INTERMEDIATE</t>
  </si>
  <si>
    <t>QA485U: ZN-INSULIN CRYSTALS HUMAN MR-HPI DER</t>
  </si>
  <si>
    <t>QS6319: MR-HPI FROZED WASHED GRANULE CONCENTRATE</t>
  </si>
  <si>
    <t>QS6240: MR-HPI FERMENTATION BROTH</t>
  </si>
  <si>
    <t>A07933: Identification of Sulfate by USP</t>
  </si>
  <si>
    <t>A07932:  Identification of Zinc by USP</t>
  </si>
  <si>
    <t>A07918: Ferrous Salts Identification by reaction with Potassium Ferricyanide- USP</t>
  </si>
  <si>
    <t>A07917: Sulfate Identification by Reaction with Barium Chloride – USP</t>
  </si>
  <si>
    <t>A07500:  Water- USP</t>
  </si>
  <si>
    <t>A07499: CHLORIDE IDENTIFICATION - USP</t>
  </si>
  <si>
    <t>A07278:  ID Calcium Chloride-USP</t>
  </si>
  <si>
    <t>A06928: Citric Acid Assay-USP</t>
  </si>
  <si>
    <t>A06927:  Water-USP</t>
  </si>
  <si>
    <t>A06925: Sodium Sulfite Assay</t>
  </si>
  <si>
    <t>A06302: Iron, Aluminum and Phosphate - USP</t>
  </si>
  <si>
    <t>A06301: Magnesium and Alkali Salt - USP</t>
  </si>
  <si>
    <t>A06299:  Calcium Chloride - USP</t>
  </si>
  <si>
    <t>A06298: pH-USP</t>
  </si>
  <si>
    <t>A06297:  CHLORIDE IDENTIFICATION -USP</t>
  </si>
  <si>
    <t>A06296: Calcium Identification -USP</t>
  </si>
  <si>
    <t>A05926: Identification of Phosphate</t>
  </si>
  <si>
    <t>A05919:  Residue After Ignition by ACS Method</t>
  </si>
  <si>
    <t>A05918: Iron in Ammonium Hydroxide by ACS Method</t>
  </si>
  <si>
    <t>A05916: Ammonia by ACS Method</t>
  </si>
  <si>
    <t>A04964:  Chloride Identification-USP</t>
  </si>
  <si>
    <t>A04963:  IDENTIFICATION OF SODIUM</t>
  </si>
  <si>
    <t>A04918:  Chloride Identification by Reaction with Silver Nitrate (USP Test B)</t>
  </si>
  <si>
    <t>A04917: Ammonium Identification by Reaction with Litmus Paper (USP Test A)</t>
  </si>
  <si>
    <t>A04839: PHENOL BY TITRTION WITH SODIUM THIOSULFATE -USP</t>
  </si>
  <si>
    <t>A04837: Clarity of Solution and Reaction to Litmus by USP/JP</t>
  </si>
  <si>
    <t>A04835: Phenol Identification by Reaction with Bromine - USP/JP</t>
  </si>
  <si>
    <t>A04374: L-Serine by Titration with Perchloric Acid - USP</t>
  </si>
  <si>
    <t>A03893:  Water by Karl Fischer</t>
  </si>
  <si>
    <t>A03891: Residue on Evaporation</t>
  </si>
  <si>
    <t>A03890: Methanol by Gas Chromatography</t>
  </si>
  <si>
    <t>A03889: Ethyl Alcohol Identification by Gas Chromatography</t>
  </si>
  <si>
    <t>A03887: Aldehydes and other Foreign Organic Substances</t>
  </si>
  <si>
    <t>A03885: Acetone and Isopropyl Alcohol by USP</t>
  </si>
  <si>
    <t>A03871: Alkalinity</t>
  </si>
  <si>
    <t>A03870: Acidity</t>
  </si>
  <si>
    <t>A03869:  Water by Karl Fischer</t>
  </si>
  <si>
    <t>A03868: Absorbance</t>
  </si>
  <si>
    <t>A03867:  ID Acetonitrile</t>
  </si>
  <si>
    <t>A03865: Color</t>
  </si>
  <si>
    <t>A03253: pH of a 1% Solution</t>
  </si>
  <si>
    <t>A03252: Identification of Phosphate by USP Method</t>
  </si>
  <si>
    <t>A03251:  Identification of Potassium by USP Flame Test</t>
  </si>
  <si>
    <t>A03158: Sodium Chloride</t>
  </si>
  <si>
    <t>A03108: Alkali Phosphate - USPNF</t>
  </si>
  <si>
    <t>A03106: Sulfate - USP/NF</t>
  </si>
  <si>
    <t>A03105: Phosphorous or Hypophosphorous - USP/NF</t>
  </si>
  <si>
    <t>A03104: Nitrate - USP/NF</t>
  </si>
  <si>
    <t>A03103: Phosphoric Acid – USP/NF</t>
  </si>
  <si>
    <t>A03100: Zinc Chloride Assay by ACS Titration</t>
  </si>
  <si>
    <t>A03094: Nitrate in Zinc Chloride by ACS Method</t>
  </si>
  <si>
    <t>A03093: Oxychloride in Zinc Chloride by ACS Method</t>
  </si>
  <si>
    <t>A03090: Chloride Identification by Reaction with Silver Nitrate – USP</t>
  </si>
  <si>
    <t>A03089: Zinc Identification by Reaction with Hydrogen Sulfate</t>
  </si>
  <si>
    <t>A03023: Titratable Base by Reaction with Perchloric Acid-ACS</t>
  </si>
  <si>
    <t>A03020: Substances Reducing Permanganate - ACS</t>
  </si>
  <si>
    <t>A03019: Substances Reducing Dichromate by Titration with Thiosulfate – ACS</t>
  </si>
  <si>
    <t>A03018:  Iron by Color Differentiation – ACS Method 1</t>
  </si>
  <si>
    <t>A03017: Sulfate by Precipitation with Barium Chloride (ACS Procedure A, Method 3)</t>
  </si>
  <si>
    <t>A03016: Chloride by Reaction with Silver Nitrate – ACS</t>
  </si>
  <si>
    <t>A03014: Acetic Acid by Titration with 1N Sodium Hydroxide – USP</t>
  </si>
  <si>
    <t>A03013: Residue after Evaporation – ACS</t>
  </si>
  <si>
    <t>A03012: Acetate Identification by Reaction with Ferric Chloride- USP</t>
  </si>
  <si>
    <t>A03008: Dilution Test by Standard Comparison – ACS</t>
  </si>
  <si>
    <t>A03005: Color by Standard Comparison – ACS</t>
  </si>
  <si>
    <t>A02942: Cysteine Hydrochloride by Titration with Sodium Thiosulfate - USP</t>
  </si>
  <si>
    <t>A02941:  Iron by Color Differentiation - USP</t>
  </si>
  <si>
    <t>G1897: Propionitrile In Recovered Acetonitrile and Virgin Acetonitrile By GC-NC</t>
  </si>
  <si>
    <t>G1864: Aldehydes in Recovered Acetonitrile and In Acetonitrile By Reversed Phase HPLC</t>
  </si>
  <si>
    <t>A02939: Sulfate by Visual Comparison of Turbidity - USP</t>
  </si>
  <si>
    <t>B13269: Determination of Concentration of Methionine-Arginine Lys-Pro Human Proinsulin (MR-KPB-HPI) and Related Substances Profile By Semi-Micro Configured High Performance Liquid Chromatography</t>
  </si>
  <si>
    <t>A02936: Specific Rotation by Polarimetry – USP</t>
  </si>
  <si>
    <t>B13110: Determination of the Purity of Lyspro Drug Substance By Capillary Electrophoresis Isoelectric Focusing</t>
  </si>
  <si>
    <t>A02935: Volatiles by Loss on Drying - USP</t>
  </si>
  <si>
    <t>B12203: Identification of Ammonium - USP - NF</t>
  </si>
  <si>
    <t>B11327: Identification of Amisoy By TLC</t>
  </si>
  <si>
    <t>A02637: Physical Appearance by Comparison to Specification</t>
  </si>
  <si>
    <t>B10865: Thiamine Hydrochloride Assay and Related Substances</t>
  </si>
  <si>
    <t>B10705: Distilling Range and Boiling Point By USP/JP Method I</t>
  </si>
  <si>
    <t>A01157: Mercury in Sodium Hydroxide by Atomic Absorption- ACS</t>
  </si>
  <si>
    <t>B10570: Identification Phosphate - USP/NF</t>
  </si>
  <si>
    <t>B10561: Chloride Identification - USP</t>
  </si>
  <si>
    <t>B10539: Arsenic (Method 1, Apparatus B) - JP</t>
  </si>
  <si>
    <t>B10527: Determination of Residual Protein on Polyester Sampling SWABS Using Microplate BCA Assay</t>
  </si>
  <si>
    <t>A01152: Determination of Solids in Dextrose Solution</t>
  </si>
  <si>
    <t>Concord</t>
  </si>
  <si>
    <t>Product PS1506004AM - MOUNJARO 2.5MG/0.5ML X4PEND AM</t>
  </si>
  <si>
    <t>Product PS1495004AM - MOUNJARO 5MG/0.5ML X4PEND AM</t>
  </si>
  <si>
    <t>Product PS1471004AM - MOUNJARO 10MG/0.5ML X4PEND AM</t>
  </si>
  <si>
    <t>Product PS1460004AM - MOUNJARO 12.5MG/0.5ML X4PEND AM</t>
  </si>
  <si>
    <t>Leaflet PPM Defect Inspection</t>
  </si>
  <si>
    <t>Label PPM Defect Inspection</t>
  </si>
  <si>
    <t>Corrugated PPM Defect Inspection</t>
  </si>
  <si>
    <t>Carton PPM Defect Inspection</t>
  </si>
  <si>
    <t>PPM Physical Inspection</t>
  </si>
  <si>
    <t>PPM Text Inspection</t>
  </si>
  <si>
    <t>PPM General Information</t>
  </si>
  <si>
    <t>Pad PPM Inspection Method</t>
  </si>
  <si>
    <t>Product PS1484004AM - MOUNJARO 7.5MG/0.5ML X4PEND AM</t>
  </si>
  <si>
    <t>Product PS1457004AM - MOUNJARO 15MG/0.5ML X4PEND AM</t>
  </si>
  <si>
    <t>Instrument Types added to DEV3</t>
  </si>
  <si>
    <t>Media Acceptance Testing Sterility Check</t>
  </si>
  <si>
    <t>Building: 1, Area: Bioburden Test, Room: 184</t>
  </si>
  <si>
    <t>Building: 1, Area: Micro Bio ID, Room: 183</t>
  </si>
  <si>
    <t>Building: 1, Area: Endotoxin Test, Room: 185</t>
  </si>
  <si>
    <t>Building: 1, Area: Micro ID PCR Testing, Room: 182</t>
  </si>
  <si>
    <t>Building: 1, Area: Bioassay Lab, Room: 188</t>
  </si>
  <si>
    <t>Building: 1, Area: Bio Waste and Non-Bio Waste, Room: 179</t>
  </si>
  <si>
    <t>Building: 1, Area: High Density Storage, Room: 178</t>
  </si>
  <si>
    <t>Building: 1, Area: RCRA Waste Solvent Storage, Room: 177</t>
  </si>
  <si>
    <t>Building: 1, Area: Particulate Lab, Room: 176</t>
  </si>
  <si>
    <t>Building: 1, Area: Lab Loading Dock, Room: 174</t>
  </si>
  <si>
    <t>Building: 1, Area: Sterility Lab, Room: 173</t>
  </si>
  <si>
    <t>Building: 1, Area: Material Airlock - Sterility Storage, Room: 171A</t>
  </si>
  <si>
    <t>Building: 1, Area: Sterility Storage, Room: 171</t>
  </si>
  <si>
    <t>Building: 1, Area: Environment Monitoring, Room: 169</t>
  </si>
  <si>
    <t>Building: 1, Area: Reference Standards, Room: 168A</t>
  </si>
  <si>
    <t>Building: 1, Area: Weigh Room, Room: 168</t>
  </si>
  <si>
    <t>Building: 1, Area: Stability Chambers 5 C, Room: 166</t>
  </si>
  <si>
    <t>Building: 1, Area: Device, Room: 165</t>
  </si>
  <si>
    <t>Building: 1, Area: Sample Mgmt and Stability, Room: 163</t>
  </si>
  <si>
    <t>Building: 1, Area: RM/Chemical Space, Room: 162</t>
  </si>
  <si>
    <t>Building: 1, Area: Sample &amp; Material Receipt CNC, Room: 161</t>
  </si>
  <si>
    <t>Build Calibration method  AB 3500 XL Genetic Analyzer-Weekly / VeritiPro Thermal Cycler</t>
  </si>
  <si>
    <t>Build calibration method PH and Conductivity Meter: Seven Excellence  S470</t>
  </si>
  <si>
    <t>Build Zwick calibration method Zwick Tensile Testing Machine</t>
  </si>
  <si>
    <t>Build Calibration method TOC M9 - Concord</t>
  </si>
  <si>
    <t>Build Calibration Methods Plate Reader - Endotoxin  - pyrowave</t>
  </si>
  <si>
    <t>Incoming Syringe Placeholder (item code TBD) - PS3837</t>
  </si>
  <si>
    <t>Positive-displacement pipette, 10-100 μL - MR-100</t>
  </si>
  <si>
    <t>Positive-displacement pipette, 100-1000 μL - MR-1000</t>
  </si>
  <si>
    <t>Zwick Tensile Testing Machine - Z2.5 TN</t>
  </si>
  <si>
    <t xml:space="preserve">GramPro 1 gram stain - Quick Slide </t>
  </si>
  <si>
    <t>RTP-CARTON PPM</t>
  </si>
  <si>
    <t>RTP-LEAFLET PPM</t>
  </si>
  <si>
    <t>B10827: Particulate Matter Method</t>
  </si>
  <si>
    <t>G1515: Endotoxin Rinse Method</t>
  </si>
  <si>
    <t>RTP-LABEL PPM -</t>
  </si>
  <si>
    <t>B10236: Bioburden Method Swab and Rinse</t>
  </si>
  <si>
    <t>B02786: Residual Organic Substances in Swabs by Total Organic Carbon Analysis</t>
  </si>
  <si>
    <t>B06295: Total Organic Carbon Analysis of Water by the USP Method</t>
  </si>
  <si>
    <t>QA118Y Product</t>
  </si>
  <si>
    <t>Limerick</t>
  </si>
  <si>
    <t>QA379Z Product</t>
  </si>
  <si>
    <t>QA223X Product</t>
  </si>
  <si>
    <t>QA119A Product</t>
  </si>
  <si>
    <t>KIN-22801: TSA Pre Poured Testing</t>
  </si>
  <si>
    <t>KIN-22801: TSA Pour Plates Testing</t>
  </si>
  <si>
    <t>KIN-22801: SDA RODAC Testing</t>
  </si>
  <si>
    <t>KIN-22801: SDA Pour Plate Testing</t>
  </si>
  <si>
    <t>SingleDispense200mL (Monthly)</t>
  </si>
  <si>
    <t>SingleDispense0.5mL (Monthly)</t>
  </si>
  <si>
    <t>SingleDispense0.2mL (Monthly)</t>
  </si>
  <si>
    <t>SingleDispense0.1mL (Monthly)</t>
  </si>
  <si>
    <t>SingleDispense0.05mL (Monthly)</t>
  </si>
  <si>
    <t>SingleDispense0.02mL (Monthly)</t>
  </si>
  <si>
    <t>SingleDispense0.01mL (Monthly)</t>
  </si>
  <si>
    <t>Type A-D1 2mL Multi (Monthly)</t>
  </si>
  <si>
    <t>Type A-D1 50uL Multi (Monthly)</t>
  </si>
  <si>
    <t>Type A-D1 20uL Multi (Monthly)</t>
  </si>
  <si>
    <t>Type A-D1 10uL Multi (Monthly)</t>
  </si>
  <si>
    <t>Type A-D1 5uL Multi (Monthly)</t>
  </si>
  <si>
    <t>Type A-D1 2uL Multi (Monthly)</t>
  </si>
  <si>
    <t>Type D2 1mL Single (Monthly)</t>
  </si>
  <si>
    <t>Type D2 100uL Single (Monthly)</t>
  </si>
  <si>
    <t>Type D2 20uL Single (Monthly)</t>
  </si>
  <si>
    <t>Type D2 10uL Single (Monthly)</t>
  </si>
  <si>
    <t>Type D2 5uL Single (Monthly)</t>
  </si>
  <si>
    <t>Type A-D1 20mL Mono (Monthly)</t>
  </si>
  <si>
    <t>Type A-D1 5mL Mono (Monthly)</t>
  </si>
  <si>
    <t>Pipette Model- SingleDispense200mL</t>
  </si>
  <si>
    <t>Pipette Model- SingleDispense0.5mL</t>
  </si>
  <si>
    <t>Pipette Model- SingleDispense0.2mL</t>
  </si>
  <si>
    <t>Pipette Model- SingleDispense0.1mL</t>
  </si>
  <si>
    <t>Pipette Model- SingleDispense0.05mL</t>
  </si>
  <si>
    <t>Pipette Model- SingleDispense0.02mL</t>
  </si>
  <si>
    <t>Pipette Model- SingleDispense0.01mL</t>
  </si>
  <si>
    <t>Pipette Model- Type A-D1 2mL Multi</t>
  </si>
  <si>
    <t>Pipette Model- Type A-D1 50µL Multi</t>
  </si>
  <si>
    <t>Pipette Model- Type A-D1 20µL Multi</t>
  </si>
  <si>
    <t>Pipette Model- Type A-D1 10µL Multi</t>
  </si>
  <si>
    <t>Pipette Model- Type A-D1 2µL Multi</t>
  </si>
  <si>
    <t>Pipette Model- Type D2 1mL Single</t>
  </si>
  <si>
    <t>Pipette Model- Type D2 100µL Single</t>
  </si>
  <si>
    <t>Pipette Model- Type D2 20µL Single</t>
  </si>
  <si>
    <t>Pipette Model- Type D2 10µL Single</t>
  </si>
  <si>
    <t>Pipette Model- Type D2 5µL Single</t>
  </si>
  <si>
    <t>Pipette Model- Type A-D1 20mL Mono</t>
  </si>
  <si>
    <t>Pipette Model- Type A-D1 5mL Mono</t>
  </si>
  <si>
    <t>Pipette Model- Type A-D1 50uL Mono</t>
  </si>
  <si>
    <t>Pipette Model- Type A-D1 10uL Mono</t>
  </si>
  <si>
    <t>Pipette Model- Type A-D1 5uL Mono</t>
  </si>
  <si>
    <t>Pipette Model- Type A-D1 3uL Mono</t>
  </si>
  <si>
    <t>Mettler-Toledo balance: XPR205 (daily)</t>
  </si>
  <si>
    <t>KIN-22801: R2A Cassette Testing</t>
  </si>
  <si>
    <t>KIN-22801: FTM Bottle Testing</t>
  </si>
  <si>
    <t>KIN-22801: BHIG Bottle Testing</t>
  </si>
  <si>
    <t>KIN-22801: M-Endo Broth Gel Testing</t>
  </si>
  <si>
    <t>KIN-22801: SDB Bottle Testing</t>
  </si>
  <si>
    <t>KIN-22801: TSB Bottle Testing</t>
  </si>
  <si>
    <t>KIN-22801: SDA Bottle Testing</t>
  </si>
  <si>
    <t>KIN-22801: SDA Cassettes Testing</t>
  </si>
  <si>
    <t>KIN-22801: TSA Cassettes Testing</t>
  </si>
  <si>
    <t>KIN-22801: TSA Bottle Testing</t>
  </si>
  <si>
    <t>Limerick Generic Cleaning Method</t>
  </si>
  <si>
    <t>Type A-D1 5uL Mono (Monthly)</t>
  </si>
  <si>
    <t>Type A-D1 50uL Mono (Monthly)</t>
  </si>
  <si>
    <t>Type A-D1 10uL Mono (Monthly)</t>
  </si>
  <si>
    <t>Type A-D1 3uL Mono (Monthly)</t>
  </si>
  <si>
    <t>Mass Spectrometer: Brunker  Maldi-Tof</t>
  </si>
  <si>
    <t>Incubator - Non-CO2  - Single-door tall:Thermo Scientific  Heratherm IMH400S-SS</t>
  </si>
  <si>
    <t>TOC Analyser:Sievers M9</t>
  </si>
  <si>
    <t>Timer:Traceable Four Channel Traceable Alarm Timer 5004</t>
  </si>
  <si>
    <t>Temperature Probe / Digital Thermometer:VWR  Traceable™ Platinum Ultra-Accurate Digital Thermometer</t>
  </si>
  <si>
    <t>Refrigerator - Single Door:Thermo Scientific TSX3005SV</t>
  </si>
  <si>
    <t>Refrigerator - Double Door:Thermo Scientific TSX5005SV</t>
  </si>
  <si>
    <t>Plate Reader - Endotoxin  - rFC:Lonza  Pyrowave</t>
  </si>
  <si>
    <t>Plate Reader - Endotoxin  - rFC:Lonza  Nebula Multi-Mode Reader</t>
  </si>
  <si>
    <t>PH and Conductivity Meter: Mettler Toledo Seven Excellence  S470</t>
  </si>
  <si>
    <t>Microscope :Nikon eclipse Ci-L</t>
  </si>
  <si>
    <t>Lab Filtration System -milliflex:Merck Millipore Milliflex Oasis</t>
  </si>
  <si>
    <t>Incubator - Non-CO2 - Double-door:Thermo Scientific Heratherm IMH750S-SS</t>
  </si>
  <si>
    <t>Incubator - Non-CO2  - Single-door: Thermo Scientific Heratherm IMH180S-SS</t>
  </si>
  <si>
    <t>Fume Hood: Burdinnola BST</t>
  </si>
  <si>
    <t>Colony Counter:Cole Palmer Stuart SC6 plus</t>
  </si>
  <si>
    <t>Membrane Filtrations System : Merck Millipore Milliflex Quantum</t>
  </si>
  <si>
    <t>Blockheater/ heat block: Stuart SBH130D/3</t>
  </si>
  <si>
    <t>Biosafety Cabinet: Thermo Scientific Herasafe 2030i 1.8 class II A2</t>
  </si>
  <si>
    <t>Bath - Water : Thermo Scientific Precision GP20</t>
  </si>
  <si>
    <t>Bath - Ultrasonic: Fisherbrand Elmasonic Select 40</t>
  </si>
  <si>
    <t>Analytical Balance: Mettler-Toledo XPR205</t>
  </si>
  <si>
    <t>Conductivity Maintenance of the S470-Bio pH/Conductivity Meter</t>
  </si>
  <si>
    <t>KIN-42052 (v3.0): Operation, Calibration and Maintenance of the Pyrowave Plate Reader</t>
  </si>
  <si>
    <t>KIN-41969 (v5.0): Operation, Calibration and Maintenance of the M9 TOC Analyser</t>
  </si>
  <si>
    <t>KIN-30191: Testing of Biological Indicators</t>
  </si>
  <si>
    <t>KIN-19245-007-Water-007: TOC Testing of Utility Water and Cleaning Samples</t>
  </si>
  <si>
    <t>KIN-G1515-ATT-Water: Bacterial Endotoxin Testing of Utility Water</t>
  </si>
  <si>
    <t>KIN-19245-007-Water-004: Nitrates Testing of Utility Water</t>
  </si>
  <si>
    <t>KIN-19245-007-Water-005: Conductivity Testing of Utility Water</t>
  </si>
  <si>
    <t>Column Labels</t>
  </si>
  <si>
    <t>Complete Bucket Time</t>
  </si>
  <si>
    <t>Peer Review Rework Bucket Time</t>
  </si>
  <si>
    <t>Ready for Demo Bucket Time</t>
  </si>
  <si>
    <t>Demo Bucket Time</t>
  </si>
  <si>
    <t>Ready for Client Verification Bucket Time</t>
  </si>
  <si>
    <t>Verification Complete Bucket Time</t>
  </si>
  <si>
    <t>TEST METHOD</t>
  </si>
  <si>
    <t>PRODUCT</t>
  </si>
  <si>
    <t>INSTRUMENT</t>
  </si>
  <si>
    <t>PRODUCT VARIANT</t>
  </si>
  <si>
    <t>SAMPLE PLAN</t>
  </si>
  <si>
    <t>CALIBRATION</t>
  </si>
  <si>
    <t>RAW MATERIAL</t>
  </si>
  <si>
    <t>DRUG SUBSTANCE</t>
  </si>
  <si>
    <t>MICRO METHOD</t>
  </si>
  <si>
    <t>NMP METHOD</t>
  </si>
  <si>
    <t>IN PROCESS</t>
  </si>
  <si>
    <t>FINISHED PRODUCT</t>
  </si>
  <si>
    <t>EMPOWER</t>
  </si>
  <si>
    <t>PHASE 2.5</t>
  </si>
  <si>
    <t>PHASE 3.0</t>
  </si>
  <si>
    <t>FULL BUILD</t>
  </si>
  <si>
    <t>SKELETON BUILD</t>
  </si>
  <si>
    <t>Task ID</t>
  </si>
  <si>
    <t>Sum of Complete Bucket Time</t>
  </si>
  <si>
    <t>Sum of Peer Review Rework Bucket Time</t>
  </si>
  <si>
    <t>Sum of Ready for Demo Bucket Time</t>
  </si>
  <si>
    <t>Sum of Demo Bucket Time</t>
  </si>
  <si>
    <t>Sum of Ready for Client Verification Bucket Time</t>
  </si>
  <si>
    <t>Sum of Verification Complete Bucket Time</t>
  </si>
  <si>
    <t>Label</t>
  </si>
  <si>
    <t>Frequency</t>
  </si>
  <si>
    <t>3. Astrix in progress methods</t>
  </si>
  <si>
    <t>4. Lilly in progress methods</t>
  </si>
  <si>
    <t>1. Out of Scope</t>
  </si>
  <si>
    <t>2. Not started methods</t>
  </si>
  <si>
    <t>5. Complete methods</t>
  </si>
  <si>
    <t>Assigned To</t>
  </si>
  <si>
    <t>Dvfusr1fiECCGTyTMNhgO2UAEy3-</t>
  </si>
  <si>
    <t>Instrument Type: Gauge Block Set</t>
  </si>
  <si>
    <t>Do Not Delete</t>
  </si>
  <si>
    <t>Rhoda Gill - Network;Michael S Mckinney</t>
  </si>
  <si>
    <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</si>
  <si>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this instrument type is used in the caliper and micrometer calibrations.</t>
  </si>
  <si>
    <t>XWafAGJD-UOBHQdATsZhymUAEDEu</t>
  </si>
  <si>
    <t>Instrument Type: BioSafety Cabinet</t>
  </si>
  <si>
    <t>Michael S Mckinney;Jeffrey Halim</t>
  </si>
  <si>
    <t>Instrument;Instrument Types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</si>
  <si>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manufacturer = labconco 
equipment name, line 1 = biological safety cabinet 
equipment name, line 2 = 6' logic+ class ii, type a2 
comments = 10" sash opening; model # = 30261000133281a</t>
  </si>
  <si>
    <t>tRDpyQkUNEC9BicUoNySLGUAPbvo</t>
  </si>
  <si>
    <t>Product, Product Variant, Sample Plan Leaflet PPM</t>
  </si>
  <si>
    <t>13.Verification In Progress</t>
  </si>
  <si>
    <t>Rhoda Gill - Network;Michael S Mckinney;Nicole Simpson;Jeffrey Halim</t>
  </si>
  <si>
    <t>Product</t>
  </si>
  <si>
    <t>config start date: 07/18/2024 
all config blocked start date: 
all config blocked end date: 
config end date:7/15/2024 
 -------------------------------------------------------------------------------------------- 
all peer review start date:07/18/2024 
all peer review end date: 07/18/2024 
all peer review rework required start date: 
all pr rework blocked start date: 
all pr rework blocked end date: 
all peer review rework required end date: 
-------------------------------------------------------------------------------------------- 
all ready for demo date: 07/18/2024 
all demo date: 
all demo rework required start date: 
all demo blocked start date: 
all demo blocked end date: 
all demo rework required end date: 
-------------------------------------------------------------------------------------------- 
all ready for client verification date: 07/18/2024 
verification assigned to: 
all client verification start date: 07/18/2024 
all client verification end date: 
all client rework required start date: 
all client blocked start date: 
all client blocked end date: 
all client rework required end date: 
-------------------------------------------------------------------------------------------- 
verification complete date: 
ready to migrate date: 
--------------------------------------------------------------------------------------------- 
additional information:</t>
  </si>
  <si>
    <t>TDJrRdshSE6TJT1v-F1oeWUAGaGM</t>
  </si>
  <si>
    <t>Product, Product Variant, Sample Plan Carton PPM</t>
  </si>
  <si>
    <t>zTAmgNjWV0C5YniHaTllVWUAJ-cO</t>
  </si>
  <si>
    <t>Product, Product Variant, Sample Plan Label PPM</t>
  </si>
  <si>
    <t>kVEAknnFLkGQWR6Feeb27GUAKHPF</t>
  </si>
  <si>
    <t>Product, Product Variant, Sampling plan for Corrugated PPM</t>
  </si>
  <si>
    <t>C5Xcb__x9UKpZ_fPX7B5rGUAN-RD</t>
  </si>
  <si>
    <t>Micro Equipment Generic Cleaning Method</t>
  </si>
  <si>
    <t>Added to Package</t>
  </si>
  <si>
    <t>Douglas R Sims;Tessa Merryman - Network;Rhoda Gill - Network;Michael S Mckinney;Jeffrey Halim</t>
  </si>
  <si>
    <t>Test Method</t>
  </si>
  <si>
    <t>config start date:07/18/24 
all config blocked start date: 
all config blocked end date: 
config end date:07/15/24 
 -------------------------------------------------------------------------------------------- 
all peer review start date:07/18/24 
all peer review end date:07/18/24 
all peer review rework required start date: 
all pr rework blocked start date: 
all pr rework blocked end date: 
all peer review rework required end date: 
-------------------------------------------------------------------------------------------- 
all ready for demo date:07/18/24 
all demo date: 
all demo rework required start date: 
all demo blocked start date: 
all demo blocked end date: 
all demo rework required end date: 
-------------------------------------------------------------------------------------------- 
all ready for client verification date:07/18/24 
verification assigned to: 
all client verification start date:07/22/24 
all client verification end date:07/22/24 
all client rework required start date: 
all client blocked start date: 
all client blocked end date: 
all client rework required end date: 
-------------------------------------------------------------------------------------------- 
verification complete date:07/22/24 
ready to migrate date: 07/25/2024 
--------------------------------------------------------------------------------------------- 
additional information:</t>
  </si>
  <si>
    <t>AXp8Qmqcx0WtVt9rjJ5eCWUAOA_E</t>
  </si>
  <si>
    <t>12.Ready For Client Verification</t>
  </si>
  <si>
    <t>Test Method;Phase 2.5</t>
  </si>
  <si>
    <t>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date:07/18/2024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</si>
  <si>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TBPtpsI6UEqbuk3iHxWzy2UAALx-</t>
  </si>
  <si>
    <t>Leaflet PPM Dimensional Inspection</t>
  </si>
  <si>
    <t>sop #con-mtd-36582;con-mexf-prd-122883 
config start date:07/17/24 
all config blocked start date:na 
all config blocked end date:na 
config end date:07/17/24 
 -------------------------------------------------------------------------------------------- 
all peer review start date:07/17/24 
all peer review end date:07/17/24 
all peer review rework required start date: 
all pr rework blocked start date: 
all pr rework blocked end date: 
all peer review rework required end date: 
-------------------------------------------------------------------------------------------- 
all ready for demo date:07/17/24 
all demo date:07/17/24 
all demo rework required start date:07/18/24 
all demo blocked start date: 
all demo blocked end date: 
all demo rework required end date:07/19/24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</si>
  <si>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Dww-Jv7ga0SgcGcI-11fKGUAO3LF</t>
  </si>
  <si>
    <t>Carton PPM Dimensional Inspection</t>
  </si>
  <si>
    <t>sop # con-mth-36583;con-mexf-122883 
config start date:06/10/24 
all config blocked start date:na 
all config blocked end date:na 
config end date:06/30/24 
 -------------------------------------------------------------------------------------------- 
all peer review start date:07/12/24 
all peer review end date:07/15/24 
all peer review rework required start date: 
all pr rework blocked start date: 
all pr rework blocked end date: 
all peer review rework required end date: 
-------------------------------------------------------------------------------------------- 
all ready for demo date:07/17/24 
all demo date:07/18/24 
all demo rework required start date: 
all demo blocked start date: 
all demo blocked end date: 
all demo rework required end date: 
-------------------------------------------------------------------------------------------- 
all ready for client verification date: 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</si>
  <si>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P0pQkoo5QEOWP9rKOciivWUAB1jH</t>
  </si>
  <si>
    <t xml:space="preserve">   EZ-Fit Manifold 6-place Millipore EZFITSAM6</t>
  </si>
  <si>
    <t>1.Backlog</t>
  </si>
  <si>
    <t>Instrument;Phase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</si>
  <si>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</si>
  <si>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xQAik7DLg0aIww6pDVs6DWUAKzSQ</t>
  </si>
  <si>
    <t xml:space="preserve">   TE-0055AA Incubator Darwin Chambers TE-0055AA</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</si>
  <si>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</si>
  <si>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lFS3uA9Oo0aqo1ej_aJZNWUACLTR</t>
  </si>
  <si>
    <t xml:space="preserve">   PH-084AA Reach-In Stability Chamber Darwin Chambers PH-084AA</t>
  </si>
  <si>
    <t>igwHPLmUoEaQDxIn1Szd9mUAERDH</t>
  </si>
  <si>
    <t xml:space="preserve">   Glove Integrity Tester (GIT) MK</t>
  </si>
  <si>
    <t>ZT779VFN2k24_svSszdKe2UAOMQA</t>
  </si>
  <si>
    <t xml:space="preserve">   Isolator Skan Spectra</t>
  </si>
  <si>
    <t>5C8nJzb1eE-C4fsuU-bwZWUAPYTY</t>
  </si>
  <si>
    <t xml:space="preserve">   Turbidimeter Hach TL2350</t>
  </si>
  <si>
    <t>3Lc0DoG_fEmxdE7nWrgfomUAJulu</t>
  </si>
  <si>
    <t xml:space="preserve">   Polarimeter Rudolph Autopol III</t>
  </si>
  <si>
    <t>rA1iyz7Yi02japyE6gl_HmUAAPNA</t>
  </si>
  <si>
    <t xml:space="preserve">   Osmometer Tech Pro Advanced Instrument Tech Pro / Model #10513</t>
  </si>
  <si>
    <t>unLlbJa9d0-q-MafXW8bfmUAB8wN</t>
  </si>
  <si>
    <t xml:space="preserve">   Cary UV/Vis Spectrophotometer Agilent G9871A</t>
  </si>
  <si>
    <t>gAVroFe0Q0C45gzCRQvpcGUADZi0</t>
  </si>
  <si>
    <t xml:space="preserve">   HIAC Particle Counter Beckman Coulter 9703+</t>
  </si>
  <si>
    <t>p-y4hhX540W7udbBVdhx_mUAAXKT</t>
  </si>
  <si>
    <t xml:space="preserve">   My Spin 12 mini Centrifuge Fisher Scientific Catalog # 80863018</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</si>
  <si>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</si>
  <si>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8AOFRhgeUUSw3lzDPgMnSGUAKgdl</t>
  </si>
  <si>
    <t xml:space="preserve">   Research Grade Stereo Zoom Microscope Fisher Scientific Vendor Catalog # 3000014</t>
  </si>
  <si>
    <t>1xVDoLS70kqTfR7YcEvXm2UAAisI</t>
  </si>
  <si>
    <t xml:space="preserve">   Advanced Research Grade Upright Microscope Fisher Scientific Vendor Catalog # 3000108</t>
  </si>
  <si>
    <t>zoV_4yfaRUWemreREElZD2UAEmC9</t>
  </si>
  <si>
    <t xml:space="preserve">   Colony Counter Cole Parmer Catalog # 1421204</t>
  </si>
  <si>
    <t>qFkdl95oGUqy9WWlY9a_omUAOsuI</t>
  </si>
  <si>
    <t>Calibration Method - Isolator Skan Spectra</t>
  </si>
  <si>
    <t>Instrument;Calibration Method;Phase 3;New</t>
  </si>
  <si>
    <t>epzoX3KcbkanUM6QpFelxWUAKTN_</t>
  </si>
  <si>
    <t>Calibration Method - Turbidimeter Hach TL2350</t>
  </si>
  <si>
    <t>onfQBvC4NEuLPOZyVyX_1GUAGyK_</t>
  </si>
  <si>
    <t>Calibration Method - Polarimeter Rudolph Autopol III</t>
  </si>
  <si>
    <t>PPLkGtaSHUqeSPTVbard1mUAMALi</t>
  </si>
  <si>
    <t xml:space="preserve">   Calibration Method - Osmometer Tech Pro Advanced Instrument Tech Pro / Model #10513</t>
  </si>
  <si>
    <t>4.Blocked</t>
  </si>
  <si>
    <t>Gregory Barrantes - Network</t>
  </si>
  <si>
    <t>Instrument;Calibration Method;blocked;Phase 3;New</t>
  </si>
  <si>
    <t>config start date:7/24/2024 
all config blocked start date:7/29/2024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waiting on response from john wrights or josh about reflex rules and instruments</t>
  </si>
  <si>
    <t>CpIO_boXX0aQRw4D7FSPzGUAGB4w</t>
  </si>
  <si>
    <t xml:space="preserve"> Calibration Method - Cary UV/Vis Spectrophotometer Agilent G9871A</t>
  </si>
  <si>
    <t>tKQJjz2CC0iXcW1PQ8bqfmUAJhZH</t>
  </si>
  <si>
    <t>Calibration Method - HIAC Particle Counter Beckman Coulter 9703+</t>
  </si>
  <si>
    <t>D-mY6V6MMEurrcNDODNFPGUANEZw</t>
  </si>
  <si>
    <t xml:space="preserve">   Chloride Identification for Hydrochloric Acid (ID B - EP)</t>
  </si>
  <si>
    <t>Test Method;Skeleton Build;Phase 3;New</t>
  </si>
  <si>
    <t>il-6UwcumU-9PALFzNyfVWUAK_hE</t>
  </si>
  <si>
    <t xml:space="preserve">   Stage 2 Testing by LC/MS for Unspecified Impurity Testing of Tirzepatide</t>
  </si>
  <si>
    <t>5A5whQvHpkeVdbS2Six83WUAKxzo</t>
  </si>
  <si>
    <t xml:space="preserve">   Sodium Hydroxide Concentration by Titration</t>
  </si>
  <si>
    <t>XYIQToN3Mk2jjYekiyXgimUAHuj9</t>
  </si>
  <si>
    <t xml:space="preserve">   Identification pH for Sodium Hydroxide</t>
  </si>
  <si>
    <t>1l68-K1xb0KjviCcoFctkWUAOq6L</t>
  </si>
  <si>
    <t xml:space="preserve">   Identification pH for Hydrochloric Acid (ID A - EP)</t>
  </si>
  <si>
    <t>08JQ7RJWYk2GOPz7cetWuWUAKQvh</t>
  </si>
  <si>
    <t xml:space="preserve">   Hydrochloric Acid Concentration by Titration (ID C - EP)</t>
  </si>
  <si>
    <t>a3NZS6ZkxU6dpdzuapvhpGUALe72</t>
  </si>
  <si>
    <t xml:space="preserve">   Microbial Enumeration Tests for Specified Organisms (Water Soluble Items)</t>
  </si>
  <si>
    <t>69OcTSRdxEK6DF2RLxe5VmUACWgS</t>
  </si>
  <si>
    <t xml:space="preserve">   Sulfate Determination in Dibasic Sodium Phosphate (EP)</t>
  </si>
  <si>
    <t>s9BJ79Pps0aLwjQOmlZUnmUAEoQh</t>
  </si>
  <si>
    <t xml:space="preserve">   Determination of Insoluble Substances in Sodium Phosphate Dibasic (JP)</t>
  </si>
  <si>
    <t>GCMoHt6V5UGnvwFsSGBj8GUAAWSB</t>
  </si>
  <si>
    <t xml:space="preserve">   Determination of Insoluble Substances in Sodium Phosphate Dibasic (USP)</t>
  </si>
  <si>
    <t>QV2eplJ4Ok20Kzhw9ZcYimUAMxm8</t>
  </si>
  <si>
    <t xml:space="preserve">   Determination of Reducing Substances in Dibasic Sodium Phosphate (EP)</t>
  </si>
  <si>
    <t>cpew81NSikmrCjcEiw-3eWUAMO-r</t>
  </si>
  <si>
    <t xml:space="preserve">   Appearance of Solution - Color and Clarity for Dibasic Sodium Phosphate Crystal (EP)</t>
  </si>
  <si>
    <t>1CGCLjbNf0Kgr7z9ghXiA2UABUEr</t>
  </si>
  <si>
    <t xml:space="preserve">   ID by Alkalinity (JP)</t>
  </si>
  <si>
    <t>qqE56lIQeUykSjWn6FfW6GUAID2H</t>
  </si>
  <si>
    <t xml:space="preserve">   pH determination of Dibasic Sodium Phosphate (JP)</t>
  </si>
  <si>
    <t>DGpDpYJaK0-IGA9QBxvrHmUAJRrt</t>
  </si>
  <si>
    <t xml:space="preserve">   Volatiles for Loss on Drying for Dibasic Sodium Phosphate (USP)</t>
  </si>
  <si>
    <t>UmYi0yzw80GRQf72ESXtTGUAIb6x</t>
  </si>
  <si>
    <t xml:space="preserve">   Iron Determination in Dibasic Sodium Phosphate (EP)</t>
  </si>
  <si>
    <t>xtArLmeAR0OYSq7tT1Cq7WUAHVa6</t>
  </si>
  <si>
    <t xml:space="preserve">   Determination of Heavy Metals</t>
  </si>
  <si>
    <t>MJqTX2gSbk2iiNSTI321LmUAC3Yi</t>
  </si>
  <si>
    <t xml:space="preserve">   Determination of Sodium Phosphate in Dibasic Sodium Phosphate (USP)</t>
  </si>
  <si>
    <t>YCM1yv42xkeNJcrpNgiI7mUANz_m</t>
  </si>
  <si>
    <t xml:space="preserve">   Chloride Determination in Dibasic Sodium Phosphate</t>
  </si>
  <si>
    <t>9cW_yzMSmEqW-tDUOhCnKmUAPBmV</t>
  </si>
  <si>
    <t xml:space="preserve">   Determination of Carbonate in Dibasic Sodium Phosphate</t>
  </si>
  <si>
    <t>-f5KxuWw1kedDM4585x-PGUABV6X</t>
  </si>
  <si>
    <t xml:space="preserve">   Bacterial Endotoxin Test by Kinetic Chromogenic Method</t>
  </si>
  <si>
    <t>KML5atoOckOrBrC2mh4elGUAJuo9</t>
  </si>
  <si>
    <t xml:space="preserve">   B10539: Arsenic Determination in Raw Materials</t>
  </si>
  <si>
    <t>IoAIUjPII0a-yYqzJZaW4WUAAycA</t>
  </si>
  <si>
    <t xml:space="preserve">   JP 4.05: Total Aerobic Microbial CountTotal Combined Yeasts and Mold Counts</t>
  </si>
  <si>
    <t>cpLz6t2fQEyMdZKWmnbGJGUADS-u</t>
  </si>
  <si>
    <t xml:space="preserve">   JP 2.48: Determination of Water Content</t>
  </si>
  <si>
    <t>BzbrWX9Lpk2uvR7THgMpUmUAIFRY</t>
  </si>
  <si>
    <t xml:space="preserve">   G2255: Determination of Residual Solvents in Tirzepatide</t>
  </si>
  <si>
    <t>jf412EMhBU2Nu7i6DfcCs2UAMEFy</t>
  </si>
  <si>
    <t xml:space="preserve">   G1907: Dye Ingress Container Closure Integrity Method for Liquid Drug Products</t>
  </si>
  <si>
    <t>Test Method;Full Build;Phase 3;New</t>
  </si>
  <si>
    <t>I6mL00zgD06kSfvVQrILS2UAPBmh</t>
  </si>
  <si>
    <t xml:space="preserve">   CON-CC00114**: Conductivity Analysis of the Water by USP method</t>
  </si>
  <si>
    <t>9oSTUtFFj0iL2B6Eceh8aGUAFdOq</t>
  </si>
  <si>
    <t>TBD - Sodium Identification for Sodium Hydroxide</t>
  </si>
  <si>
    <t>fFfrAE76c0OSnd3IK5z0ImUACbxC</t>
  </si>
  <si>
    <t>TBD - Sodium Identification for Dibasic Sodium Phosphate (JP)</t>
  </si>
  <si>
    <t>V-D0pKZGUkmWAKIrOfyJTGUAAyzk</t>
  </si>
  <si>
    <t>TBD - Sodium Identification for Dibasic Sodium Phosphate (USP)</t>
  </si>
  <si>
    <t>mdcNdQYD3k6licB269OXXmUAC7O4</t>
  </si>
  <si>
    <t>TBD - Identification of Phosphate in Dibasic Sodium Phosphate (EP)</t>
  </si>
  <si>
    <t>8rc4bfy3Tk-MaoL1TCm5SmUAOXHd</t>
  </si>
  <si>
    <t>TBD - Sodium Identification for Sodium Chloride (JP)</t>
  </si>
  <si>
    <t>5XiX5fnr5kGxBEmawQo1XWUAAar8</t>
  </si>
  <si>
    <t>TBD - Sodium Identification for Sodium Chloride (EP)</t>
  </si>
  <si>
    <t>mZOS_MqgWEubCbbJLO4OgGUAL7bt</t>
  </si>
  <si>
    <t>TBD - Chloride Identification for Sodium Chloride (JP)</t>
  </si>
  <si>
    <t>K0omJUIRlkis-r2TOcgsr2UADerK</t>
  </si>
  <si>
    <t>TBD - Chloride Identification for Sodium Chloride (EP)</t>
  </si>
  <si>
    <t>LXIUi3QwFkGg76MzZCf_FGUABWYP</t>
  </si>
  <si>
    <t>PS1506 (Full Item Code TBD) - Placeholder for R8Wet PV Semi-Finished</t>
  </si>
  <si>
    <t>Product;Phase 3;New</t>
  </si>
  <si>
    <t>gARnXVDIokytbhsp0pmPDGUAEvnS</t>
  </si>
  <si>
    <t>PS1495 (Full Item Code TBD) - Placeholder for R8Wet PV Semi-Finished</t>
  </si>
  <si>
    <t>DgHcSgfeKEi7IvE4x2EC7WUAMTX1</t>
  </si>
  <si>
    <t>PS1484 (Full Item Code TBD) - Placeholder for R8Wet PV Semi-Finished</t>
  </si>
  <si>
    <t>OCnmf8DgXkGxLwlbWPP19mUABTAu</t>
  </si>
  <si>
    <t>PS1471 (Full Item Code TBD) - Placeholder for R8Wet PV Semi-Finished</t>
  </si>
  <si>
    <t>KEL-hezVtkGHuGyEQVdQLmUAJtdZ</t>
  </si>
  <si>
    <t>PS1462 (Full Item Code TBD) - Placeholder for R8Wet PV Semi-Finished</t>
  </si>
  <si>
    <t>0JXiOtGN20md0jpEAZc30WUAEbJ5</t>
  </si>
  <si>
    <t>PS1457 (Full Item Code TBD) - Placeholder for R8Wet PV Semi-Finished</t>
  </si>
  <si>
    <t>CdcwN1qvzE6x-P9UpOulF2UAENO6</t>
  </si>
  <si>
    <t>PS4170 (Full Item Code TBD) - Tirzepatide Syringe (2.5 mg/0.5 mL) Finished Goods</t>
  </si>
  <si>
    <t>YHrs6-S0lEq_crKJdIORH2UAIgfx</t>
  </si>
  <si>
    <t>PS4043 (Full Item Code TBD) - Tirzepatide Syringe (5 mg/0.5 mL) Finished Goods</t>
  </si>
  <si>
    <t>kmdHNIGDHkWokM8HfCEIDGUABlri</t>
  </si>
  <si>
    <t>PS3837 (Full Item Code TBD) - Tirzepatide Syringe (7.5 mg/0.5 mL) Finished Goods</t>
  </si>
  <si>
    <t>022eH50Kl0KfAF_u7qZi8GUAEPyt</t>
  </si>
  <si>
    <t>PS3681 (Full Item Code TBD) - Tirzepatide Syringe (10 mg/0.5 mL) Finished Goods</t>
  </si>
  <si>
    <t>sD3lFckbhEieac7bLPtrT2UAOEXH</t>
  </si>
  <si>
    <t>PS3516 (Full Item Code TBD) - Tirzepatide Syringe (12.5 mg/0.5 mL) Finished Goods</t>
  </si>
  <si>
    <t>LY_QEhpNZkKRVHs6r8q9HGUAEK8k</t>
  </si>
  <si>
    <t>PS3325 (Full Item Code TBD) - Tirzepatide Syringe (15 mg/0.5 mL) Finished Goods</t>
  </si>
  <si>
    <t>dmmJtdYyI0uDeDaDqma4XWUADC0h</t>
  </si>
  <si>
    <t>P3aBg6-rxUaSfb1pDY2TemUADa71</t>
  </si>
  <si>
    <t>flSeJNVgK0u52N_ihA9OUWUALkYt</t>
  </si>
  <si>
    <t>QA057S - Sodium Hydroxide Incoming Material</t>
  </si>
  <si>
    <t>fhRPsyK3rUClFiNL3JfxFWUADxRJ</t>
  </si>
  <si>
    <t>QA029M - Hydrochloric Acid Incoming Material</t>
  </si>
  <si>
    <t>gvqnHO5y_U2_nJm4D6KUI2UAL6u7</t>
  </si>
  <si>
    <t>QA048G - Disodium Phosphate Incoming Material</t>
  </si>
  <si>
    <t>RR3Kjzmr-kWaXR42SvTw5mUAP9BQ</t>
  </si>
  <si>
    <t>QA0698Q - Tirzepatide Drug Substance Incoming Material</t>
  </si>
  <si>
    <t>KoMXvcYc-0-NpaMRRLQhh2UAGtGi</t>
  </si>
  <si>
    <t>GC8NjisDakup29ozrcapTGUAGX8G</t>
  </si>
  <si>
    <t>zaFYaEIo4E2kRRsVUqnBd2UAHTHd</t>
  </si>
  <si>
    <t>QA048GV1E - Disodium Phosphate Incoming Material</t>
  </si>
  <si>
    <t>_4Coi0wpJkqHOnbQB4gvcWUAD0EZ</t>
  </si>
  <si>
    <t>TBD - Placeholder for R8Wet PQ Semi-Finished</t>
  </si>
  <si>
    <t>Jeffrey Halim</t>
  </si>
  <si>
    <t>Product;Phase 2.5;New</t>
  </si>
  <si>
    <t>a2uKjpElv0aLDN3VvABlS2UALrAC</t>
  </si>
  <si>
    <t>B11081 - Genetic Microbial Identification</t>
  </si>
  <si>
    <t>Test Method;Full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</si>
  <si>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</si>
  <si>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stNH0lmh2kC1W5ryei2LNWUAL_vl</t>
  </si>
  <si>
    <t>Update Instrument Master Data to link updated worksheet</t>
  </si>
  <si>
    <t>Michael S Mckinney</t>
  </si>
  <si>
    <t>Instrument</t>
  </si>
  <si>
    <t>sogqS97kjEK7jiHhFOjycWUAASfL</t>
  </si>
  <si>
    <t>A00158 - Physical Inspection</t>
  </si>
  <si>
    <t>Test Method;Full Build;Phase 3;New;am</t>
  </si>
  <si>
    <t>S8CbKH8X2U-plBLReW5vvmUAMNfR</t>
  </si>
  <si>
    <t>B13167 - Filled Syringe Glide Force Test Method</t>
  </si>
  <si>
    <t>5.Configuration Complete</t>
  </si>
  <si>
    <t>Tessa Merryman - Network;Gregory Barrantes - Network</t>
  </si>
  <si>
    <t>config start date:07/09/2024 
all config blocked start date:7/11/2024;7/19/2024 
all config blocked end date:7/16/2024;7/23/2024 
config end date:07/23/2024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-specifications for products still needed 
-specifications for sample still pending to know if they are test method related or product related 
-consumables still needed (shannon already answer this) 
-test method id: b13167</t>
  </si>
  <si>
    <t>jwP7UU6qS0aXUMOsK7y7amUAKBPS</t>
  </si>
  <si>
    <t>B02786 - Residual TOC for Swabs</t>
  </si>
  <si>
    <t>3.Configuration In Progress</t>
  </si>
  <si>
    <t>Tim Patch - Network</t>
  </si>
  <si>
    <t>config start date:07/15/24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</si>
  <si>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ofVYebNvN0aojE66fUtduWUABuv_</t>
  </si>
  <si>
    <t>CC00001 - Volume in Container of Parenteral Preparations</t>
  </si>
  <si>
    <t>Joseph Alexander - Network</t>
  </si>
  <si>
    <t>config start date: 7/9/2024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</si>
  <si>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xUeESUbQ6kSyf0qGKhjkV2UACWpc</t>
  </si>
  <si>
    <t>CC00331 - Visible and Physical Appearance</t>
  </si>
  <si>
    <t>Rhoda Gill - Network;Tim Patch - Network</t>
  </si>
  <si>
    <t>config start date:07/08/24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</si>
  <si>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Jul7b_YQbUGqqEIcCOBW5WUABSny</t>
  </si>
  <si>
    <t>B06909 - Sterility Testing</t>
  </si>
  <si>
    <t>Juliana Masis - Network</t>
  </si>
  <si>
    <t>config start date: 7/10/24 
all config blocked start date: 7/12/24; 7/17/24; 
all config blocked end date: 7/15/24; 7/23/24;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</si>
  <si>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RsnvB2l1zUypcPUujsNgemUABjVU</t>
  </si>
  <si>
    <t>CC00141 - pH Determination for monoclonal antibody (MAB) Drug Product</t>
  </si>
  <si>
    <t>Test Method;Global Overlap Build;Full Build;Phase 3;New</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</si>
  <si>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branchburg also*</t>
  </si>
  <si>
    <t>1MxrVpbJJU-2j03Tjjs1MmUAF-E7</t>
  </si>
  <si>
    <t>B10827 - Examination by Particulate Matter</t>
  </si>
  <si>
    <t>config start date: 07/24/2024 
all config blocked start date: 07/29/2024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</si>
  <si>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wcgxJdrTu06K2T4QNc27CmUADuLx</t>
  </si>
  <si>
    <t>G2132 - High Molecular Weight Species of Tirzepatide Drug Substance and Drug Product by Size Exclusion HPLC</t>
  </si>
  <si>
    <t>QM06rJbsSEeQC96JTjxjRWUAJpiA</t>
  </si>
  <si>
    <t>A00147 - Degree of Coloration in Liquids</t>
  </si>
  <si>
    <t>Caroline Morice - Network</t>
  </si>
  <si>
    <t>config start date: 07/15/2024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</si>
  <si>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xJbUgc3Z-UiLwRjJsIvSGmUAMtHh</t>
  </si>
  <si>
    <t>CC00156 - Determination of Clarity by Ratio Turbidimeter</t>
  </si>
  <si>
    <t>CK49J6vnV0OqjU9WJ4UEkmUALKas</t>
  </si>
  <si>
    <t>CC00007 - Microbial Enumeration Tests - Before Filtration Bioburden</t>
  </si>
  <si>
    <t>Mariana Torres - Network</t>
  </si>
  <si>
    <t>config start date: 7/23/ 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</si>
  <si>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OlLAAeLxUEWNuTzz7XJ4wmUAMPty</t>
  </si>
  <si>
    <t>G2125 - Determination of Tirzepatide peptide concentration by UV-Vis Spectrophotometry</t>
  </si>
  <si>
    <t>config start date: 7/15/2024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</si>
  <si>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S_fi17z-SESpjM_SSxEzMWUAP9KC</t>
  </si>
  <si>
    <t>CC00138 - Osmolality</t>
  </si>
  <si>
    <t>7.Peer Review - Rework Req.</t>
  </si>
  <si>
    <t>Test Method;Instrument;Full Build;Phase 3;New;am</t>
  </si>
  <si>
    <t>config start date:7/16/2024 
all config blocked start date:7/19/2024 
all config blocked end date:7/24/2024 
config end date:7/24/2024 
 -------------------------------------------------------------------------------------------- 
all peer review start date:7/31/2024 
all peer review end date:7/31/2024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still waiting on michael answer about sampling plan(group 1 doubt) (already answered) 
ask rhoda for instrument calibration and consumables 
instrument calibration in separated test method</t>
  </si>
  <si>
    <t>i3nBx0ZSRU6KsFa8t7lA4WUAJBZu</t>
  </si>
  <si>
    <t>G1362 - Raw Material Verification by Raman Spectroscopy</t>
  </si>
  <si>
    <t>8.Ready For Demo</t>
  </si>
  <si>
    <t>Gregory Barrantes - Network;Tessa Merryman</t>
  </si>
  <si>
    <t>config start date:07/11/2024 
all config blocked start date: 
all config blocked end date: 
config end date:7/15/2024 
 -------------------------------------------------------------------------------------------- 
all peer review start date:7/15/2024 
all peer review end date:7/15/2024 
all peer review rework required start date:7/15/2024 
all pr rework blocked start date: 
all pr rework blocked end date: 
all peer review rework required end date:7/15/2024 
-------------------------------------------------------------------------------------------- 
all ready for demo date:7/15/2024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</si>
  <si>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QIA7OM1sS0OnobVP1ClYOmUAJhv8</t>
  </si>
  <si>
    <t>G2425 - HPLC Fingerprint Analysis of Enzymatic Digestion Fragments of Tirzepatide</t>
  </si>
  <si>
    <t>config start date:7/31/2024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</si>
  <si>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BxMxdwMjT06REuPMjgdMP2UAIHi1</t>
  </si>
  <si>
    <t>ID TBD - Evaluation of Total Viable Spore Count and Purity of Biological Indicator for Steam Sterilization</t>
  </si>
  <si>
    <t>Test Method;Full Build;Skeleton Build;Phase 3;New</t>
  </si>
  <si>
    <t>YZ8UjItu7UifQCnqfwoPnGUAAYCV</t>
  </si>
  <si>
    <t>ID TBD - Growth Promotion Test Method</t>
  </si>
  <si>
    <t>Test Method;Global Overlap Build;Phase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</si>
  <si>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in-progress with lim build. align build progress with doug sims</t>
  </si>
  <si>
    <t>1YoYE7DakE-odj9NmK2r_2UADQTt</t>
  </si>
  <si>
    <t>CON-CM00012 - Nitrates Testing</t>
  </si>
  <si>
    <t>V26-ZD9iFUqUicYB-TgzlWUAHvF7</t>
  </si>
  <si>
    <t>CON-CC00113 - TOC of Water (USP)</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</si>
  <si>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</si>
  <si>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e2RargUetkOWEDQ1AVUjtGUAMY83</t>
  </si>
  <si>
    <t>G1515 -Safety Test for the Detection of Bacterial Endotoxins in Various Products by Endpoint Fluorescence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</si>
  <si>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winkqcl interface</t>
  </si>
  <si>
    <t>8IFTHx4sK0ioaOg5ulJagWUADMhC</t>
  </si>
  <si>
    <t>G2133 - Determination of Identity, Assay and Purity of Tirzepatide using Reversed Phase Liquid Chromatography with UV Detection</t>
  </si>
  <si>
    <t>Test Method;Phase 3</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</si>
  <si>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*need empower interface</t>
  </si>
  <si>
    <t>hSELM9ZHyEGd_MGdzDF8lmUAEzJH</t>
  </si>
  <si>
    <t>Product PS1506 - TZP PEN 2.5MG/0.5ML 400L HYB BD - Normal Sampling Plan</t>
  </si>
  <si>
    <t>Product;blocked;Phase 2.5</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</si>
  <si>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</si>
  <si>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bGKIcjr4akWyHJZZUXkAiWUAKqmS</t>
  </si>
  <si>
    <t>Product PS1495 - TZP PEN 5MG/0.5ML 400L HYB BD - Normal Sampling Plan</t>
  </si>
  <si>
    <t>B60el85D20OarrciST55KWUAAQ53</t>
  </si>
  <si>
    <t>Product PS1484 - TZP PEN 7.5MG/0.5ML 400L HYB BD - Normal Sampling Plan</t>
  </si>
  <si>
    <t>DHnt7gyWQEuglac6FcuP1WUAOh0k</t>
  </si>
  <si>
    <t>Product PS1471 - TZP PEN 10MG/0.5ML 400L HYB BD - Normal Sampling Plan</t>
  </si>
  <si>
    <t>Ua8debIVRUqabf5IVkNtB2UAJrRW</t>
  </si>
  <si>
    <t>Product PS1462 - TZP PEN 12.5MG/0.5ML 400L HYB BD - Normal Sampling Plan</t>
  </si>
  <si>
    <t>vYRgTIrV6UmFgoM-f20ufGUAAEuT</t>
  </si>
  <si>
    <t>Product PS1457 - TZP PEN 15MG/0.5ML 400L HYB BD - Normal Sampling Plan</t>
  </si>
  <si>
    <t>T9kY9riI6UO7NhrZKRVl4mUAF22l</t>
  </si>
  <si>
    <t>Rhoda Gill - Network;Michael S Mckinney;Nicole Simpson</t>
  </si>
  <si>
    <t>Product;Phase 2.5</t>
  </si>
  <si>
    <t>sop #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</si>
  <si>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Gy5z7sS6EUaSzUSwV9Ou32UAJ-DQ</t>
  </si>
  <si>
    <t>NYi1D4kfd0uFzZN-BzKP3mUAI91a</t>
  </si>
  <si>
    <t>aP58kJRH60e9fufaXt5t-WUALSEr</t>
  </si>
  <si>
    <t>sop # gql-sop-773 
config start date:07/01/24 
all config blocked start date:na 
all config blocked end date:na 
config end date:07/01/24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date:07/01/24  
verification assigned to: tim patch 
all client verification start date: 07/01/24 
all client verification end date: 07/01/24 
all client rework required start date:na 
all client blocked start date:na 
all client blocked end date:na 
all client rework required end date:na 
-------------------------------------------------------------------------------------------- 
verification complete date:07/01/24 
ready to migrate date: 07/25/2024</t>
  </si>
  <si>
    <t>y0Isih9MIk2K6Bgs-HepwWUAORtI</t>
  </si>
  <si>
    <t>Product, Product Variant, Sampling Plan for BioIndicator</t>
  </si>
  <si>
    <t>Rhoda Gill - Network;Michael S Mckinney;Jeffrey Halim</t>
  </si>
  <si>
    <t>config start date:06/30/2024 
all config blocked start date:na  
all config blocked end date:na  
config end date:04/28/24  
 --------------------------------------------------------------------------------------------  
all peer review start date: 06/30/2024 
all peer review end date: 06/30/2024 
all peer review rework required start date:  
all pr rework blocked start date:  
all pr rework blocked end date:  
all peer review rework required end date:  
--------------------------------------------------------------------------------------------  
all ready for demo date: 07/08/2024 
all demo date: 07/08/2024 
all demo rework required start date:  
all demo blocked start date:  
all demo blocked end date:  
all demo rework required end date:  
--------------------------------------------------------------------------------------------  
all ready for client verification date: 07/08/2024 
verification assigned to:keith p parsons  
all client verification start date:06/03/24  
all client verification end date:  
all client rework required start date:  
all client blocked start date:  
all client blocked end date:  
all client rework required end date:  
--------------------------------------------------------------------------------------------  
verification complete date: 07/25/2024 
ready to migrate date: 07/25/2024</t>
  </si>
  <si>
    <t>6amlcmICoUWcAjvGBEQOTGUAFh2x</t>
  </si>
  <si>
    <t>Sample Type, Sample Template, Batch Template BioIndicator</t>
  </si>
  <si>
    <t>Douglas R Sims;Rhoda Gill - Network;Michael S Mckinney</t>
  </si>
  <si>
    <t>Sample Template;Sample Type;Batch Template</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</si>
  <si>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06/27/2024 
verification assigned to: 
all client verification start date: 
all client verification end date: 
all client rework required start date: 
all client blocked start date: 
all client blocked end date: 
all client rework required end date: 
-------------------------------------------------------------------------------------------- 
verification complete date:07/25/2024 
ready to migrate date: 0725/2024 
--------------------------------------------------------------------------------------------- 
additional information: 
added the sample type, sample template and batch template of bioindicator. need to move over to pre-stg so the product and product variant can be added manually.</t>
  </si>
  <si>
    <t>xn-iOjXp-0uLa_DohEy-8GUAIskQ</t>
  </si>
  <si>
    <t>Product and Product Variant and sampling plan for BioIndicators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</si>
  <si>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07/14/2024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 only sampling plan, product and product variant have to be manually entered.  
--------------------------------------------------------------------------------------------- 
additional information: 
will manually create in pre-stg as the product type changed and since batches were already created it will not let us change.</t>
  </si>
  <si>
    <t>F27eDGmfMUiMIDHGstgkvWUAEwtc</t>
  </si>
  <si>
    <t>PPM-Caliper-Calibration-Daily</t>
  </si>
  <si>
    <t>Michael S Mckinney;Nicole Simpson;Joseph Alexander - Network;Jeffrey Halim;Rhoda Gill</t>
  </si>
  <si>
    <t>Instrument;Calibration Method;Phase 2.5</t>
  </si>
  <si>
    <t>config start date:06/21/24 
all config blocked start date:na 
all config blocked end date:na 
config end date:06/24/24 
 -------------------------------------------------------------------------------------------- 
all peer review start date: 07/15/2024 
all peer review end date: 07/15/2024 
all peer review rework required start date: 
all pr rework blocked start date: 
all pr rework blocked end date: 
all peer review rework required end date: 
-------------------------------------------------------------------------------------------- 
all ready for demo date: 07/16/2024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</si>
  <si>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d4CbLfpQDkeaOUTuLkVOTWUADk5L</t>
  </si>
  <si>
    <t>PPM-Micrometer-Calibration-Daily</t>
  </si>
  <si>
    <t>Tim Patch - Network;Michael S Mckinney;Nicole Simpson;Jeffrey Halim;Rhoda Gill</t>
  </si>
  <si>
    <t>sop # 
config start date:06/21/24 
all config blocked start date:na 
all config blocked end date:na 
config end date:06/25/24 
 -------------------------------------------------------------------------------------------- 
all peer review start date: 07/15/2024 
all peer review end date: 07/15/2024 
all peer review rework required start date: 
all pr rework blocked start date: 
all pr rework blocked end date: 
all peer review rework required end date: 
-------------------------------------------------------------------------------------------- 
all ready for demo date: 07/15/2024 
all demo date: 07/18/2024 
all demo rework required start date: 
all demo blocked start date: 
all demo blocked end date: 
all demo rework required end date: 
-------------------------------------------------------------------------------------------- 
all ready for client verification date: 07/18/2024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</si>
  <si>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WaiMG5CDik295BmVklIIPmUAFN-S</t>
  </si>
  <si>
    <t>Tim Patch - Network;Michael S Mckinney;Joseph Alexander - Network;Jeffrey Halim;Rhoda Gill</t>
  </si>
  <si>
    <t>sop # con-mth-36582, con-mexf-32327, con-mth-prd-123525 
config start date:03/27/24 
all config blocked start date:05/06/24 
all config blocked end date:06/17/19 
config end date:06/20/24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07/17/2024 
ready for re-demo: 07/17/2024 
-------------------------------------------------------------------------------------------- 
all ready for client verification date:07/19/24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</si>
  <si>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bddubYKg80uBNO_IsN2YmWUABSk5</t>
  </si>
  <si>
    <t>Tim Patch - Network;Michael S Mckinney;Joseph Alexander - Network;Rhoda Gill</t>
  </si>
  <si>
    <t>sop #con-mth-36600, con-mexf-122883 
config start date:03/27/24 
all config blocked start date:05/06/24 
all config blocked end date:06/10/24 
config end date:06/20/24;06/21/2024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date:07/17/2024 
all demo blocked start date: 
all demo blocked end date: 
all demo rework required end date:07/19/2024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06/21/2024 updates were given</t>
  </si>
  <si>
    <t>-DIZmvtuL0eG6rcezHF-p2UAD0uZ</t>
  </si>
  <si>
    <t>sop # con-mth-36601 
config start date:03/27/24 
all config blocked start date:na 
all config blocked end date:na 
config end date:06/20/24, 06/21/2024 updated informaton 
 -------------------------------------------------------------------------------------------- 
all peer review start date: 07/15/2024 
all peer review end date: 07/17/2024 
all peer review rework required start date: 
all pr rework blocked start date: 
all pr rework blocked end date: 
all peer review rework required end date: 
-------------------------------------------------------------------------------------------- 
all ready for demo date: 07/17/2024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</si>
  <si>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jVWrlSA9sk-QRJ8epUw4vmUAFtIw</t>
  </si>
  <si>
    <t>Tim Patch - Network;Michael S Mckinney;Nicole Simpson;Joseph Alexander - Network;Rhoda Gill</t>
  </si>
  <si>
    <t>sop #con-mth-36583, con-mexf-122883, con-prd-123525 
config start date:03/27/24 
all config blocked start date:na 
all config blocked end date:na 
config end date:06/20/24, updates given 06/21/2024 
 -------------------------------------------------------------------------------------------- 
all peer review start date: 07/12/2024 
all peer review end date: 07/16/2024 
all peer review rework required start date: 
all pr rework blocked start date: 
all pr rework blocked end date: 
all peer review rework required end date: 
-------------------------------------------------------------------------------------------- 
all ready for demo date: 07/16/2024 
all demo date: 07/17/2024 
all demo rework required start date: 07/17/2024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</si>
  <si>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16Cuq8ct8U-KZzNQkE7DtmUAJGWK</t>
  </si>
  <si>
    <t>sop # 
config start date:03/27/24 
all config blocked start date:na 
all config blocked end date:na 
config end date:06/18/24 
 -------------------------------------------------------------------------------------------- 
all peer review start date: 07/15/2024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</si>
  <si>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O-2w06O6SUa0QYNhdVbnxWUAKyF3</t>
  </si>
  <si>
    <t>PPM COA Conformity Verification</t>
  </si>
  <si>
    <t>sop #con-mexf-prd-122883 
config start date:03/27/24 
all config blocked start date:na 
all config blocked end date:na 
config end date:06/18/24  
 -------------------------------------------------------------------------------------------- 
all peer review start date: 07/17/2024 
all peer review end date: 07/17/2024 
all peer review rework required start date: 
all pr rework blocked start date: 
all pr rework blocked end date: 
all peer review rework required end date: 
-------------------------------------------------------------------------------------------- 
all ready for demo date: 07/17/2024 
all demo date: 07/19/2024 
all demo rework required start date: 07/19/2024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</si>
  <si>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Hd6ep3HhPUWLWvG-Bg9uvGUAPvhZ</t>
  </si>
  <si>
    <t>sop # 
config start date:03/27/24 
all config blocked start date:na 
all config blocked end date:na 
config end date:06/17/24, 06/21/2024 received updated info 
 -------------------------------------------------------------------------------------------- 
all peer review start date: 07/15/2024 
all peer review end date: 07/17/2024 
all peer review rework required start date: 
all pr rework blocked start date: 
all pr rework blocked end date: 
all peer review rework required end date: 
-------------------------------------------------------------------------------------------- 
all ready for demo date: 07/17/2024 
all demo date: 07/18/2024 
all demo rework required start date: 07/19/2024 
all demo blocked start date: 
all demo blocked end date: 
all demo rework required end date: 07/19/2024 
-------------------------------------------------------------------------------------------- 
all ready for client verification date:07/19/2024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</si>
  <si>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mHl8qSINZUeiZ-yvVeSkM2UANM-q</t>
  </si>
  <si>
    <t>PPM CON-MTH-36583-Inspection Method of PPM-Cartons</t>
  </si>
  <si>
    <t>sop # 
config start date:03/27/24 
all config blocked start date:na 
all config blocked end date:na 
config end date:06/17/24 
 -------------------------------------------------------------------------------------------- 
all peer review start date: 07/15/2024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</si>
  <si>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qHZbeRlqtU-Nto6mOI_UeWUAE2fA</t>
  </si>
  <si>
    <t>PPM Visual Inspection - NOT FOR CONCORD</t>
  </si>
  <si>
    <t>Tim Patch - Network;Michael S Mckinney;Nicole Simpson;Joseph Alexander - Network;Jeffrey Halim;Rhoda Gill</t>
  </si>
  <si>
    <t>sop # 
config start date:03/27/24 
all config blocked start date:na 
all config blocked end date:na 
config end date:06/17/24 
 -------------------------------------------------------------------------------------------- 
all peer review start date: 07/12/2024 
all peer review end date: 07/16/2024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</si>
  <si>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gx2El7AiR0mXWlerKE4QTWUAAlaH</t>
  </si>
  <si>
    <t>Label PPM Dimensional Inspection</t>
  </si>
  <si>
    <t>sop #con-mth-36600, con-mexf-32327, con-mth-prd-123525 
config start date:03/27/24 
all config blocked start date:na 
all config blocked end date:na 
config end date:07/01/24 
 -------------------------------------------------------------------------------------------- 
all peer review start date: 07/15/2024 
all peer review end date:  07/16/2024 
all peer review rework required start date: 
all pr rework blocked start date: 
all pr rework blocked end date: 
all peer review rework required end date: 
-------------------------------------------------------------------------------------------- 
all ready for demo date: 07/16/2024 
all demo date: 07/18/2024 
all demo rework required start date: 07/18/2024 
all demo blocked start date: 
all demo blocked end date: 
all demo rework required end date: 07/19/2024 
-------------------------------------------------------------------------------------------- 
all ready for client verification date: 07/19/2024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</si>
  <si>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1ihmb2Ylgk-UC3WHkV3leWUAJ1H6</t>
  </si>
  <si>
    <t>Tim Patch - Network;Michael S Mckinney;Joseph Alexander - Network</t>
  </si>
  <si>
    <t>sop # 
config start date:03/27/24 
all config blocked start date:na 
all config blocked end date:na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</si>
  <si>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96k3FjShQkezBHvKz8TyW2UAIDCT</t>
  </si>
  <si>
    <t>Build Calibration method  AB 3500 XL Genetic Analyzer-Monthly / VeritiPro Thermal Cycler (Phase 3)</t>
  </si>
  <si>
    <t>Rhoda Gill - Network;Tim Patch - Network;Michael S Mckinney;Nicole Simpson;Jeffrey Halim</t>
  </si>
  <si>
    <t>Instrument;Calibration Method;Phase 3</t>
  </si>
  <si>
    <t>sop # 
config start date:06/05/24 
all config blocked start date:na 
all config blocked end date:na 
config end date:06/07/24  
 -------------------------------------------------------------------------------------------- 
all peer review start date: 07/15/2024 
all peer review end date: 07/15/2024 
all peer review rework required start date: 
all pr rework blocked start date: 
all pr rework blocked end date: 
all peer review rework required end date: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</si>
  <si>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XXYhxa9wKE21BAnZt-BHFmUAF4xB</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</si>
  <si>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date:06/28/24  
verification assigned to: 
all client verification start date:07/08/24 
all client verification end date:07/08/24 
all client rework required start date: 
all client blocked start date: 
all client blocked end date: 
all client rework required end date: 
-------------------------------------------------------------------------------------------- 
verification complete date:07/10/24  
ready to migrate date: 07/25/2024 
-------------------------------------------------------------------------------------------- 
additional information: 10 jul (date bntered by am after card had been moved to verif complete with no date entered)</t>
  </si>
  <si>
    <t>mzLZxeTvX0OLG_500lvMXGUAHZHl</t>
  </si>
  <si>
    <t>sop # gql-sop-773 
config start date:06/25/24 
all config blocked start date:na 
all config blocked end date:na 
config end date:06/28/24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date:06/28/2024  
verification assigned to: 
all client verification start date: 
all client verification end date: 
all client rework required start date: 
all client blocked start date: 
all client blocked end date: 
all client rework required end date: 
-------------------------------------------------------------------------------------------- 
verification complete date:07/10/24 
ready to migrate date: 07/25/2024 
-------------------------------------------------------------------------------------------- 
additional comments:  verification complete date entered by am after card had been moved)</t>
  </si>
  <si>
    <t>Ys3RkTfo-kK9l2x7DwJksWUAHb8H</t>
  </si>
  <si>
    <t>Rhoda Gill - Network;Tim Patch - Network;Michael S Mckinney;David Harvey;Gregory A Dial;Keith P Parsons</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</si>
  <si>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06/06/24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t>
  </si>
  <si>
    <t>jDoiTL5dUk-277i54P7TmGUABX-Z</t>
  </si>
  <si>
    <t>Rhoda Gill - Network;Tim Patch - Network;Andree Martin - Network</t>
  </si>
  <si>
    <t>Test Method;Do not delete until invoiced</t>
  </si>
  <si>
    <t>sop # media acceptance testing 
config start date:05/15/24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 
all demo date:05/17/24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</si>
  <si>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0AI9PNGO80SkM18_LTTDgWUAH_m5</t>
  </si>
  <si>
    <t>PRD-Biological Indicators Testing</t>
  </si>
  <si>
    <t>Douglas R Sims;Tim Patch - Network;Michael S Mckinney;Joseph Alexander - Network;Rhoda Gill</t>
  </si>
  <si>
    <t>there is a card in limerick - when you move this one, pleas emove limerick card as well 
sop # bio indicators 
config start date:05/09/24 
all config blocked start date:na 
all config blocked end date:na 
config end date:05/17/24 
 -------------------------------------------------------------------------------------------- 
all peer review start date:na 
all peer review end date:na 
all peer review rework required start date:na 
all pr rework blocked start date:na 
all pr rework blocked end date:na 
all peer review rework required end date:na 
-------------------------------------------------------------------------------------------- 
all ready for demo date:05/17/24;05/30/24;06/10/24;06/24/24 
all demo date:05/17/24;05/30/24;06/10/24;06/24/24;06/28/24 
all demo rework required start date:06/23/2024;06/27/24 
all demo blocked start date:na 
all demo blocked end date:na 
all demo rework required end date:06/24/24;06/27/24 
final demo: 07/09/2024 
-------------------------------------------------------------------------------------------- 
all ready for client verification date: 07/12/2024 
verification assigned to: 
all client verification start date:na 
all client verification end date:na 
all client rework required start date: 
all client blocked start date:na 
all client blocked end date:na 
all client rework required end date: 
-------------------------------------------------------------------------------------------- 
verification complete date: 07/25/2024 
ready to migrate date: 07/25/2024</t>
  </si>
  <si>
    <t>14x6NvKvIUOnSCeL1hFqMWUAK9rO</t>
  </si>
  <si>
    <t>Media Acceptance Testing-ResultsOnly</t>
  </si>
  <si>
    <t>sop # 
config start date:05/09/24 
all config blocked start date:na 
all config blocked end date:na 
config end date:05/16/24 
 -------------------------------------------------------------------------------------------- 
all peer review start date:na 
all peer review end date:na 
all peer review rework required start date:na 
all pr rework blocked start date:na 
all pr rework blocked end date:na 
all peer review rework required end date:na 
-------------------------------------------------------------------------------------------- 
all ready for demo date:05/16/24;06/02/24;06/23/24 
all demo date:05/17/24;06/10/24;06/24/24 
all demo rework required start date:06/02/24;06/23/24;06/28/24 
all demo blocked start date:na 
all demo blocked end date:na 
all demo rework required end date:06/02/24;06/23/24;06/28/24  
final demo: 07/09/2024 
-------------------------------------------------------------------------------------------- 
all ready for client verification date: 07/09/2024;07/23/2024 
verification assigned to: jeffrey halim 
all client verification start date:07/22/2024; 
all client verification end date:07/22/2024; 
all client rework required start date: 07/23/2024 
all client blocked start date:na 
all client blocked end date:na 
all client rework required end date: 07/23/2024 
-------------------------------------------------------------------------------------------- 
verification complete date: 07/25/2024 
ready to migrate date: 07/25/2024 
request for changes to jeffrey halim 2024 07 29</t>
  </si>
  <si>
    <t>nrfMASCbB0apSosUHqgKXmUAL1Uy</t>
  </si>
  <si>
    <t>15.Ready To Migrate</t>
  </si>
  <si>
    <t>Rhoda Gill - Network;Tim Patch - Network;Raquel Bolaños</t>
  </si>
  <si>
    <t>Storage</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</si>
  <si>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</si>
  <si>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L2I-s1w5mkG3Jal0Zdc_I2UAJGYV</t>
  </si>
  <si>
    <t>qdZ9UHo0jk2iiRkFtlcrYmUALmnP</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</si>
  <si>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</si>
  <si>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_NCAnIkiuUKrDe7_ZV3q6GUANC08</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</si>
  <si>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</si>
  <si>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T68lrb3Xe0GeNXiJvNAUyGUANvXZ</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</si>
  <si>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</si>
  <si>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iaBD9ucJh0KGCqQuxhyXS2UAGSNF</t>
  </si>
  <si>
    <t>Storage;New</t>
  </si>
  <si>
    <t>sop # 
config start date:05/13/24 
all config blocked start date:na 
all config blocked end date:na  
config end date:05/13/24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t>
  </si>
  <si>
    <t>0gac2xxCFUiR8DV-7DGeT2UAPn09</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</si>
  <si>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</si>
  <si>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qDYtWcez5keBWLvqFS-_JGUAGG-p</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</si>
  <si>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</si>
  <si>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v84FlpOYpEa87YFtcdl8QmUAG_4N</t>
  </si>
  <si>
    <t>sop # 
config start date: 05/13/2024 
all config blocked start date: na 
all config blocked end date: na  
config end date: 05/13/2024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</si>
  <si>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Mh47hn9qWkSlRUW0fpqqYGUAMBNO</t>
  </si>
  <si>
    <t>wqMI8OlL0EGDT57_nFGJzGUAFbfl</t>
  </si>
  <si>
    <t>fPEgZX9kDE-P--_DLZvq4mUADvpK</t>
  </si>
  <si>
    <t>Rhoda Gill - Network;Joseph Alexander - Network;Raquel Bolaños</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</si>
  <si>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</si>
  <si>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pm5teNf1Ik2D0LmARLWIlmUAGhLV</t>
  </si>
  <si>
    <t>vDZnblhxL0CIBHMgCI2XOGUAFQ_i</t>
  </si>
  <si>
    <t>mdWeZPNILkm-fW2zfhEdSGUAI7cR</t>
  </si>
  <si>
    <t>Rhoda Gill - Network;Joseph Alexander - Network;Raquel Bolanos - Network</t>
  </si>
  <si>
    <t>vkyPcOQJmUS-QaxSQpxu_mUANbQ7</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</si>
  <si>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</si>
  <si>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iITeo6RHG0CBU_glxkTINmUABZnu</t>
  </si>
  <si>
    <t>Cotetu4JmkmVQdrJ8Ns_V2UAJbeD</t>
  </si>
  <si>
    <t>Joseph Alexander - Network;Raquel Bolaños</t>
  </si>
  <si>
    <t>o7XbKSS3qU-ZeLWAcmo7i2UAPsrR</t>
  </si>
  <si>
    <t>2kxDNkgR8EGrX1vSViyJt2UAIJVP</t>
  </si>
  <si>
    <t>TAqGAWnvPkiSI3OTbw_zkmUAFBOu</t>
  </si>
  <si>
    <t>j1UWitJBh0OrEbTtDM9mjGUAEEpJ</t>
  </si>
  <si>
    <t>sop # 
config start date: 05/10/2024 
all config blocked start date: na 
all config blocked end date: na  
config end date: 05/11/2024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all client verification end date:  
all client rework required start date: na 
all client blocked start date: na 
all client blocked end date: na  
all client rework required end date: na 
------------------------------------------------------------------------------------------- 
verification complete date:   
ready to migrate date:</t>
  </si>
  <si>
    <t>WG01YwEIK0qzHRtVrS2Vu2UAIoAv</t>
  </si>
  <si>
    <t>sop #  
config start date: 06/05/2024 
all config blocked start date: na 
all config blocked end date: na  
config end date: 06/07/2024 
 -------------------------------------------------------------------------------------------- 
all peer review start date: 07/15/2024 
all peer review end date: 07/15/2024 
all peer review rework required start date: na 
all pr rework blocked start date: na  
all pr rework blocked end date: na  
all peer review rework required end date: na  
-------------------------------------------------------------------------------------------- 
all ready for demo date: 07/15/2024 
all demo date: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</si>
  <si>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074bF-IS_0GHMOFY3Y5BD2UAGfgV</t>
  </si>
  <si>
    <t>Douglas R Sims;Tessa Merryman - Network;Michael S Mckinney</t>
  </si>
  <si>
    <t>Instrument;Calibration Method</t>
  </si>
  <si>
    <t>sop # prd-101861 
config start date: 04/30/2024 
all config blocked start date: na 
all config blocked end date: na  
config end date: 05/07/2024 
 -------------------------------------------------------------------------------------------- 
all peer review start date: 05/08/2024 
all peer review end date: 05/08/2024 
all peer review rework required start date: na 
all pr rework blocked start date: na  
all pr rework blocked end date: na  
all peer review rework required end date: na  
-------------------------------------------------------------------------------------------- 
all ready for demo date: na 
all demo date: 05/17/2024  
all demo rework required start date: 05/17/2024  
all demo blocked start date: na  
all demo blocked end date: na 
all demo rework required end date: 05/17/2024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actions:send email to chloe with doubts about the consumables  - part of the limerick kanban 
see the limerick card for latest information</t>
  </si>
  <si>
    <t>asB2o9AVbkihQ1AZXMW53GUAMAIx</t>
  </si>
  <si>
    <t>Rhoda Gill - Network</t>
  </si>
  <si>
    <t>sop #  
config start date: 12/2023 
all config blocked start date: na 
all config blocked end date: na  
config end date: 12/2023 
 -------------------------------------------------------------------------------------------- 
all peer review start date: 01/2024 
all peer review end date: 01/2024 
all peer review rework required start date: 01/2024 
all pr rework blocked start date: na  
all pr rework blocked end date: na  
all peer review rework required end date: 01/2024 
-------------------------------------------------------------------------------------------- 
all ready for demo date: na 
all demo date: na  
all demo rework required start date: na  
all demo blocked start date: na  
all demo blocked end date: na 
all demo rework required end date: na  
-------------------------------------------------------------------------------------------- 
all ready for client verification date:   
verification assigned to: 
all client verification start date: 04/28/2024 
all client verification end date: 04/28/2024 
all client rework required start date:  
all client blocked start date:  
all client blocked end date:  
all client rework required end date:  
------------------------------------------------------------------------------------------- 
verification complete date:  04/28/2024 
ready to migrate date:</t>
  </si>
  <si>
    <t>-LVxtX9rxUSjuZ9Ul63LwWUAHf_X</t>
  </si>
  <si>
    <t>sop # kin-41969 (v5.0)  
config start date: 04/18/2024 
all config blocked start date: na 
all config blocked end date: na  
config end date: 04/29/2024 
 -------------------------------------------------------------------------------------------- 
all peer review start date: 05/01/2024 
all peer review end date: 05/01/2024 
all peer review rework required start date: na 
all pr rework blocked start date: na  
all pr rework blocked end date: na  
all peer review rework required end date: na  
-------------------------------------------------------------------------------------------- 
all ready for demo date: 07/15/2024 for concord 
all demo date: 05/17/2024 
all demo rework required start date:  
all demo blocked start date:  
all demo blocked end date:  
all demo rework required end date:  
-------------------------------------------------------------------------------------------- 
all ready for client verification date:  07/16/2024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</si>
  <si>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XU0tJMP7lEGm9mrqefzCaGUAK1G5</t>
  </si>
  <si>
    <t>11.Client Rework In Progress</t>
  </si>
  <si>
    <t>Douglas R Sims;Rhoda Gill - Network;Michael S Mckinney;Juliana Masis - Network</t>
  </si>
  <si>
    <t>sop # 42052 
config start date: 5/06/2024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all demo blocked start date: na  
all demo blocked end date: na 
all demo rework required end date:  
-------------------------------------------------------------------------------------------- 
all ready for client verification date:   
verification assigned to:  
all client verification start date: see limerick card 
all client verification end date:  
all client rework required start date:  
all client blocked start date:  
all client blocked end date:  
all client rework required end date:  
------------------------------------------------------------------------------------------- 
verification complete date:  7/10/2024 
ready to migrate date: 
this is a duplicate of the limerick card - please sync with limerick card</t>
  </si>
  <si>
    <t>IqOkB0cNLEqyrxs4-GYTvmUALEus</t>
  </si>
  <si>
    <t>TopLoader-XPR8002S-Daily</t>
  </si>
  <si>
    <t>Rhoda Gill - Network;Tim Patch - Network;Brittany J Foga;Alejandra Robles - Network;Keith P Parsons</t>
  </si>
  <si>
    <t>config start date: 06/06/2024 
all config blocked start date: na 
all config blocked end date: na  
config end date: 06/07/2024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07/01/2024;07/18/2024 
verification assigned to:  
all client verification start date: 
all client verification end date:  
all client rework required start date:  
all client blocked start date:  
all client blocked end date:  
all client rework required end date:  
------------------------------------------------------------------------------------------- 
verification complete date:  07/25/2024 
ready to migrate date: 07/25/2024</t>
  </si>
  <si>
    <t>egPKDLqR1kue2zgf9E7mi2UAFO-P</t>
  </si>
  <si>
    <t>MicroAnalytical-XPR2U-Daily</t>
  </si>
  <si>
    <t>Rhoda Gill - Network;Michael S Mckinney;Brittany J Foga;Joseph Alexander - Network</t>
  </si>
  <si>
    <t>sop #  
config start date: 06/06/2024 
all config blocked start date: na 
all config blocked end date: na  
config end date: 06/10/2024 
 -------------------------------------------------------------------------------------------- 
all peer review start date: 06/28/2024 
all peer review end date: 06/28/2024 
all peer review rework required start date: na 
all pr rework blocked start date: na  
all pr rework blocked end date: na  
all peer review rework required end date: na  
-------------------------------------------------------------------------------------------- 
all ready for demo date: 06/28/2024 
all demo date: 05/23/2024  
all demo rework required start date:  
all demo blocked start date: na  
all demo blocked end date: na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07/17/2024 
ready to migrate date: 07/25/2024</t>
  </si>
  <si>
    <t>agM-vbfRdkyWHcwXyl8ZXGUANxzV</t>
  </si>
  <si>
    <t>CON-Analytical-XPR204-Daily</t>
  </si>
  <si>
    <t>Rhoda Gill - Network;Tim Patch - Network;Michael S Mckinney;Keith P Parsons;Joseph Alexander - Network;Jeffrey Halim</t>
  </si>
  <si>
    <t>sop #  
config start date: 04/28/2024 
all config blocked start date: na 
all config blocked end date: na  
config end date:  
 -------------------------------------------------------------------------------------------- 
all peer review start date: 07/01/2024 
all peer review end date: 07/01/2024 
all peer review rework required start date: na 
all pr rework blocked start date: na  
all pr rework blocked end date: na  
all peer review rework required end date: na  
-------------------------------------------------------------------------------------------- 
all ready for demo date: na 
all demo date:  
all demo rework required start date:   
all demo blocked start date: na  
all demo blocked end date: na 
all demo rework required end date:   
-------------------------------------------------------------------------------------------- 
all ready for client verification date:  07/01/2024 
verification assigned to:  
all client verification start date:  
all client verification end date:  
all client rework required start date: 07/18/2024 
all client blocked start date:  
all client blocked end date:  
all client rework required end date: 07/18/2024 
re-verification: 
------------------------------------------------------------------------------------------- 
verification complete date:  migrated to prd 04/2024 
ready to migrate date:</t>
  </si>
  <si>
    <t>oevapn0xTEW4hTaEnqO5DGUADe1c</t>
  </si>
  <si>
    <t>sop # gql-sop-773 
config start date: 04/18/2023 
all config blocked start date: na 
all config blocked end date: na  
config end date: 04/19/2024 
 -------------------------------------------------------------------------------------------- 
all peer review start date: 04/19/2024 
all peer review end date: 04/19/2024 
all peer review rework required start date: na 
all pr rework blocked start date: na  
all pr rework blocked end date: na  
all peer review rework required end date: na  
-------------------------------------------------------------------------------------------- 
all ready for demo date:  
all demo date: 04/15/2024 
all demo rework required start date: na 
all demo blocked start date: na 
all demo blocked end date: na 
all demo rework required end date: na 
-------------------------------------------------------------------------------------------- 
all ready for client verification date: na 
verification assigned to:  
all client verification start date: 04/19/2024 
all client verification end date: 04/19/2024 
all client rework required start date: na 
all client blocked start date: na 
all client blocked end date: na 
all client rework required end date: na 
------------------------------------------------------------------------------------------- 
verification complete date:  04/19/2024 
ready to migrate date:</t>
  </si>
  <si>
    <t>DkuaeArLSkK4h3vHriRGj2UAKcmG</t>
  </si>
  <si>
    <t>Rhoda Gill - Network;Keith P Parsons;Jeffrey Halim</t>
  </si>
  <si>
    <t>Instrument;Do not delete until invoiced</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</si>
  <si>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date:06/03/24  
all client verification end date:06/03/24  
all client rework required start date:  
all client blocked start date:  
all client blocked end date:  
all client rework required end date:  
--------------------------------------------------------------------------------------------  
verification complete date:  
ready to migrate date:</t>
  </si>
  <si>
    <t>pIrFXdifVUCShgDCpkTur2UAFrn2</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</si>
  <si>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</si>
  <si>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YLjAdB3UckyNTgaZcgzJd2UAB_kx</t>
  </si>
  <si>
    <t>sop # na 
config start date:12/23  
all config blocked start date:na  
all config blocked end date:na  
config end date:12/23  
 --------------------------------------------------------------------------------------------  
all peer review start date:01/24  
all peer review end date:01/24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  
all client verification start date:04/24  
all client verification end date:04/24  
all client rework required start date:  
all client blocked start date:  
all client blocked end date:  
all client rework required end date:  
--------------------------------------------------------------------------------------------  
verification complete date:  
ready to migrate date:</t>
  </si>
  <si>
    <t>0uBrQS-BBUWmquEpH0qRM2UAE7ep</t>
  </si>
  <si>
    <t xml:space="preserve">Instrument Type: Raman </t>
  </si>
  <si>
    <t>Rhoda Gill - Network;Tim Patch - Network;Michael S Mckinney;Nicole Simpson</t>
  </si>
  <si>
    <t>Instrument;Phase 3</t>
  </si>
  <si>
    <t>config start date:06/06/24  
all config blocked start date:06/06/24  
all config blocked end date: 07/10/24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date:07/12/24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</si>
  <si>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LHuIoYoGQU6TPDaObq3X4mUABz_s</t>
  </si>
  <si>
    <t>Instrument Type: Top Loading (Top Loader Balance - XPR8002S - thermo fisher)</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</si>
  <si>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07/18/2024 
ready to migrate date: 07/18/2024</t>
  </si>
  <si>
    <t>gBipE3xkyU6QqQgq4u93_WUAE2Se</t>
  </si>
  <si>
    <t>Instrument Type: Incubator (Instrument Model Heratherm Incubator 750L - thermo fisher)</t>
  </si>
  <si>
    <t>Rhoda Gill - Network;Tim Patch - Network;Michael S Mckinney;Nicole Simpson;Keith P Parsons</t>
  </si>
  <si>
    <t>sop # 
config start date:06/06/24  
all config blocked start date:06/06/24  
all config blocked end date: 07/09/2024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07/09/2024 
ready to migrate date:</t>
  </si>
  <si>
    <t>TpzzFDzjHU2xjdMbxzCXmWUAM5XZ</t>
  </si>
  <si>
    <t>Instrument Type: Incubator (Heratherm Incubator 180L - thermo Fisher)</t>
  </si>
  <si>
    <t>Rhoda Gill - Network;Michael S Mckinney;Nicole Simpson;Keith P Parsons</t>
  </si>
  <si>
    <t>sop #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date:06/03/24  
all client rework required start date:06/06/24  
all client blocked start date:06/06/24  
all client blocked end date: 07/10/2024 
all client rework required end date: 07/10/2024 
--------------------------------------------------------------------------------------------  
verification complete date: 07/10/2024 
ready to migrate date:</t>
  </si>
  <si>
    <t>YZXNkAePxUGKxmpWUOOTzmUAOgvC</t>
  </si>
  <si>
    <t>Instrument Type: pH Conductivity (SevenExcellence s470-Bio pH/Conductivity Meter)</t>
  </si>
  <si>
    <t>Instrument;Full Build;Phase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</si>
  <si>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ready to migrate date:</t>
  </si>
  <si>
    <t>bdvskvaKBkSPj9aqU4oUKWUAIgSA</t>
  </si>
  <si>
    <t>Rhoda Gill - Network;Tim Patch - Network;Michael S Mckinney;Nicole Simpson;Gregory A Dial;Keith P Parsons</t>
  </si>
  <si>
    <t>config start date:06/02/24  
all config blocked start date:06/02/24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</si>
  <si>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xVlPHtf6TEWUB-d40CYs1WUALuTo</t>
  </si>
  <si>
    <t>Instrument Type: Plate Reader (Pyrowave XM Reader - Lonza)</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</si>
  <si>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</si>
  <si>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wKTDZouLGEmYInNAOqlUsmUAJGLi</t>
  </si>
  <si>
    <t>Instrument Type: TOC (Sievers Total Organic Carbon (TOC) Analyzer M9)</t>
  </si>
  <si>
    <t>Yx9zgc1atkuFPo9MQXt5GGUACoyJ</t>
  </si>
  <si>
    <t>Instrument Type: Thermal Cycler (Thermo Fisher Scientific VeritiPro Thermal Cycler)</t>
  </si>
  <si>
    <t>B21HwilUPU6Hm3kjAtGELWUAJbOD</t>
  </si>
  <si>
    <t>Instrument Type: Analyzer (Thermo Fisher Scientific AB 3500 XL Genetic Analyzer AB 3500 XL)</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</si>
  <si>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</si>
  <si>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XKxhD1Eye0KX7PBFFntzOWUAFe0d</t>
  </si>
  <si>
    <t>Instrument Type: Micro (Mettler Toledo Micro-Analytical Balance XPR2U)</t>
  </si>
  <si>
    <t>sop # gql-sop-773 
config start date:04/28/24  
all config blocked start date:na  
all config blocked end date:na  
config end date:04/28/24  
 --------------------------------------------------------------------------------------------  
all peer review start date: 07/01/2024 
all peer review end date: 07/01/2024 
all peer review rework required start date:  
all pr rework blocked start date:  
all pr rework blocked end date:  
all peer review rework required end date:  
--------------------------------------------------------------------------------------------  
all ready for demo date: na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07/01/2024 
ready to migrate date: 07/18/2024</t>
  </si>
  <si>
    <t>FAqXEUa0sE6HQZY3lIiog2UAMGRY</t>
  </si>
  <si>
    <t>Instrument Type: HPLC (HPLC Agilent 1260)</t>
  </si>
  <si>
    <t>Instrument;Instrument Types;Phase 3</t>
  </si>
  <si>
    <t>sop # gql-sop-773 
config start date:04/28/24  
all config blocked start date:na  
all config blocked end date:na  
config end date:04/28/24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date:04/28/24  
verification assigned to:keith p parsons  
all client verification start date:06/03/24  
all client verification end date:06/03/24  
all client rework required start date:  
all client blocked start date:  
all client blocked end date:  
all client rework required end date:  
--------------------------------------------------------------------------------------------  
verification complete date: 06/03/24  
ready to migrate date:</t>
  </si>
  <si>
    <t>rN1Rfcusgk-q7FENWUrvp2UAKg9b</t>
  </si>
  <si>
    <t>Instrument Type: Thermometer (ThermoProbe Thermometer TL3-8)</t>
  </si>
  <si>
    <t>C3Hur21wek6ZXQ16HkilgWUADDUi</t>
  </si>
  <si>
    <t>Instrument Type: Light Box (Apollo II Liquid Viewer -Adelphi QTXUS2214059MDW)</t>
  </si>
  <si>
    <t>Rhoda Gill - Network;Michael S Mckinney;Nicole Simpson;Gregory A Dial;Keith P Parsons</t>
  </si>
  <si>
    <t>qtxus2214059mdw/  # 6031511 
apollo ii liquid viewer 
adelphi 
sop #  
config start date:04/28/24  
all config blocked start date:04/28/24  
all config blocked end date:  
config end date:  
 --------------------------------------------------------------------------------------------  
all peer review start date:06/28/24  
all peer review end date:06/28/24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date:06/28/24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</si>
  <si>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7DVB3RQbb0qrDiDfuMHQYmUAMFpc</t>
  </si>
  <si>
    <t>Instrument type: Micrometer (Mitutoyo Micrometer 293-335-30CAL)</t>
  </si>
  <si>
    <t>sop # gql-sop-773 
config start date:04/28/24  
all config blocked start date:na  
all config blocked end date:na  
config end date:04/28/24  
 --------------------------------------------------------------------------------------------  
all peer review start date:06/28/24  
all peer review end date:06/28/24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date:04/28/24  
verification assigned to:keith p parsons  
all client verification start date:06/03/24  
all client verification end date:  
all client rework required start date:  
all client blocked start date:  
all client blocked end date:  
all client rework required end date:  
--------------------------------------------------------------------------------------------  
verification complete date:  
ready to migrate date:</t>
  </si>
  <si>
    <t>RZYzGmvbe06FFxVemjvXcmUAKcCD</t>
  </si>
  <si>
    <t>Instrument Type: Caliper (Mitutoyo Caliper 500-173-30Cal)</t>
  </si>
  <si>
    <t>sop # gql-sop-773 
config start date:04/28/2024 
all config blocked start date:na 
all config blocked end date:na  
config end date:04/28/2024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date:04/28/2024 
verification assigned to: keith p. parsons 
all client verification start date:06/03/2024 
all client verification end date:  
all client rework required start date:  
all client blocked start date:  
all client blocked end date:  
all client rework required end date:  
------------------------------------------------------------------------------------------- 
verification complete date:   
ready to migrate date:</t>
  </si>
  <si>
    <t>e8RxsepwoE24yM3zKpgO0WUAJ2-r</t>
  </si>
  <si>
    <t>B02121-ResultsOnly Strips &amp; B02121-ResultsOnly Discs</t>
  </si>
  <si>
    <t>Tim Patch - Network;Michael S Mckinney;Nicole Simpson;Rhoda Gill</t>
  </si>
  <si>
    <t>Test Method;Consumable</t>
  </si>
  <si>
    <t>sop # b02121 
config start date:05/03/24  
all config blocked start date:05/10/24  
all config blocked end date:05/11/24  
config end date:05/13/24  
 --------------------------------------------------------------------------------------------  
all peer review start date:06/06/24  
all peer review end date:06/06/24  
all peer review rework required start date:na  
all pr rework blocked start date:na  
all pr rework blocked end date:na  
all peer review rework required end date:na  
--------------------------------------------------------------------------------------------  
all ready for demo date:06/06/24;06/28/24  
all demo date:06/07/24;06/28/24  
all demo rework required start date:06/07/24  
all demo blocked start date:06/07/24  
all demo blocked end date:06/27/24  
all demo rework required end date:06/28/24  
final demo: 07/09/2024 
--------------------------------------------------------------------------------------------  
all ready for client verification date: 07/09/2024;07/18/2024;07/22/2024;07/23/2024 
verification assigned to:  
all client verification start date: 07/22/2024; 
all client verification end date: 07/22/2024; 
all client rework required start date: 07/18/2024, 07/22/2024, 07/25/2024 
all client blocked start date:  
all client blocked end date:  
all client rework required end date: 07/18/2024, 07/22/2024, 07/25/2024 
--------------------------------------------------------------------------------------------  
verification complete date: 07/25/2024 
ready to migrate date: 07/25/2024</t>
  </si>
  <si>
    <t>fmHn-Fbv7kmuGGfqOVPSBGUAJ9ut</t>
  </si>
  <si>
    <t>sop # 
config start date:03/27/24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</si>
  <si>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8PVqI-EtS0mgVmwZGLmYKWUAPIVg</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</si>
  <si>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</si>
  <si>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d9AJFECcRkeyBGGG7Tcv5WUANXij</t>
  </si>
  <si>
    <t>Rhoda Gill</t>
  </si>
  <si>
    <t>sop # b10827 
config start date:03/25/24 
all config blocked start date:na 
all config blocked end date:na 
config end date:04/02/24 
 -------------------------------------------------------------------------------------------- 
all peer review start date:04/11/24 
all peer review end date:04/11/24 
all peer review rework required start date:na 
all pr rework blocked start date:na 
all pr rework blocked end date:na 
all peer review rework required end date:na 
-------------------------------------------------------------------------------------------- 
all ready for demo date:04/11/24 
all demo date:04/11/24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</si>
  <si>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qD0xpZP_zEuEUKsf8rIdk2UAC5IV</t>
  </si>
  <si>
    <t>sop # 
config start date:03/25/24 
all config blocked start date:na 
all config blocked end date:na 
config end date:03/25/24 
 -------------------------------------------------------------------------------------------- 
all peer review start date:04/28/24 
all peer review end date:04/28/24 
all peer review rework required start date:04/30/24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</si>
  <si>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IGMfXRrs8kym3Tu4bbGDv2UADVPH</t>
  </si>
  <si>
    <t>sop # 
config start date:03/26/24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</si>
  <si>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VF_HEDLT3kSBJeI_aeNs4GUACdXM</t>
  </si>
  <si>
    <t>Rhoda Gill - Network;Joseph Alexander - Network</t>
  </si>
  <si>
    <t>sop # b10236 
config start date:03/25/24 
all config blocked start date:na 
all config blocked end date:na 
config end date:03/27/24 
 -------------------------------------------------------------------------------------------- 
all peer review start date:04/28/24 
all peer review end date:04/28/24 
all peer review rework required start date:04/30/24 
all pr rework blocked start date:na 
all pr rework blocked end date:na 
all peer review rework required end date:04/30/24 
-------------------------------------------------------------------------------------------- 
all ready for demo date:04/30/24 
all demo date:04/30/24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</si>
  <si>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dGGQXkmMwEO4-INlDJOo3GUALuXT</t>
  </si>
  <si>
    <t>Andree Martin - Network;Brandon Klein - Network;Rhoda Gill</t>
  </si>
  <si>
    <t>sop # b02786 
config start date:03/26/24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</si>
  <si>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ZhhytUG0ZkqE_hVMWuHAcWUAGCK7</t>
  </si>
  <si>
    <t>sop # b06295 
config start date:03/25/24 
all config blocked start date:na 
all config blocked end date:na 
config end date:03/26/24 
 -------------------------------------------------------------------------------------------- 
all peer review start date:04/28/24 
all peer review end date:04/28/24 
all peer review rework required start date:na 
all pr rework blocked start date:na 
all pr rework blocked end date:na 
all peer review rework required end date:na 
-------------------------------------------------------------------------------------------- 
all ready for demo date:04/28/24 
all demo date:04/30/24 
all demo rework required start date:04/30/24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</si>
  <si>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zypNreQWDE6_UJBVCKIgJ2UAOl-f</t>
  </si>
  <si>
    <t>Pipette Calibry System Calibration Check Method</t>
  </si>
  <si>
    <t>Tessa Merryman</t>
  </si>
  <si>
    <t>Calibration Method</t>
  </si>
  <si>
    <t>sop#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</si>
  <si>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nf2EQLlsGUecaKTw4xxExWUAFGJP</t>
  </si>
  <si>
    <t>LIM-LAB-PRD-124869</t>
  </si>
  <si>
    <t>sop # kin-30191/kin
19250-001 bio indicators-003 
config start date:07/15/24 
all config blocked start date:na 
all config blocked end date:na 
config end date:7/15/24 
 -------------------------------------------------------------------------------------------- 
all peer review start date:7/19/24 
all peer review end date:7/19/24 
all peer review rework required start date:na 
all pr rework blocked start date:na 
all pr rework blocked end date:na 
all peer review rework required end date:na 
-------------------------------------------------------------------------------------------- 
all ready for demo date: 
all demo date: 
all demo rework required start date: 
all demo blocked start date:na 
all demo blocked end date:na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</si>
  <si>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QZ_huz_za0W7xqVveRFNLWUACyQ-</t>
  </si>
  <si>
    <t>2.Out Of Scope</t>
  </si>
  <si>
    <t>Product;Sample plan;Product Variant</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</si>
  <si>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</si>
  <si>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fgrTPxs8YkqUPdNzTBI9hWUAGH7W</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</si>
  <si>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</si>
  <si>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eamSH8opU0KSgpLu2jBfrGUAMPfV</t>
  </si>
  <si>
    <t>k_559hIU4kO3Xxn5Hyl7uWUAHiJN</t>
  </si>
  <si>
    <t>htgbV-8sPUSjjuAbztjoQGUAGDUl</t>
  </si>
  <si>
    <t>14.Verification Complete</t>
  </si>
  <si>
    <t>Douglas R Sims;Mariana Torres - Network</t>
  </si>
  <si>
    <t>Test Method;Consumable;New</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</si>
  <si>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(6/05/2024)inclusion of set up (organisms, media and inoculation) decision made. (6/11/2024)</t>
  </si>
  <si>
    <t>byZipfKXeUuwkISJzXJqOWUALdwh</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</si>
  <si>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</si>
  <si>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mEsIJw0IyUqjHzsEsM37kGUAEhgt</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</si>
  <si>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 jul 2024 
ready to migrate date: 
inclusion of set up (organisms, media and inoculation) decision pending. (6/05/2024) 
inclusion of set up (organisms, media and inoculation) decision made. (6/11/2024)</t>
  </si>
  <si>
    <t>HYwBhi9yyE-vySE4SBYDcWUALwZ-</t>
  </si>
  <si>
    <t>sop # kin-22801 
config start date:05/24/24 
all config blocked start date:na 
all config blocked end date:na 
config end date:05/29/24 
 -------------------------------------------------------------------------------------------- 
all peer review start date:05/29/24 
all peer review end date:05/29/24 
all peer review rework required start date:na 
all pr rework blocked start date:na 
all pr rework blocked end date:na 
all peer review rework required end date:na 
-------------------------------------------------------------------------------------------- 
all ready for demo date:05/29/24 
all demo date:05/31/24 
all demo rework required start date:06/03/24 
all demo blocked start date:na 
all demo blocked end date:na 
all demo rework required end date:06/03/24 
-------------------------------------------------------------------------------------------- 
all ready for client verification date:06/03/24;06/19/24 
verification assigned to: douglas r sims 
all client verification start date:06/05/24 
all client verification end date:06/05/24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(6/05/2024) 
inclusion of set up (organisms, media and inoculation) decision made. (6/11/2024)</t>
  </si>
  <si>
    <t>Bv3V8FHs8k2wRV6oW2P8oGUADR5g</t>
  </si>
  <si>
    <t>Douglas R Sims;Tessa Merryman - Network;Juliana Masis - Network</t>
  </si>
  <si>
    <t>Calibration Method;New</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</si>
  <si>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</si>
  <si>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l7KWnR2QaESnqeG9m4xzT2UAKTEm</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</si>
  <si>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date:06/17/24;06/28/24 
all client verification end date:06/17/24;06/28/24 
all client rework required start date:06/17/24 
all client blocked start date:na 
all client blocked end date:na 
all client rework required end date:06/19/24 
-------------------------------------------------------------------------------------------- 
verification complete date:06/28/24 
ready to migrate date:06/28/24</t>
  </si>
  <si>
    <t>H1J6aU6R-06f9Ls7230YmWUACNfv</t>
  </si>
  <si>
    <t>HYxvOswkg0Wm9Awwg9S0QWUAHSLR</t>
  </si>
  <si>
    <t>DJ_NSzrp0U64ag4GDHntsmUAJpvc</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</si>
  <si>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date:06/17/24;06/27/24 
all client verification end date:06/17/24;06/27/24 
all client rework required start date:06/17/24 
all client blocked start date:na 
all client blocked end date:na 
all client rework required end date:06/19/24 
-------------------------------------------------------------------------------------------- 
verification complete date:06/27/24 
ready to migrate date:06/27/24</t>
  </si>
  <si>
    <t>VFClIy9tVEm84D4Tn4y8K2UAO2S_</t>
  </si>
  <si>
    <t>sop # 
config start date:05/30/24 
all config blocked start date:na 
all config blocked end date:na 
config end date:05/30/24 
 -------------------------------------------------------------------------------------------- 
all peer review start date:06/03/24 
all peer review end date:06/04/24 
all peer review rework required start date:na 
all pr rework blocked start date:na 
all pr rework blocked end date:na 
all peer review rework required end date:na 
-------------------------------------------------------------------------------------------- 
all ready for demo date:06/04/24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</si>
  <si>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E3LtOWe0d0a9ccpfizSfQmUAED-L</t>
  </si>
  <si>
    <t>0ahXfYSRj0WAVvF9pI0z72UACVS2</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</si>
  <si>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25jul2024 
ready to migrate date:</t>
  </si>
  <si>
    <t>6fPMM16Gi0KyyhVfKNZLh2UAD9Dj</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</si>
  <si>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</si>
  <si>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leGoYudwBkq7JBReoJbNGGUAKiGQ</t>
  </si>
  <si>
    <t>E__SRYDYS02L7Ew5ascd5WUAIawn</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</si>
  <si>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 07/03/24 
verification assigned to: douglas r sims 
all client verification start date:06/13/24;06/26/24 
all client verification end date:06/13/24;06/26/24 
all client rework required start date:06/14/24;06/26/24 
all client blocked start date:na 
all client blocked end date:na 
all client rework required end date:06/18/24,07/02/24 
-------------------------------------------------------------------------------------------- 
verification complete date: 
ready to migrate date:</t>
  </si>
  <si>
    <t>AAuzk4BvZ0CVuTjfkRBR7WUAKR_r</t>
  </si>
  <si>
    <t>d5y272LiukKe4DyppElF62UAK7U0</t>
  </si>
  <si>
    <t>sop # 
config start date:06/10/24 
all config blocked start date:na 
all config blocked end date:na 
config end date:06/12/24 
 -------------------------------------------------------------------------------------------- 
all peer review start date:06/12/24 
all peer review end date:06/12/24 
all peer review rework required start date:na 
all pr rework blocked start date:na 
all pr rework blocked end date:na 
all peer review rework required end date:na 
-------------------------------------------------------------------------------------------- 
all ready for demo date:06/12/24 
all demo date:06/13/24 
all demo rework required start date:na 
all demo blocked start date:na 
all demo blocked end date:na 
all demo rework required end date:na 
-------------------------------------------------------------------------------------------- 
all ready for client verification date:06/13/24;06/19/24;06/28/24 
verification assigned to: douglas r sims 
all client verification start date:06/13/24;06/26/24 
all client verification end date:06/13/24;06/26/24 
all client rework required start date:06/14/24;06/27/24 
all client blocked start date:na 
all client blocked end date:na 
all client rework required end date:06/18/24;06/28/24 
-------------------------------------------------------------------------------------------- 
verification complete date: 
ready to migrate date:</t>
  </si>
  <si>
    <t>AVvS5gAzyUy44iMU9088M2UAMlmh</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</si>
  <si>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date:05/30/24 
all demo date:06/05/24 
all demo rework required start date:06/05/24 
all demo blocked start date:na 
all demo blocked end date:na 
all demo rework required end date:06/11/24 
-------------------------------------------------------------------------------------------- 
all ready for client verification date:06/13/24;06/19/24 
verification assigned to: douglas r sims 
all client verification start date:06/17/24;06/24/24 
all client verification end date:06/17/24;06/24/24 
all client rework required start date:06/17/24 
all client blocked start date:na 
all client blocked end date:na 
all client rework required end date:06/19/24 
-------------------------------------------------------------------------------------------- 
verification complete date:06/24/24 
ready to migrate date:06/24/24</t>
  </si>
  <si>
    <t>bSRNRNR3VEebc-Dr_rmeYWUAEbvJ</t>
  </si>
  <si>
    <t>UDV6nLPrJE6Ev82GFdoh92UAB4GW</t>
  </si>
  <si>
    <t>6Try0GaF4Umsb6Q1Bew0MmUAMjvG</t>
  </si>
  <si>
    <t>SPGrLZUy10WLkMXcWvHUPWUAKG3H</t>
  </si>
  <si>
    <t>0dPRWlC7OEOeLFsCyL0qmWUAOadi</t>
  </si>
  <si>
    <t>dKL-lFG7N0S9HZQC_w-fnmUAOv3t</t>
  </si>
  <si>
    <t>rJqa1VgicEuVqugjAe4NrWUAHdWD</t>
  </si>
  <si>
    <t>Douglas R Sims;Tessa Merryman - Network</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</si>
  <si>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</si>
  <si>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FyO4iB6o9E66PVsmU3akwGUAHRN1</t>
  </si>
  <si>
    <t>sop # 
config start date:05/20/24 
all config blocked start date:na 
all config blocked end date:na 
config end date:05/20/24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date:05/20/24 
verification assigned to: douglas r sims 
all client verification start date:05/22/24 
all client verification end date:05/22/24 
all client rework required start date:na 
all client blocked start date:na 
all client blocked end date:na 
all client rework required end date:na 
-------------------------------------------------------------------------------------------- 
verification complete date:05/22/24 
ready to migrate date:05/22/24</t>
  </si>
  <si>
    <t>2S3nPR_DLkWJXOQ3fI_hI2UAMIPV</t>
  </si>
  <si>
    <t>l6AZuOzz6k6lvfNXsa_3RWUAKyn3</t>
  </si>
  <si>
    <t>r0ZT7qJ9lkC5QED4dYhDpWUACmaj</t>
  </si>
  <si>
    <t>IWOp5WBl6k2UCYeuWvP0sWUABamQ</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</si>
  <si>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ready to migrate date:</t>
  </si>
  <si>
    <t>OaQi7zUsAkmCMs5g2Gdx_WUAMjzp</t>
  </si>
  <si>
    <t>9J0qXlVaKUSBDBS2lIhjhGUAAt28</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</si>
  <si>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05/22/24 
ready to migrate date:</t>
  </si>
  <si>
    <t>xkUXBI0_6UW6Ah0Qe_ztTmUAIIx7</t>
  </si>
  <si>
    <t>sop # 
config start date: 05/20/2024 
all config blocked start date: na 
all config blocked end date: na 
config end date: 05/20/2024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 05/22/2024 
all client verification end date: 05/22/2024 
all client rework required start date: na 
all client blocked start date: 
all client blocked end date: 
all client rework required end date: 
------------------------------------------------------------------------------------------- 
verification complete date: 05/22/2024 
ready to migrate date:</t>
  </si>
  <si>
    <t>sIb637u8LkeyKz7iM3Fi5WUAFn5d</t>
  </si>
  <si>
    <t>KtQvOQEJO0O61W2eGJPgXmUAP45I</t>
  </si>
  <si>
    <t>zbvhQXP-UUONk-NsJxtlFGUAA-K8</t>
  </si>
  <si>
    <t>WIdxs5MLv0m8CO8oeJZsUGUAOvXV</t>
  </si>
  <si>
    <t>gEFctSAXlEK-KqczV4uQ_mUAHNh3</t>
  </si>
  <si>
    <t>QveRyAMoh0uZ9gsoAypT9mUAC3B4</t>
  </si>
  <si>
    <t>lwtcXUxxhkG5sC-8atVda2UALS--</t>
  </si>
  <si>
    <t>o0fNfNtkCEKkNFLEfUILdmUAHQc2</t>
  </si>
  <si>
    <t>9cxOCydzx0eRFPX8NWlzdWUAI2L3</t>
  </si>
  <si>
    <t>qz6tBHnt0kW77ApNewyoLGUALtDq</t>
  </si>
  <si>
    <t>IGNGAb0RBE2bPjLgOuW_AWUANTow</t>
  </si>
  <si>
    <t>3Ctm1eCWlEuE0N9OuUHT02UAKgk7</t>
  </si>
  <si>
    <t>ixoQSmAXrU2mnTPyNxHsC2UAN642</t>
  </si>
  <si>
    <t>0SoxDSAy4EC29yxmvsDGrWUAJnz5</t>
  </si>
  <si>
    <t>RK4TGvKP4E-zedwM4MgxpmUANfCZ</t>
  </si>
  <si>
    <t>Douglas R Sims;Tessa Merryman - Network;Gregory Barrantes - Network</t>
  </si>
  <si>
    <t>sop # lim analytical xpr205 daily 
config start date: 05/09/2024 
all config blocked start date: na 
all config blocked end date: na 
config end date: 05/10/2024 
 -------------------------------------------------------------------------------------------- 
all peer review start date: 05/10/2024 
all peer review end date: 05/11/2024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05/15/2024 
verification assigned to: douglas r. sims  
all client verification start date: 05/15/2024 
all client verification end date: 05/20/2024 
all client rework required start date: na 
all client blocked start date: na 
all client blocked end date: na 
all client rework required end date: na 
------------------------------------------------------------------------------------------- 
verification complete date: 05/20/2024 
ready to migrate date: 05/20/2024</t>
  </si>
  <si>
    <t>ZwO14wbZS0Oh01Yv2WeuC2UAPTIy</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</si>
  <si>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05/15/2024 
all demo blocked start date: 05/20/2024 
all demo blocked end date: 05/30/2024 
all demo rework required end date: 05/30/2024 
-------------------------------------------------------------------------------------------- 
all ready for client verification date: 06/05/2024; 06/19/2024; 07/17/2024 
verification assigned to: douglas r. sims  
all client verification start date: 06/05/2024 
all client verification end date: 07/18/2024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</si>
  <si>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sQpK4q92REe3MFQge2zSFmUAJvTz</t>
  </si>
  <si>
    <t>Douglas R Sims;Gregory Barrantes - Network;Mariana Torres - Network</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</si>
  <si>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 
there is information pending from the client that could be asked to be included later on. (5/20/24 and 5/21/24) 
information was provided on 5/30/24.</t>
  </si>
  <si>
    <t>3OFP-cZ3VUyOaT-3n6obYWUAGeMx</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</si>
  <si>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06/05/2024; 06/19/2024; 07/17/2024 
verification assigned to: douglas r. sims  
all client verification start date: 06/05/2024; 06/19/2024 
all client verification end date: 06/11/2024 
all client rework required start date: 06/05/2024; 06/12/2024; 06/19/2024; 07/17/2024 
all client blocked start date: 06/05/2024 
all client blocked end date: 06/11/2024 
all client rework required end date: 06/11/2024; 06/19/2024;07/03/2024; 07/17/2024 
------------------------------------------------------------------------------------------- 
verification complete date:07/18/2024 
ready to migrate date: 
inclusion of set up (organisms, media and inoculation) decision pending. (6/5/2024) 
inclusion of set up (organisms, media and inoculation) decision made. (6/11/2024)</t>
  </si>
  <si>
    <t>PEn7PkBBkUe9zA_4pkkOE2UAFMoF</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</si>
  <si>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06/19/2024 
all client verification end date: 06/11/2024; 07/05/2024 
all client rework required start date: 06/05/2024; 06/12/2024;06/19/2024; 07/17/2024 
all client blocked start date: na 
all client blocked end date: na 
all client rework required end date: 06/11/2024; 06/19/2024;07/03/2024; 07/17/2024 
------------------------------------------------------------------------------------------- 
verification complete date: 07/28/2024 
ready to migrate date:</t>
  </si>
  <si>
    <t>vf5Jr81iAkieq3qmThMqGWUANI-0</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</si>
  <si>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07/17/2024 
verification assigned to: douglas r. sims  
all client verification start date: 06/05/2024; 06/19/2024 
all client verification end date: 06/11/2024 
all client rework required start date: 06/05/2024; 06/12/2024;06/19/2024; 07/17/2024 
all client blocked start date: na 
all client blocked end date: na 
all client rework required end date: 06/11/2024; 06/19/2024;07/03/2024; 07/17/2024 
------------------------------------------------------------------------------------------- 
verification complete date: 19jul2024 
ready to migrate date: 
inclusion of set up (organisms, media and inoculation) decision pending. (6/5/2024) 
inclusion of set up (organisms, media and inoculation) decision made. (6/11/2024)</t>
  </si>
  <si>
    <t>4y5cHkaCoEm2vAgCTfk7d2UADjWp</t>
  </si>
  <si>
    <t>sop # kin-22801  
config start date: 05/20/2024 
all config blocked start date: na 
all config blocked end date: na 
config end date: 05/22/2024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05/24/2024 
-------------------------------------------------------------------------------------------- 
all ready for client verification date: 05/28/2024; 06/19/2024; 07/17/2024 
verification assigned to: douglas r. sims  
all client verification start date: 06/05/2024; 06/19/2024 
all client verification end date: 06/11/2024; 06/20/2024 
all client rework required start date: 06/12/2024; 06/20/2024; 06/19/2024; 07/17/2024 
all client blocked start date: na 
all client blocked end date: na 
all client rework required end date: 06/19/2024;06/19/2024;07/03/2024; 07/17/2024 
------------------------------------------------------------------------------------------- 
verification complete date: 19jul2024 
ready to migrate date: 
there is information pending from the client that could be asked to be included later on. (5/20/24 and 5/21/24) information was provided on 5/30/24.</t>
  </si>
  <si>
    <t>AiIBwGxW0EqRv2tlKhIRoWUAEIq7</t>
  </si>
  <si>
    <t>sop # kin-22801  
config start date: 05/06/2024 
all config blocked start date: na 
all config blocked end date: na 
config end date: 05/14/2024 
 -------------------------------------------------------------------------------------------- 
all peer review start date: 05/14/2024 
all peer review end date: 05/14/2024 
all peer review rework required start date: na 
all pr rework blocked start date: na 
all pr rework blocked end date: na 
all peer review rework required end date: na  
-------------------------------------------------------------------------------------------- 
all ready for demo date: na 
all demo date: 05/15/2024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</si>
  <si>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vlu1MlHlVEqe1ytnIGIMqmUAJzfx</t>
  </si>
  <si>
    <t>sop # kin-22801  
config start date: 05/24/2024 
all config blocked start date: na 
all config blocked end date: na 
config end date: 05/24/2024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06/05/2024; 06/19/2024; 07/17/2024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ready to migrate date: 
inclusion of set up (organisms, media and inoculation) decision pending. (6/5/2024) 
inclusion of set up (organisms, media and inoculation) decision made. (6/11/2024)</t>
  </si>
  <si>
    <t>Nty1jqo_Q0aSiReb37R0ZmUAFxxs</t>
  </si>
  <si>
    <t>sop # kin-22801  
config start date: 05/24/2024 
all config blocked start date: na 
all config blocked end date: na 
config end date: 05/29/2024 
 -------------------------------------------------------------------------------------------- 
all peer review start date: 05/29/2024 
all peer review end date: 05/29/2024 
all peer review rework required start date: na 
all pr rework blocked start date: na 
all pr rework blocked end date: na 
all peer review rework required end date: na  
-------------------------------------------------------------------------------------------- 
all ready for demo date: na 
all demo date: 05/31/2024 
all demo rework required start date: 06/03/2024 
all demo blocked start date: na 
all demo blocked end date: na 
all demo rework required end date: 06/03/2024 
-------------------------------------------------------------------------------------------- 
all ready for client verification date: 06/03/2024; 06/19/2024 
verification assigned to: douglas r. sims  
all client verification start date: 06/05/2024 
all client verification end date: 06/11/2024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</si>
  <si>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Gj1Pj9saB0SjnCdJJMU4pGUAKNV8</t>
  </si>
  <si>
    <t>sop # kin-22801  
config start date: 05/20/2024 
all config blocked start date: na 
all config blocked end date: na 
config end date: 05/21/2024 
 -------------------------------------------------------------------------------------------- 
all peer review start date: 05/22/2024 
all peer review end date: 05/22/2024 
all peer review rework required start date: na 
all pr rework blocked start date: na 
all pr rework blocked end date: na 
all peer review rework required end date: na  
-------------------------------------------------------------------------------------------- 
all ready for demo date: na 
all demo date: 05/23/2024 
all demo rework required start date: 05/24/2024 
all demo blocked start date: na 
all demo blocked end date: na 
all demo rework required end date: 05/28/2024 
-------------------------------------------------------------------------------------------- 
all ready for client verification date: 06/05/2024; 06/19/2024 
verification assigned to: douglas r. sims  
all client verification start date: 06/05/2024 
all client verification end date: 06/05/2024 
all client rework required start date: 06/05/2024; 06/12/2024; 06/19/2024 
all client blocked start date: 06/05/2024 
all client blocked end date: 06/11/2024 
all client rework required end date: 06/11/2024; 06/19/2024;07/03/2024 
------------------------------------------------------------------------------------------- 
verification complete date: 19jul2024 
ready to migrate date: 
inclusion of set up (organisms, media and inoculation) decision pending. (6/5/2024) 
inclusion of set up (organisms, media and inoculation) decision made. (6/11/2024)</t>
  </si>
  <si>
    <t>-zTlwkKObEalVuYjx_dHLGUAHE_4</t>
  </si>
  <si>
    <t>sop #  
config start date: 05/30/2024 
all config blocked start date: na 
all config blocked end date: na 
config end date: 06/03/2024 
 -------------------------------------------------------------------------------------------- 
all peer review start date: 06/04/2024 
all peer review end date: 06/04/2024 
all peer review rework required start date: na 
all pr rework blocked start date: na 
all pr rework blocked end date: na 
all peer review rework required end date: na  
-------------------------------------------------------------------------------------------- 
all ready for demo date: na 
all demo date: 05/23/2024 
all demo rework required start date: na 
all demo blocked start date: na 
all demo blocked end date: na 
all demo rework required end date: na 
-------------------------------------------------------------------------------------------- 
all ready for client verification date: na 
verification assigned to: douglas r. sims  
all client verification start date: 06/05/2024 
all client verification end date: 06/05/2024 
all client rework required start date: na 
all client blocked start date: na 
all client blocked end date: na 
all client rework required end date: na 
------------------------------------------------------------------------------------------- 
verification complete date:  
ready to migrate date:</t>
  </si>
  <si>
    <t>b4oVwKU9N06Ml6aAskwjy2UAD_vG</t>
  </si>
  <si>
    <t>sop #  
config start date: 05/27/2024 
all config blocked start date: na 
all config blocked end date: na 
config end date: 05/30/2024 
 -------------------------------------------------------------------------------------------- 
all peer review start date: 05/30/2024 
all peer review end date: 05/30/2024 
all peer review rework required start date: na 
all pr rework blocked start date: na 
all pr rework blocked end date: na 
all peer review rework required end date: na  
-------------------------------------------------------------------------------------------- 
all ready for demo date: na 
all demo date: 06/05/2024 
all demo rework required start date: 06/05/2024 
all demo blocked start date: na 
all demo blocked end date: na 
all demo rework required end date: 06/11/2024 
-------------------------------------------------------------------------------------------- 
all ready for client verification date: 06/13/2024; 06/19/2024 
verification assigned to: douglas r. sims  
all client verification start date: 06/19/2024; 06/24/2024 
all client verification end date: 06/19/2024; 06/24/2024 
all client rework required start date: 06/19/2024 
all client blocked start date: na 
all client blocked end date: na 
all client rework required end date: 06/19/2024 
------------------------------------------------------------------------------------------- 
verification complete date: 06/24/2024 
ready to migrate date: 06/28/2024</t>
  </si>
  <si>
    <t>Z_EXOTJ5Uky8b7CxzZfE1WUAIxKN</t>
  </si>
  <si>
    <t>vMdfdAcl-UuNDqveSCWFAmUAHGhg</t>
  </si>
  <si>
    <t>sop # 
config start date:05/27/24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date:06/17/24;06/24/24 
all client verification end date:06/17/24;06/24/24 
all client rework required start date:06/19/24 
all client blocked start date:na 
all client blocked end date:na 
all client rework required end date:06/19/24 
--------------------------------------------------------------------------------------------  
verification complete date:06/26/24 
ready to migrate date:06/28/24</t>
  </si>
  <si>
    <t>0kUQyutuSkqpD8ZQl1r1tmUANHvx</t>
  </si>
  <si>
    <t>sop # 
config start date:05/24/24 
all config blocked start date:na 
all config blocked end date:na 
config end date:05/30/24 
 --------------------------------------------------------------------------------------------  
all peer review start date:05/30/24 
all peer review end date:05/30/24 
all peer review rework required start date:na 
all pr rework blocked start date:na 
all pr rework blocked end date:na 
all peer review rework required end date:na 
--------------------------------------------------------------------------------------------  
all ready for demo date:05/31/24 
all demo date:06/05//24 
all demo rework required start date:06/05/24 
all demo blocked start date:na 
all demo blocked end date:na 
all demo rework required end date:06/12/24  
--------------------------------------------------------------------------------------------  
all ready for client verification date:06/13/24;06/19/24 
verification assigned to:douglas r sims 
all client verification start date:06/17/24;06/25/24 
all client verification end date:06/17/24;06/25/24 
all client rework required start date:06/19/24 
all client blocked start date:na 
all client blocked end date:na 
all client rework required end date:06/19/24 
--------------------------------------------------------------------------------------------  
verification complete date:06/26/24 
ready to migrate date:06/28/24</t>
  </si>
  <si>
    <t>7LLfYR3UHkO5sTDcFGqVXGUAG0Wx</t>
  </si>
  <si>
    <t>certification frequency: annual   
quantity: 1 
config start date:04/23/24  
all config blocked start date:na  
all config blocked end date:na  
config end date:04/23/24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</si>
  <si>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IaSxj-mIN0yApLgPf_9H9mUACtgZ</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</si>
  <si>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</si>
  <si>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Y-ISbmdu0k22-nUm5T03GWUAKYzv</t>
  </si>
  <si>
    <t>certification frequency: daily  
quantity: 3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</si>
  <si>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LpZ6OyJecUmTrIFsLJBU6mUAMBWA</t>
  </si>
  <si>
    <t>certification frequency: annual   
quantity: 15 
config start date:04/23/24 
all config blocked start date:na 
all config blocked end date:na 
config end date:04/25/24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</si>
  <si>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w5Oa1k3ovkmKD0zzpR8_aWUAMh99</t>
  </si>
  <si>
    <t>certification
frequency: annual 
quantity: 4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date:na 
all client verification end date:na 
all client rework required start date:na 
all client blocked start date:na 
all client blocked end date:na 
all client rework required end date:na 
--------------------------------------------------------------------------------------------  
verification complete date:na 
ready to migrate date:na</t>
  </si>
  <si>
    <t>Zw7tqD1YeE-OACRMqLuDSGUANUf6</t>
  </si>
  <si>
    <t>certification
frequency: annual   
quantity: 2 
config start date:04/16/24 
all config blocked start date:na 
all config blocked end date:na 
config end date:04/16/24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date:06/04/24 
all client verification end date:06/04/24 
all client rework required start date:na 
all client blocked start date:na 
all client blocked end date:na 
all client rework required end date:na 
--------------------------------------------------------------------------------------------  
verification complete date:na 
ready to migrate date:na</t>
  </si>
  <si>
    <t>YZq-lO5Es02WswSwqUi4tGUAIhkK</t>
  </si>
  <si>
    <t>config start date: 04/16/24  
all config blocked start date: na  
all config blocked end date: na  
config end date: 04/16/24 
 --------------------------------------------------------------------------------------------  
all peer review start date: na  
all peer review end date: na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na  
verification assigned to: douglas r sims  
all client verification start date:06/04/24  
all client verification end date:06/04/24  
all client rework required start date: na  
all client blocked start date: na  
all client blocked end date: na  
all client rework required end date: na  
--------------------------------------------------------------------------------------------  
verification complete date: na  
ready to migrate date: na 
--------------------------------------------------------------------------------------------  
addition information: certification frequency: annual 
quantity: 3</t>
  </si>
  <si>
    <t>Kx50mUWHC0Gl546_UR1bJ2UAAyP7</t>
  </si>
  <si>
    <t>certification
frequency: bi-annual   
quantity: 2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</si>
  <si>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ohst3j6tnUWHNQ1Wlv4Y3WUAPeRU</t>
  </si>
  <si>
    <t>certification
frequency: bi-annual   
quantity: 3 
config start date:04/15/24  
all config blocked start date:na  
all config blocked end date:na  
config end date:04/15/24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to:na  
all client verification start date:na  
all client verification end date:na  
all client rework required start date:na 
all client blocked start date:na 
all client blocked end date:na 
all client rework required end date:na 
--------------------------------------------------------------------------------------------  
verification complete date:na 
ready to migrate date:na</t>
  </si>
  <si>
    <t>aSyh8DvAB0Kkxdul7wmSm2UAG7M6</t>
  </si>
  <si>
    <t>certification
frequency: daily   
quantity:
1  
config start date:04/08/24  
all config blocked start date:na  
all config blocked end date:na  
config end date:04/08/24  
 --------------------------------------------------------------------------------------------  
all peer review start date:na  
all peer review end date:na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to:douglas r sims  
all client verification start date:05/22/24  
all client verification end date:05/22/24  
all client rework required start date:na  
all client blocked start date:na  
all client blocked end date:na  
all client rework required end date:na  
--------------------------------------------------------------------------------------------  
verification complete date:na  
ready to migrate date:na</t>
  </si>
  <si>
    <t>fzPkAqRJOEawvOVV10CRE2UAAJLK</t>
  </si>
  <si>
    <t>certification
frequency: annual  
quantity:
1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</si>
  <si>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11kElDNQcUC26qGxMfM6rmUAPIsp</t>
  </si>
  <si>
    <t>certification
frequency: bi-annual  *** the biannual certification is managed in gmars not in labvantage. 
quantity: 4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to:douglas r sims  
all client verification start date:05/28/24  
all client verification end date:05/28/24  
all client rework required start date:  
all client blocked start date:  
all client blocked end date:  
all client rework required end date:  
--------------------------------------------------------------------------------------------  
verification complete date:  
ready to migrate date:</t>
  </si>
  <si>
    <t>dE5Ov7W1NEiJyuFTHKTJNWUALxz5</t>
  </si>
  <si>
    <t>certification
frequency: annual  
quantity: 3 
config start date:04/16/24  
all config blocked start date:04/16/24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</si>
  <si>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poCFknvcjEOi6OhtZkZ56mUAAVK-</t>
  </si>
  <si>
    <t>certification
frequency: 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</si>
  <si>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sFB277JeFEGmefB4fPDnDWUAPgoN</t>
  </si>
  <si>
    <t>certification
frequency: bi-annual 
quantity: 3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</si>
  <si>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uCT-skNh6U6RZWN1F-ei9mUANsIv</t>
  </si>
  <si>
    <t>certification
frequency: annual 
quantity: 2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</si>
  <si>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rozbP3QMq0WlcfOy0d3tnGUAF0Il</t>
  </si>
  <si>
    <t>certification
frequency: bi-annual   
quantity:
1  
config start date:04/16/24  
all config blocked start date:na  
all config blocked end date:na  
config end date:04/16/24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</si>
  <si>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0GbCLeQJhkCGYAMSgmWaz2UAFrFY</t>
  </si>
  <si>
    <t>certification
frequency: annual   
quantity:
1  
config start date:04/15/24 
all config blocked start date:na 
all config blocked end date:na 
config end date:04/15/24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</si>
  <si>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duLmOk7MDk2Qubdm1t8XPGUAO2TE</t>
  </si>
  <si>
    <t>certification frequency: bi-annual  
quantity: 6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</si>
  <si>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gtdSIxT1hUy40BcSix0g9mUAGtwv</t>
  </si>
  <si>
    <t>certification frequency: annual   
quantity: 7 
config start date:04/08/24 
all config blocked start date:04/10/24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</si>
  <si>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9T7_ThADvESkd-Jh6Jf_82UAJiN_</t>
  </si>
  <si>
    <t>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</si>
  <si>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vbc-U1YZ8keA7Yh_egtaNmUAC4hR</t>
  </si>
  <si>
    <t>certification frequency: daily  
quantity: 1 
config start date:04/08/24 
all config blocked start date:na 
all config blocked end date:na 
config end date:04/08/24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</si>
  <si>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IjrWtBNJ-ki2AqC5JB3oRWUALGQr</t>
  </si>
  <si>
    <t>sop # prd-101861 
actions: 
send email to chloe with doubts about the consumables 
config start date:04/30/24 
all config blocked start date:na 
all config blocked end date:na 
config end date:05/07/24 
 -------------------------------------------------------------------------------------------- 
all peer review start date:05/08/24 
all peer review end date:05/08/24 
all peer review rework required start date:na 
all pr rework blocked start date:na 
all pr rework blocked end date:na 
all peer review rework required end date:na 
-------------------------------------------------------------------------------------------- 
all ready for demo date:05/08/24 
all demo date:05/17/24 
all demo rework required start date:05/17/24 
all demo blocked start date:na 
all demo blocked end date:na 
all demo rework required end date:05/17/24 
-------------------------------------------------------------------------------------------- 
all ready for client verification date:05/18/24 
verification assigned to:douglas r sims 
all client verification start date:05/30/24 
all client verification end date:05/31/24 
all client rework required start date:na 
all client blocked start date:na 
all client blocked end date:na 
all client rework required end date:na 
-------------------------------------------------------------------------------------------- 
verification complete date: 
ready to migrate date:</t>
  </si>
  <si>
    <t>jKTaO4O6N0m-S7voK0tzpmUAJmka</t>
  </si>
  <si>
    <t>06/21/24 
sop # 42052 
config start date:05/06/24 
all config blocked start date:05/10/24 
all config blocked end date:05/16/24 
config end date:05/22/24 
 -------------------------------------------------------------------------------------------- 
all peer review start date:05/22/24 
all peer review end date:05/22/24 
all peer review rework required start date:na 
all pr rework blocked start date:na 
all pr rework blocked end date:na 
all peer review rework required end date:na 
-------------------------------------------------------------------------------------------- 
all ready for demo date:05/22/24 
all demo date:05/23/24 
*verification was
needed after demo. got updates on 06/11/24. rework is needed. 
all demo rework required start date:05/23/24;06/21/24;07/01/24 
all demo blocked start date:05/23/24;06/25/24 
all demo blocked end date:06/11/24;06/28/24 
all demo rework required end date:06/12/24;07/03/24 
-------------------------------------------------------------------------------------------- 
all ready for client verification date:07/03/24 
verification assigned to:douglas r sims 
all client verification start date:  07/10/2024 
all client verification end date:  07/10/2024 
all client rework required start date: 
all client blocked start date: 
all client blocked end date: 
all client rework required end date: 
-------------------------------------------------------------------------------------------- 
verification complete date: 07/10/2024 
ready to migrate date:</t>
  </si>
  <si>
    <t>CZ_HcBC4RkiTpTXKaJz8b2UALRjU</t>
  </si>
  <si>
    <t>sop # kin-41969 (v5.0) 
config start date:04/18/24 
all config blocked start date:04/20/24 
all config blocked end date:04/22/24 
config end date:04/29/24 
 -------------------------------------------------------------------------------------------- 
all peer review start date:05/01/24 
all peer review end date:05/02/24 
all peer review rework required start date:na 
all pr rework blocked start date:na 
all pr rework blocked end date:na 
all peer review rework required end date:na 
-------------------------------------------------------------------------------------------- 
all ready for demo date:05/03/24 
all demo date:05/17/24 
all demo rework required start date:05/17/24 
all demo blocked start date:na 
all demo blocked end date:na 
all demo rework required end date:05/24/24 
-------------------------------------------------------------------------------------------- 
all ready for client verification date:05/25/24 
verification assigned to:douglas r sims 
all client verification start date:06/03/24 
all client verification end date:06/04/24 
all client rework required start date:06/04/24 
all client blocked start date:na 
all client blocked end date:na 
all client rework required end date:06/11/24 
-------------------------------------------------------------------------------------------- 
verification complete date: 
ready to migrate date:</t>
  </si>
  <si>
    <t>TOd6X9KyKkaIetpzwnBes2UAL7DR</t>
  </si>
  <si>
    <t>Douglas R Sims;Tessa Merryman - Network;Gregory Barrantes - Network;Juliana Masis - Network</t>
  </si>
  <si>
    <t>same method as concord - please see card in con 
sop # kin-30191/kin
19250-001 bio indicators-003 
rhoda is building same method for concord - need sample template, batch type, sample type - this request is with doug to get the types and template to be approved by business (business team peter, nancy, nieves) - requested 28 june 24 
config start date:04/12/24 
all config blocked start date:na 
all config blocked end date:na 
config end date:04/16/24 
 -------------------------------------------------------------------------------------------- 
all peer review start date:04/17/24 
all peer review end date:04/19/24 
all peer review rework required start date:na 
all pr rework blocked start date:na 
all pr rework blocked end date:na 
all peer review rework required end date:na 
-------------------------------------------------------------------------------------------- 
all ready for demo date:04/20/24 
all demo date:04/24/24 
all demo rework required start date:04/24/24 
all demo blocked start date:na 
all demo blocked end date:na 
all demo rework required end date:05/03/24 
-------------------------------------------------------------------------------------------- 
all ready for client verification date: 07/09/2024 
verification assigned to: 
all client verification start date: 
all client verification end date: 
all client rework required start date: 
all client blocked start date: 
all client blocked end date: 
all client rework required end date: 
-------------------------------------------------------------------------------------------- 
verification complete date: 25jul2024 
ready to migrate date:</t>
  </si>
  <si>
    <t>m3mf6X89oUC3u5XNvL-hW2UANu2J</t>
  </si>
  <si>
    <t>sop # kin-19245-007-water-007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date:04/05/24 
all demo blocked start date:na 
all demo blocked end date:na 
all demo rework required end date:04/10/24 
-------------------------------------------------------------------------------------------- 
all ready for client verification date:04/10/24;05/16/24 
verification assigned to:douglas r sims 
all client verification start date:04/11/24;05/16/24 
all client verification end date:05/13/24;05/20/24 
all client rework required start date:05/13/24 
all client blocked start date:na 
all client blocked end date:na 
all client rework required end date:05/16/24 
-------------------------------------------------------------------------------------------- 
verification complete date: 
ready to migrate date:</t>
  </si>
  <si>
    <t>OhliP_fVuEaihYdP3XD342UAI-L9</t>
  </si>
  <si>
    <t>Tessa Merryman - Network;Tim Patch - Network</t>
  </si>
  <si>
    <t>Test Method;Do Not Delete until Invoiced</t>
  </si>
  <si>
    <t>sop # kin-g1515-att-water 
config start date:04/01/24 
all config blocked start date:na 
all config blocked end date:na 
config end date:04/05/24 
 -------------------------------------------------------------------------------------------- 
all peer review start date:na 
all peer review end date:na 
all peer review rework required start date:na 
all pr rework blocked start date:na 
all pr rework blocked end date:na 
all peer review rework required end date:na 
-------------------------------------------------------------------------------------------- 
all ready for demo date:na 
all demo date:04/24/24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</si>
  <si>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1j_zh8yf6kWmXZrK-6iNQmUAIkn1</t>
  </si>
  <si>
    <t>sop # kin-19245-007-water-004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date:04/04/24 
all demo date:04/05/24 
all demo rework required start date:04/08/24 
all demo blocked start date:na 
all demo blocked end date:na 
all demo rework required end date:04/10/24 
-------------------------------------------------------------------------------------------- 
all ready for client verification date:04/11/24;04/18/24;05/03/24 
verification assigned to:douglas r sims 
all client verification start date:04/12/24;04/23/24;05/20/24 
all client verification end date:04/12/24;04/23/24;05/20/24 
all client rework required start date:04/12/24;04/24/24 
all client blocked start date:na 
all client blocked end date:na 
all client rework required end date:04/18/24;05/03/24 
-------------------------------------------------------------------------------------------- 
verification complete date:05/20/24 
ready to migrate date:</t>
  </si>
  <si>
    <t>CYfg1vBfVkKI1iXc9MHTNmUAMjW7</t>
  </si>
  <si>
    <t>Douglas R Sims;Tessa Merryman - Network;Mariana Torres - Network</t>
  </si>
  <si>
    <t>sop # kin-19245-007-water-005 
config start date:04/01/24 
all config blocked start date:na 
all config blocked end date:na 
config end date:04/04/24 
 -------------------------------------------------------------------------------------------- 
all peer review start date:04/04/24 
all peer review end date:04/04/24 
all peer review rework required start date:na 
all pr rework blocked start date:na 
all pr rework blocked end date:na 
all peer review rework required end date:na 
-------------------------------------------------------------------------------------------- 
all ready for demo date: 
all demo date:04/05/24 
all demo rework required start date:04/08/24 
all demo blocked start date:na 
all demo blocked end date:na 
all demo rework required end date:04/10/24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</si>
  <si>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Q85dpaktqUaQvjhyMs5FX2UAONK-</t>
  </si>
  <si>
    <t>Rhoda Gill - Network;Cristofer Orozco - Network</t>
  </si>
  <si>
    <t>NMP method;New</t>
  </si>
  <si>
    <t>sop # pr5-hplc-pm-cal-nmp 
config start date: 
all config blocked start date: 
all config blocked end date: 
config end date: 
 -------------------------------------------------------------------------------------------- 
all peer review start date: 07/23/2024 
all peer review end date: 
all peer review rework required start date: 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</si>
  <si>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DufPHUm4yUK2Go8UsRmnXmUAEl-i</t>
  </si>
  <si>
    <t>6.Peer Review In Progress</t>
  </si>
  <si>
    <t>Joshua Vargas - Network;Javier Coronado - Network;Kimberly Mata - Network;Fabian Soma - Network;Daniel Bonilla - Network;Daniela Maroto - Network</t>
  </si>
  <si>
    <t>Full Build</t>
  </si>
  <si>
    <t>sop # 
config start date:06/03/24 
all config blocked start date: na 
all config blocked end date: 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</si>
  <si>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XYrmBT1DBkuOY9ELcIDddGUAMTio</t>
  </si>
  <si>
    <t>A09426: Identification of Tetracycline Hydrochloride by IR USP Method</t>
  </si>
  <si>
    <t>Rhoda Gill - Network;Kimberly Mata - Network</t>
  </si>
  <si>
    <t>Test Method;Consumable;Raw material;am;Full Build</t>
  </si>
  <si>
    <t>sop # a09426 
config start date:05/31/24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</si>
  <si>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6T7muWYX2E6hdaL2EEU8q2UAB9k7</t>
  </si>
  <si>
    <t>Joseph Alexander - Network;Rhoda Gill</t>
  </si>
  <si>
    <t>Instrument;NMP method;am</t>
  </si>
  <si>
    <t>sop # pr5-balance-cal-check-nmp 
config start date: 05/29/24 
all config blocked start date: na 
all config blocked end date: na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</si>
  <si>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aXhzqtnXVUO1DyWe7flXpmUAPk-N</t>
  </si>
  <si>
    <t>sop # pr5-balance-cal-check-nmp 
config start date:05/29/24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</si>
  <si>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k3tRc9aLt0u5zkyhyN_LJ2UAKSvA</t>
  </si>
  <si>
    <t>build out a mineral oil technique template for the ftir.  based on method 000236. 
config start date:05/29/24 
all config blocked start date: na 
all config blocked end date: na 
config end date: 05/29/24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</si>
  <si>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BfoCBWghEU-LC93nVUP0tGUAE0mR</t>
  </si>
  <si>
    <t>Fabian Soma - Network;Daniel Bonilla - Network;Daniela Maroto - Network</t>
  </si>
  <si>
    <t>sop # 
config start date:05/24/24 
all config blocked start date: 
all config blocked end date: 
config end date:05/27/24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</si>
  <si>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kS_ImVRXskmbv4feUcrhuGUAM08c</t>
  </si>
  <si>
    <t>Rhoda Gill - Network;Nannette Umpierre</t>
  </si>
  <si>
    <t xml:space="preserve">Test Method;Instrument;Empower </t>
  </si>
  <si>
    <t>sop # pr5-ftir-cal-nmp 
config start date:05/22/24 
all config blocked start date: na 
all config blocked end date: na 
config end date: 05/22/24 
 -------------------------------------------------------------------------------------------- 
all peer review start date: na 
all peer review end date: na 
all peer review rework required start date: na 
all pr rework blocked start date: na 
all pr rework blocked end date: na 
all peer review rework required end date: na 
-------------------------------------------------------------------------------------------- 
all ready for demo date:05/22/24;05/23/24 
all demo date:05/22/24;05/23/24 
all demo rework required start date:05/23/24 
all demo blocked start date: na 
all demo blocked end date: na 
all demo rework required end date:05/23/24 
-------------------------------------------------------------------------------------------- 
all ready for client verification date:06/06/24;06/11/24 
verification assigned to: miguel lozada 
all client verification start date:06/06/24 
all client verification end date:06/11/24 
all client rework required start date:06/11/24 
all client blocked start date: na 
all client blocked end date: na 
all client rework required end date:06/11/24 
-------------------------------------------------------------------------------------------- 
verification complete date:06/13/24 
ready to migrate date:</t>
  </si>
  <si>
    <t>tua0PFb03kSXHEh6lHVEL2UAHpCV</t>
  </si>
  <si>
    <t>Fabian Soma - Network;Rhoda Gill</t>
  </si>
  <si>
    <t>sop # b00261 
config start date:05/14/24 
all config blocked start date: na 
all config blocked end date: na 
config end date: 05/16/24 
 -------------------------------------------------------------------------------------------- 
all peer review start date:na 
all peer review end date:na 
all peer review rework required start date:na 
all pr rework blocked start date:na 
all pr rework blocked end date:na 
all peer review rework required end date:na 
-------------------------------------------------------------------------------------------- 
all ready for demo date:na 
all demo date:05/16/24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</si>
  <si>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xlOhOLVIM0aJr_2Ef2fdVGUAGgWd</t>
  </si>
  <si>
    <t>Glenda Fernandez - Network;Andrea Fuentes;Nannette Umpierre</t>
  </si>
  <si>
    <t>Test Method;am;Skeleton Build;New</t>
  </si>
  <si>
    <t>important: indy method to report only data analysis 
sop # api-g1153-local 
config start date:06/05/24 
all config blocked start date: na 
all config blocked end date: na 
config end date: 06/05/24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 
all client blocked start date: 
all client blocked end date: 
all client rework required end date: 
-------------------------------------------------------------------------------------------- 
verification complete date:06/27/24 
ready to migrate date: 7/29/2024</t>
  </si>
  <si>
    <t>QCS75k2wN0OG2Quan01wbGUACMu7</t>
  </si>
  <si>
    <t>Alejandra Robles - Network;Andrea Fuentes;Nannette Umpierre</t>
  </si>
  <si>
    <t>sop # api-g1155-local 
config start date: 06/05/2024 
all config blocked start date: na 
all config blocked end date: na 
config end date: 06/05/2024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 
verification assigned to: noel mendez  
all client verification start date: 06/17/2024 
all client verification end date: 06/20/2024 
all client rework required start date: na 
all client blocked start date: na 
all client blocked end date: na 
all client rework required end date: na 
------------------------------------------------------------------------------------------- 
verification complete date: 06/27/2024 
ready to migrate date: 07/30/2024 
important: indy method to report only data analysis</t>
  </si>
  <si>
    <t>GWBc6Hdvwku_-6TPn6T0emUADk5O</t>
  </si>
  <si>
    <t>Andrea Fuentes;Nannette Umpierre</t>
  </si>
  <si>
    <t>sop # api-g1983-local 
important: indy method to report only data analysis 
config start date:06/05/24 
all config blocked start date:na 
all config blocked end date:na 
config end date:06/05/24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to:nannette umpierre 
all client verification start date:06/17/24 
all client verification end date:07/01/24 
all client rework required start date: 07/01/2024 
all client blocked start date:na 
all client blocked end date:na 
all client rework required end date: 07/11/2024 
-------------------------------------------------------------------------------------------- 
verification complete date: 07/11/2024 
ready to migrate date:07/30/2024</t>
  </si>
  <si>
    <t>5qoiisxGSkGFvKDma8C8I2UAKE-B</t>
  </si>
  <si>
    <t>Shannon Blais - Network;Alejandra Robles - Network;Nannette Umpierre</t>
  </si>
  <si>
    <t>Test Method;Drug substance;am;Skeleton Build;Finished Product;New</t>
  </si>
  <si>
    <t>sop # api-g2067-local 
important: indy method to report only data analysis 
config start date: 05/28/24 
all config blocked start date: na 
all config blocked end date: na 
config end date: 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date:07/30/2024</t>
  </si>
  <si>
    <t>ZJLK_YV7NU67YdVHsaPn3mUAD4dn</t>
  </si>
  <si>
    <t>Glenda Fernandez - Network;Daniela Azofeifa;Nannette Umpierre</t>
  </si>
  <si>
    <t>sop # api-g2009-local 
important: indy method to report only
data analysis 
config start date:05/28/24 
all config blocked start date:na 
all config blocked end date:na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 7/29/2024</t>
  </si>
  <si>
    <t>4yaF96R3W0muw_PSR0lArWUALnlG</t>
  </si>
  <si>
    <t>Sely Cheung;Nannette Umpierre</t>
  </si>
  <si>
    <t>sop # api-g1936-local 
important: indy method to report only data analysis 
config start date:05/27/24 
all config blocked start date:na 
all config blocked end date:na 
config end date:05/28/24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to:miguel lozada 
all client verification start date:06/17/24 
all client verification end date:06/20/24 
all client rework required start date:07/05/2024 
all client blocked start date:na 
all client blocked end date:na 
all client rework required end date:07/05/2024 
-------------------------------------------------------------------------------------------- 
verification complete date: 07/09/2024 
ready to migrate date:07/31/2024</t>
  </si>
  <si>
    <t>htjouXX650OuJuwzzca5J2UABBc9</t>
  </si>
  <si>
    <t>Unit Test Complete</t>
  </si>
  <si>
    <t>Rhoda Gill - Network;Raquel Bolanos - Network;Raquel Bolaños;Nannette Umpierre;Rhoda Gill</t>
  </si>
  <si>
    <t>sop # api-g1287-local 
important: indy method
to report only data analysis  
config start date:05/23/24 
all config blocked start date:na 
all config blocked end date:na 
config end date:05/23/24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</si>
  <si>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2eDj9gDC_0etMU63mUKbyWUAFBB2</t>
  </si>
  <si>
    <t>sop # api-g1149-local 
important: indy method to report only data analysis 
config start date:05/28/24 
all config blocked start date:na 
all config blocked end date:na 
config end date: 05/29/24 
 -------------------------------------------------------------------------------------------- 
all peer review start date:06/12/24 
all peer review end date:06/13/24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date:06/13/24 
verification assigned to:nannette umpierre 
all client verification start date:06/13/24 
all client verification end date:06/13/24 
all client rework required start date:06/17/24 
all client blocked start date:na 
all client blocked end date:na 
all client rework required end date:07/05/24 
-------------------------------------------------------------------------------------------- 
verification complete date: 07/09/2024 
ready to migrate date:</t>
  </si>
  <si>
    <t>E7dn0HZ5V0-HRFy_THLgQmUAFXof</t>
  </si>
  <si>
    <t>sop # api-g1148-local 
important: indy method to report only data analysis  
config start date:05/28/24 
all config blocked start date:na 
all config blocked end date:na 
config end date:05/29/24 
 -------------------------------------------------------------------------------------------- 
all peer review start date:06/17/24 
all peer review end date:06/17/24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date:06/17/24 
verification assigned to:miguel lozada 
all client verification start date:06/17/24 
all client verification end date:06/20/24 
all client rework required start date: 
all client blocked start date: 
all client blocked end date: 
all client rework required end date: 
-------------------------------------------------------------------------------------------- 
verification complete date:06/25/24 
ready to migrate date:</t>
  </si>
  <si>
    <t>PlK5iUU1GkKvuE3kwQ4gGWUADQz1</t>
  </si>
  <si>
    <t>Giuliana Barahona;Nannette Umpierre</t>
  </si>
  <si>
    <t>sop # api-b13000-local 
important: indy method to report only data analysis  
config start date:05/28/24 
all config blocked start date:na 
all config blocked end date:na 
config end date:05/28/24 
 -------------------------------------------------------------------------------------------- 
all peer review start date:06/19/24 
all peer review end date:06/19/24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date:06/19/24 
verification assigned to:noel mendez 
all client verification start date:06/19/24 
all client verification end date:06/21/24 
all client rework required start date: 
all client blocked start date: 
all client blocked end date: 
all client rework required end date: 
-------------------------------------------------------------------------------------------- 
verification complete date:07/01/24 
ready to migrate date:</t>
  </si>
  <si>
    <t>uFFeCfMrZkCtqgzWDOMIN2UAK91z</t>
  </si>
  <si>
    <t>Rhoda Gill - Network;Shannon Blais - Network;Raquel Bolanos - Network;Raquel Bolaños;Nannette Umpierre;Rhoda Gill</t>
  </si>
  <si>
    <t>sop # api-b10389-local 
important: indy method to report only data analysis  
config start date:05/23/24 
all config blocked start date:na 
all config blocked end date:na 
config end date:05/23/24 
 -------------------------------------------------------------------------------------------- 
all peer review start date:06/20/24 
all peer review end date:06/20/24 
all peer review rework required start date: 
all pr rework blocked start date: 
all pr rework blocked end date: 
all peer review rework required end date: 
-------------------------------------------------------------------------------------------- 
all ready for demo date: 
all demo date: 
all demo rework required start date:07/08/2024 
all demo blocked start date: 
all demo blocked end date: 
all demo rework required end date: 
-------------------------------------------------------------------------------------------- 
all ready for client verification date:06/20/24 
verification assigned to: miguel lozada 
all client verification start date: 06/20/2024 
all client verification end date: 06/21/2024 
all client rework required start date: 07/08/2024 
all client blocked start date: 
all client blocked end date: 
all client rework required end date:07/10/2024 
-------------------------------------------------------------------------------------------- 
verification complete date:07/10/2024 
ready to migrate date:</t>
  </si>
  <si>
    <t>NDxdN3beakOPdH31XBgJfGUAGH0M</t>
  </si>
  <si>
    <t>sop # api-b08917-local 
important: indy method to report only data analysis 
config start date:05/23/24 
all config blocked start date:na 
all config blocked end date:na 
config end date:05/23/24 
 -------------------------------------------------------------------------------------------- 
all peer review start date:06/19/24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06/19/2024 
verification assigned to: noel mendez 
all client verification start date: 06/19/2024 
all client verification end date: 06/21/2024 
all client rework required start date: 
all client blocked start date: 
all client blocked end date: 
all client rework required end date: 
-------------------------------------------------------------------------------------------- 
verification complete date: 07/01/2024 
ready to migrate date:</t>
  </si>
  <si>
    <t>sbs65YNNqUyZPteFCt8ANGUACtP7</t>
  </si>
  <si>
    <t>sop # api-b08916-local 
important: indy method to report only data analysis  
config start date:05/28/24 
all config blocked start date: na 
all config blocked end date: na 
config end date: 05/28/24 
 -------------------------------------------------------------------------------------------- 
all peer review start date:06/11/24 
all peer review end date:06/11/24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date:06/12/24;06/13/24 
verification assigned to:nannette umpierre 
all client verification start date:06/12/24;06/13/24 
all client verification end date:06/12/24;06/13/24 
all client rework required start date:06/13/24 
all client blocked start date:na 
all client blocked end date:na 
all client rework required end date:06/13/24 
-------------------------------------------------------------------------------------------- 
verification complete date:06/13/24 
ready to migrate date:</t>
  </si>
  <si>
    <t>358s5cXvgUqNSclFdgAIn2UAMU11</t>
  </si>
  <si>
    <t>To Be Deleted</t>
  </si>
  <si>
    <t>Joshua Vargas - Network;Fabian Soma - Network;Daniel Bonilla - Network;Daniela Maroto - Network</t>
  </si>
  <si>
    <t>config start date: 04/29/24 
all config blocked start date: na 
all config blocked end date: na 
config end date:05/15/24 
 -------------------------------------------------------------------------------------------- 
all peer review start date: 
all peer review end date: 
all peer review rework required start date: 
all pr rework blocked start date: 
all pr rework blocked end date: 
all peer review rework required end date: 
-------------------------------------------------------------------------------------------- 
all ready for demo date: 
all demo date:05/14/24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</si>
  <si>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QdKDUXphA0uekyLsE9xEImUAOYsC</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</si>
  <si>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</si>
  <si>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0w8HoxDU806HWNLYC2vlNWUAOx2K</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</si>
  <si>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</si>
  <si>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uvq_LTykZUC7WzcAdJoT22UACg5S</t>
  </si>
  <si>
    <t>Ivan Solis - Network;Cristofer Orozco - Network;Melanny Camacho - Network;Raquel Bolaños;Andres Esquivel - Network</t>
  </si>
  <si>
    <t>config start date:05/06/24 
all config blocked start date: 
all config blocked end date: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</si>
  <si>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M97V9eF7ckqBGz3IjucqyWUAMRVm</t>
  </si>
  <si>
    <t>Kimberly Mata - Network;Carlos Rocha - Network;Cristofer Orozco - Network;Melanny Camacho - Network;Raquel Bolanos - Network;Andres Esquivel - Network;Daniela Maroto - Network</t>
  </si>
  <si>
    <t>Skeleton Build</t>
  </si>
  <si>
    <t>config start date:04/29/24 
all config blocked start date: 
all config blocked end date: 
config end date:05/07/24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</si>
  <si>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SkLcGKmLIEKdGtaXcraLKmUABZx-</t>
  </si>
  <si>
    <t>Rhoda Gill - Network;Sely Cheung;Nannette Umpierre;Noel Mendez - Network</t>
  </si>
  <si>
    <t>Test Method;Consumable;Raw material;am;Skeleton Build;New</t>
  </si>
  <si>
    <t>config start date: 05/29/24 
all config blocked start date: 
all config blocked end date: 
config end date: 05/29/24 
 -------------------------------------------------------------------------------------------- 
all peer review start date:06/19/24 
all peer review end date:06/19/24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date:06/19/2024;07/10/24 
verification assigned to: noel mendez 
all client verification start date: 06/19/2024 
all client verification end date: 06/21/2024 
all client rework required start date:07/08/2024 
all client blocked start date: 
all client blocked end date: 
all client rework required end date:07/18/24 
-------------------------------------------------------------------------------------------- 
verification complete date: 
ready to migrate date:</t>
  </si>
  <si>
    <t>_UlD_yXSwki6a4Yxlw6SNWUAD2CK</t>
  </si>
  <si>
    <t>Micro method;New</t>
  </si>
  <si>
    <t>sop # micro-pr-vesph-hypo-prep-nmp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</si>
  <si>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VvNHI8-v8kCBuKjrkBW7f2UAPcAd</t>
  </si>
  <si>
    <t>sop # micro-pr-sodium-thio10%-nmp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</si>
  <si>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wu2OPp7EmEazgIXdnpDkEGUAPPGP</t>
  </si>
  <si>
    <t>sop # micro-pr-sample-weights-reg-nmp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</si>
  <si>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CryVO5ZeikeCqASo6I-Ay2UAC8q-</t>
  </si>
  <si>
    <t>sop # micro-pr-rm-fp-raw-data-reg-nmp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</si>
  <si>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iH4QHpdgWEOxuuFBe9Go3mUACUTm</t>
  </si>
  <si>
    <t>sop # micro-pr-ref-std-inventory-nmp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</si>
  <si>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b1lEXc1RH0Gim_fMHLv1_2UAEGnz</t>
  </si>
  <si>
    <t>sop # micro-pr-primus-cycles-reg-nmp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</si>
  <si>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WI0ozvTdSE2JWIRksyTbJGUAHstb</t>
  </si>
  <si>
    <t>sop # micro-pr-plasmid-soln-prep-nmp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</si>
  <si>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qhPMyByfI0qEaIRbE-Wzh2UAKeCn</t>
  </si>
  <si>
    <t>sop # micro-pr-phage-raw-data-reg-nmp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</si>
  <si>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Yz0wvcqfSkucFJVbSuQWwmUAJTtt</t>
  </si>
  <si>
    <t>sop # micro-pr-ph-meter-cal-nmp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</si>
  <si>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axKERf2et0WsX1oE6iGKnWUALdxh</t>
  </si>
  <si>
    <t>sop # micro-pr-org-rehydratation-reg-nmp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</si>
  <si>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W8nAEqhT80u_bWw4q2DNZWUAJIWP</t>
  </si>
  <si>
    <t>sop # micro-pr-org-profile-nmp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</si>
  <si>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OPs2Qp0I4Eq0i1i4yO5exWUAGc32</t>
  </si>
  <si>
    <t>sop # micro-pr-org-cult-rec-nmp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</si>
  <si>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oCdCRxVZmEShHpKGbT7B52UANsr4</t>
  </si>
  <si>
    <t>sop # micro-pr-milli q-daily-check-nmp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</si>
  <si>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PW-1ZJaya0Kum04aGwMUd2UAMNC8</t>
  </si>
  <si>
    <t>sop # micro-pr-media-tempering-reg-nmp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</si>
  <si>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NDDihKvLPUuySRD_LpXCs2UAKP60</t>
  </si>
  <si>
    <t>sop # micro-pr-media-prep-nmp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</si>
  <si>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HP3QmBDAXkCexmKfcnk102UAIqJn</t>
  </si>
  <si>
    <t>sop # micro-pr-mat-med-reg-nmp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</si>
  <si>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wAJLEwhvDE-RqwMBuQm2tGUAD3uI</t>
  </si>
  <si>
    <t>sop # micro-pr-fluid-h-nmp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</si>
  <si>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ob_rcEkrXUm0eu4OTi-nMmUAGn-E</t>
  </si>
  <si>
    <t>sop # micro-pr-ecoli-cp1-profile-nmp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</si>
  <si>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BDxunDuaz0CA58MkE-XCtmUADNj6</t>
  </si>
  <si>
    <t>sop # micro-pr-daily-raw-data-reg-nmp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</si>
  <si>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gea-EBPC2UKF0W1RJ8HPwmUABadq</t>
  </si>
  <si>
    <t>sop # micro-pr-comp-air-filter-prep-nmp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</si>
  <si>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7IQG42OMFU-NRKF8OkXm8mUAPasZ</t>
  </si>
  <si>
    <t>sop # micro-pr-cm-pm-reg-nmp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</si>
  <si>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504aOcwt8E6AQTZoCZt-FGUAJs2R</t>
  </si>
  <si>
    <t>sop # micro-pr-cl-sa-reg-nmp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</si>
  <si>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6JYfDZyumEKm47fjTDbuPmUANo5P</t>
  </si>
  <si>
    <t>sop # micro-pr-balance-req-nmp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</si>
  <si>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9hjBW4y25Ei9C5bAAowX62UACZgp</t>
  </si>
  <si>
    <t>sop # micro-pr-balance-cal-check-nmp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</si>
  <si>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pNUMQ3DB_kasmLwieK8t3mUAJvCn</t>
  </si>
  <si>
    <t>sop # micro- pr-atc-probe-check-nmp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</si>
  <si>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jmE97W1N40u9V6rgJGyi7mUAL6ZS</t>
  </si>
  <si>
    <t>sop # micro-pr-amylase-reg-nmp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</si>
  <si>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M8xtXWxtKk27ZJ4RN3F1r2UAPrck</t>
  </si>
  <si>
    <t>sop # micro-pr-aborted-seq-reg-nmp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</si>
  <si>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mZtPOTIiJEmOGyDmFHKcimUAF_EE</t>
  </si>
  <si>
    <t>sop # micro-b13102-local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</si>
  <si>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zIKzeumN3k-_vRq4GS3NVGUAN8JC</t>
  </si>
  <si>
    <t>sop # micro-b12286-local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</si>
  <si>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F-O5t0APIUC5oIUw04uviWUAKPEX</t>
  </si>
  <si>
    <t>sop # micro-b12285-local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</si>
  <si>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5VoqWUjrlEmYmVoxZbY2vmUAGVkL</t>
  </si>
  <si>
    <t>sop # micro-b12284-local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</si>
  <si>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p97EIajMKUCeSirdEgWsEmUABzru</t>
  </si>
  <si>
    <t>sop # micro-b12283-local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</si>
  <si>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gOSwA90zTE-gFwAH8tj5VGUAFUeX</t>
  </si>
  <si>
    <t>sop # micro-b12282-local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</si>
  <si>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EMxMvlK0JEyt7Lrg4_MqPGUAE8iu</t>
  </si>
  <si>
    <t>sop # micro-b12281-local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</si>
  <si>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KCOoaWYqckeozXHwJPw2n2UAPyj5</t>
  </si>
  <si>
    <t>sop # micro-b12280-local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</si>
  <si>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qJQZD78bhEuh-QlHEeDOYGUAF2K1</t>
  </si>
  <si>
    <t>sop # micro-b12279-local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</si>
  <si>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zb70BTJhk0e0knBprv3HCWUANuG4</t>
  </si>
  <si>
    <t>sop # micro-b12278-local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</si>
  <si>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Gpzcv7AohUiMhdg-Flr32WUAPwXP</t>
  </si>
  <si>
    <t>sop # micro-b12277-local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</si>
  <si>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ZKdJArQGpk2r2dk3Ax5aTWUAJQqg</t>
  </si>
  <si>
    <t>sop # micro-b12276-local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</si>
  <si>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_2Sz0Ms5FESDqOhm6SkMDGUAKVaI</t>
  </si>
  <si>
    <t>sop # micro-b12176-local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</si>
  <si>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d_KkQ7Yiz0GTorgDJv0b-GUABN7Y</t>
  </si>
  <si>
    <t>sop # micro-b11278-local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</si>
  <si>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r_Oj9E0AfUajSlL22EH7S2UAJgXy</t>
  </si>
  <si>
    <t>sop # micro-b10891-local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</si>
  <si>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dAw_LeJKZEmpAujGl4I5c2UAMNca</t>
  </si>
  <si>
    <t>sop # micro-b10524-local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</si>
  <si>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28vu51fYfE2gxKIk0EqM7WUAFXka</t>
  </si>
  <si>
    <t>sop # micro-b07215-local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</si>
  <si>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LX9L8ZWDr0eDwwiFtHwgA2UAI3yn</t>
  </si>
  <si>
    <t>sop # micro-b03888-local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</si>
  <si>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zW4-TAeBF0al8iwVt1f4hWUAFbiQ</t>
  </si>
  <si>
    <t>sop # micro-b01959-local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</si>
  <si>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kXP0uPNFUUWRKzjUWimo92UALRKB</t>
  </si>
  <si>
    <t>sop # micro-000368-local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</si>
  <si>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Wz8KoY4p_Uuz8sWFjtJqsmUAIyqa</t>
  </si>
  <si>
    <t>sop # micro-000343-local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</si>
  <si>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_J_W1mdPB02byZYzO24KS2UADyQB</t>
  </si>
  <si>
    <t>sop # micro-000335-local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</si>
  <si>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v4aXJMW6OUCJj3tTFc6NnGUAIXj5</t>
  </si>
  <si>
    <t>sop # micro-000334-local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</si>
  <si>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qNqnSWMB8k6GbAblma0qTGUAKRzk</t>
  </si>
  <si>
    <t>sop # micro-000237-local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</si>
  <si>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6VLx_n2ri0G9rEzKnVhoQWUAJNrl</t>
  </si>
  <si>
    <t>sop # micro-000230-local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</si>
  <si>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WYnqL3FPyUK4bYDyTVzKB2UAKvbP</t>
  </si>
  <si>
    <t>sop # micro-000206-local-1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</si>
  <si>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DN7elK_xvEC7XWvqPKvzsGUADYTI</t>
  </si>
  <si>
    <t>sop # ldc-micro-mth-18203-local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</si>
  <si>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GCkii5PlHUOXl69TBMIjUWUAKR0E</t>
  </si>
  <si>
    <t>Cristofer Orozco - Network</t>
  </si>
  <si>
    <t>sop # pr5-weights-registration-nmp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</si>
  <si>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-Vtv09IPiUyDkOczm_x8GmUAFgEf</t>
  </si>
  <si>
    <t>Joshua Vargas - Network;Daniela Maroto - Network</t>
  </si>
  <si>
    <t>NMP method;New;Do not delete</t>
  </si>
  <si>
    <t>sop # pr5-sul-buf-prep-nmp 
config start date: 07/08/2024 
all config blocked start date:  
all config blocked end date:   
config end date: 07/09/2024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</si>
  <si>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4ZnSOHC1ckiul1q0PX1XPWUAOhJw</t>
  </si>
  <si>
    <t>Javier Coronado - Network</t>
  </si>
  <si>
    <t>sop # pr5-std-prep-nmp 
config start date: 07/18/2024 
all config blocked start date:  
all config blocked end date:   
config end date: 07/19/2024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</si>
  <si>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e5FzUCI2KEyI96hALiTJgmUAIfh-</t>
  </si>
  <si>
    <t>Carlos Rocha - Network</t>
  </si>
  <si>
    <t>sop # pr5-standardization-nmp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</si>
  <si>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pEQCTlAJzkG6JxXu-iz_mWUAA3YR</t>
  </si>
  <si>
    <t>Ivan Solis - Network;Nannette Umpierre</t>
  </si>
  <si>
    <t>NMP method;am;New</t>
  </si>
  <si>
    <t>sop # pr5-soln-prep-nmp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</si>
  <si>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bz8JWNFuXEGhu9WkD3tU_WUACtIF</t>
  </si>
  <si>
    <t>Ivan Solis - Network;Miguel A Lozada;Nannette Umpierre</t>
  </si>
  <si>
    <t>Consumable;NMP method;am;New</t>
  </si>
  <si>
    <t>sop # pr5-soln-9.6n hcl-nmp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</si>
  <si>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X2gnzskbp0qOwnSEioTZzWUAK0vv</t>
  </si>
  <si>
    <t>Fabian Soma - Network</t>
  </si>
  <si>
    <t>Blocked;NMP method;New</t>
  </si>
  <si>
    <t>sop # pr5-smart5-cal-nmp 
config start date:07/18/24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</si>
  <si>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oGveTZBH3UaWyobTQ2ixdWUACMz-</t>
  </si>
  <si>
    <t>sop # pr5-rm-ts-oldd-nmp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</si>
  <si>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N355_J4ryEC26EWPAO0YLWUAOpnW</t>
  </si>
  <si>
    <t>Specific Rotation Procedure [PR5-A02936-LOCAL]</t>
  </si>
  <si>
    <t>Ivan Solis - Network</t>
  </si>
  <si>
    <t>sop # pr5-rm-sr-oldd-nmp 
config start date: 7/26/24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</si>
  <si>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yofOa4Qo30SFIgB9uAS6_mUANiIh</t>
  </si>
  <si>
    <t>Daniel Bonilla - Network</t>
  </si>
  <si>
    <t>sop # pr5-rm-serine-oldd-nmp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</si>
  <si>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jqexxvS_aU-w7OE3D4a882UAOB2S</t>
  </si>
  <si>
    <t>Joshua Vargas - Network</t>
  </si>
  <si>
    <t>sop # pr5-rm-mp-oldd-nmp 
config start date: 07/23/2024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</si>
  <si>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6hd5VC-GQUS1OEj2kk0-yWUAAX3T</t>
  </si>
  <si>
    <t>Daniela Maroto - Network</t>
  </si>
  <si>
    <t>sop # pr5-rm-kf-factor-nmp 
config start date: 07/01/2024 
all config blocked start date: 07/01/2024 
all config blocked end date: 07/17/2024  
config end date: 7/26/2024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</si>
  <si>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l6Ivr9x-S0mHmwmewMlI-mUAMcQY</t>
  </si>
  <si>
    <t>sop # pr5-rm-iron-oldd-nmp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</si>
  <si>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4r7vldajck-HXFiVyaT2zGUAGQj2</t>
  </si>
  <si>
    <t>sop # pr5-rm-drying
materials-nmp 
config start date: 07/01/2024 
all config blocked start date:07/01/2024 
all config blocked end date: 07/17/2024 
config end date: 07/17/2024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</si>
  <si>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82KzvaKjHk2VrLLzbG3uTmUAMIhk</t>
  </si>
  <si>
    <t>sop # pr5-ref-std-reg-nmp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</si>
  <si>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dzSlh--tWU-_YTwEFDyem2UAD_DJ</t>
  </si>
  <si>
    <t>sop # pr5-reagent-reg-nmp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</si>
  <si>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v725g2l35Uet5qh3mFmA-WUAIWsq</t>
  </si>
  <si>
    <t>Kimberly Mata - Network</t>
  </si>
  <si>
    <t>sop # pr5-plate-reader-cal-nmp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</si>
  <si>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15kgwPrCKk-BQvPt5DPg5mUAAvrP</t>
  </si>
  <si>
    <t>sop # pr5-pipette-cal-check-nmp 
config start date: 07/23/2024 
all config blocked start date:  
all config blocked end date:   
config end date: 07/24/2024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</si>
  <si>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jSB7MKRTAEOEjNFvyysIdmUAEgur</t>
  </si>
  <si>
    <t>sop # pr5-ph-meter-cal-nmp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</si>
  <si>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hGyrjBPaw0ON80oPLdoJxGUAD24u</t>
  </si>
  <si>
    <t>sop # pr5-ph-determination-nmp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</si>
  <si>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7_o19svnyUqujhz0JgMqDGUAH5Tx</t>
  </si>
  <si>
    <t>Daniel Bonilla - Network;Rhoda Gill</t>
  </si>
  <si>
    <t>sop # pr5-osa-lod-nmp 
config start date:05/13/24 
all config blocked start date: 
all config blocked end date: 
config end date:05/17/24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</si>
  <si>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BwScA_7wE0KnoJW8Gd00x2UAHO3j</t>
  </si>
  <si>
    <t>sop # pr5-milli-q-daily-check-nmp 
config start date: 06/03/24 
all config blocked start date: 
all config blocked end date: 
config end date: 06/04/24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</si>
  <si>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MILMW3PEjEOWAQhltIPty2UAJua-</t>
  </si>
  <si>
    <t>sop # pr5-mat-reg-nmp
config start date: 
all config blocked start date: 6/28/2024 
all config blocked end date: 7/18/2024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</si>
  <si>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1JU9nu_Q3Ua0DaiicqHSO2UAL39X</t>
  </si>
  <si>
    <t>sop # pr5-glassware
cleaning-nmp 
config start date: 
all config blocked start date: 6/27/2024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</si>
  <si>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bJUHsQwWMECt9vbEdZi-UGUACZQa</t>
  </si>
  <si>
    <t>sop # pr5-g2141-system-suit-nmp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</si>
  <si>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l7tGsOO4o06YmjHcPOQIyGUAD1kF</t>
  </si>
  <si>
    <t>Manu Serrano - Network</t>
  </si>
  <si>
    <t>//sop # pr5-g2141-std-prep-nmp 
config start date:  7/29/2024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</si>
  <si>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r2qVWiY1OE6CGaPG7BqQhmUABZgk</t>
  </si>
  <si>
    <t>sop # pr5-g2141-soln-prep-nmp 
config start date: 07/02/2024 
all config blocked start date:  
all config blocked end date:   
config end date: 07/03/2024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</si>
  <si>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I83fk5pyjUmC0rFYvgA0UmUAPquy</t>
  </si>
  <si>
    <t>sop # pr5-column-reg-nmp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</si>
  <si>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MkOmB_NCpUi0777qk3JTwGUAEuzH</t>
  </si>
  <si>
    <t>sop # pr5-coat-buffer-nmp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</si>
  <si>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LeQSPYIrfki6KNFXk3ESW2UAOnBE</t>
  </si>
  <si>
    <t>sop # pr5-cm-pm-reg-nmp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</si>
  <si>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sEbgX6Og6kqZ2u7_lq6HL2UAIDr6</t>
  </si>
  <si>
    <t>sop # pr5-blotto-prep-nmp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</si>
  <si>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D0zvzGaoEUOQwFrRhsEeNGUAMTWG</t>
  </si>
  <si>
    <t>sop # pr5-basic-statistics-nmp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</si>
  <si>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LFA1l9Ueb0a4ucmnwBQv2WUANySq</t>
  </si>
  <si>
    <t>sop # pr5-balance-wt-set-nmp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</si>
  <si>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c4EhXQoySEGbzi0UMpUFm2UAL35z</t>
  </si>
  <si>
    <t>sop # pr5-balance-req-nmp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</si>
  <si>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6SPvuvdIBE-_dvq1g3-TjWUAFr1s</t>
  </si>
  <si>
    <t>sop # pr5-balance-cal-check-nmp 
config start date: 05/29/24 
all config blocked start date: 
all config blocked end date: 
config end date: 06/02/24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</si>
  <si>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bVy0T2FPQU2DUaDKYxwTDWUAOdUV</t>
  </si>
  <si>
    <t>sop # pr5-b13269-std-prep-nmp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</si>
  <si>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jvC5fhK8i0WpYbybbEmSymUAMqsa</t>
  </si>
  <si>
    <t>sop # pr5-b13269-soln-prep-nmp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</si>
  <si>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ettBFOv0akCbRvMr16-LOWUAPTrB</t>
  </si>
  <si>
    <t>sop # pr5-b13269-cal-curve-nmp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</si>
  <si>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Z0iyWRt2AEWAY89NV3UaKWUAKHAM</t>
  </si>
  <si>
    <t>sop # pr5-b10527-analyte-conc-nmp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</si>
  <si>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WTJGpcCwWE2f8XuHUti9cGUAKcEY</t>
  </si>
  <si>
    <t>sop # pr5-b10042-std-prep-nmp 
config start date: 07/04/24 
all config blocked start date:  
all config blocked end date:   
config end date: 07/12/24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</si>
  <si>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3DhhRqFAT0ePHLWWQM_hoWUAPaMD</t>
  </si>
  <si>
    <t>sop # pr5-b09997-2 pct hno3-prep-nmp 
config start date: 06/25/2024 
all config blocked start date:  
all config blocked end date:   
config end date: 07/01/2024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</si>
  <si>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gIqzb623SUeP0igvMWBIPWUAMtSS</t>
  </si>
  <si>
    <t>sop # pr5-b09997-01 pct hno3-prep-nmp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</si>
  <si>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2KQRsJYM0kuH6dUOinXiK2UAMwCm</t>
  </si>
  <si>
    <t>sop # pr5-b09143-std-prep-nmp 
config start date:07/08/2024 
all config blocked start date: 
all config blocked end date: 
config end date:07/10/2024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</si>
  <si>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zTv3LKvDA0CWHzIAQSnWdGUABzKK</t>
  </si>
  <si>
    <t>Melanny Camacho - Network</t>
  </si>
  <si>
    <t>sop # pr5-b05054-std-prep-nmp 
config start date: 07/10/2024 
all config blocked start date:na 
all config blocked end date:na 
config end date: 07/16/2024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</si>
  <si>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w-3s84BRHkOWeUCOzYlW3mUAKepb</t>
  </si>
  <si>
    <t>sop # pr5-b05054-soln-prep-nmp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</si>
  <si>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PzPfFm1a3Ueb2amm2o-_4WUAKz_y</t>
  </si>
  <si>
    <t>sop # pr5-b03884-std-prep-nmp 
config start date:  7/10/2024 
all config blocked start date: n/a 
all config blocked end date:  n/a 
config end date: 7/17/2024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</si>
  <si>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K-lgsTNDI0K4m3TgVr4_QmUAFNcr</t>
  </si>
  <si>
    <t>sop # pr5-b03884-soln-prep-nmp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</si>
  <si>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DeAuMLp4GkyitzgxwEns1GUAOGhS</t>
  </si>
  <si>
    <t>sop # pr5-b03622-soln-prep-nmp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</si>
  <si>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hw_oQCytikSbehMbyK6cf2UANIl2</t>
  </si>
  <si>
    <t>sop # pr5-b00834-std-prep-nmp 
config start date: 07/15/2024 
all config blocked start date: 07/16/2024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</si>
  <si>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cSdTbS6KrEOWfjp6qnlNMmUANIVe</t>
  </si>
  <si>
    <t>sop # pr5-b00834-eluent1-prep-nmp 
config start date: 07/04/24 
all config blocked start date:  
all config blocked end date:   
config end date: 07/08/24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</si>
  <si>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zXhSfwvzQk-aZANOp50ZwWUADxvg</t>
  </si>
  <si>
    <t>sop # pr5-b00782-soln-prep-nmp 
config start date: 07/02/24 
all config blocked start date:  
all config blocked end date:   
config end date: 07/04/24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</si>
  <si>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k8Bk-cg35EaUiaCH2mcwrGUAHsmX</t>
  </si>
  <si>
    <t>PR5-B00781-ELUENTS-SS-PREP-NMP</t>
  </si>
  <si>
    <t>sop # pr5-b00781-eluents-ss-prep-nmp 
config start date:07/16/24 
all config blocked start date:07/17/24 
all config blocked end date: 07/17/24 
config end date:07/19/24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</si>
  <si>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59Uq1C8CIkOcW6xGl52DEWUANALL</t>
  </si>
  <si>
    <t>sop # pr5-atc-probe-check-nmp 
config start date: 06/05/24 
all config blocked start date: 
all config blocked end date: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</si>
  <si>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Bm9o55Rcj02FkFh5eo6dNGUAO2oc</t>
  </si>
  <si>
    <t>sop # pr5-a13454-general assay-nmp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</si>
  <si>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q9J94zqziEy9ssilyDccx2UAFmlb</t>
  </si>
  <si>
    <t>sop # pr5-01n hcl-prep-nmp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</si>
  <si>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XrcfZYqSmUqvdwq-nGCRiWUAJufZ</t>
  </si>
  <si>
    <t>sop # pr5-aborted-seq-log-nmp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</si>
  <si>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jGkE2bNgaE6_8PPKgv9E22UAGiWu</t>
  </si>
  <si>
    <t>sop # pr5-000346-std-prep-nmp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</si>
  <si>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Xg2o6Amy202jboMbEnuFU2UAIgwy</t>
  </si>
  <si>
    <t>sop # pr5-000346-soln-prep-nmp 
config start date: 7/3/2024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</si>
  <si>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nWJq6DOKXUGnRFacZgqu0mUAEqCb</t>
  </si>
  <si>
    <t>Andres Esquivel - Network</t>
  </si>
  <si>
    <t>sop # pr5-000346-cal-curve-nmp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</si>
  <si>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JXFdJ4ZszkC7ZrhanP3m4mUAGrx-</t>
  </si>
  <si>
    <t>sop # pr5-000342-std-prep-nmp 
config start date: 05/06/24 
all config blocked start date:  
all config blocked end date:   
config end date: 07/19/24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</si>
  <si>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Pn5_MuJMgkWJyACQq32_YmUAGb_Q</t>
  </si>
  <si>
    <t>sop # pr5-000342-soln-prep-nmp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</si>
  <si>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tWckGhz940GnLsxRGq4QhWUALW4R</t>
  </si>
  <si>
    <t>sop # pr5-000231-std-prep-nmp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</si>
  <si>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YQNMrLxSFkW2r0gE6UC5aGUACu8_</t>
  </si>
  <si>
    <t>sop # pr5-000231-soln-prep-nmp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</si>
  <si>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Eoqb0qOHuEOKjCPBMNucfGUAP9rM</t>
  </si>
  <si>
    <t>sop # pr05-hplc-pm-cal-nmp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</si>
  <si>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1XdfzioVEUOyAjrJJAeKtWUAFDDt</t>
  </si>
  <si>
    <t>sop # micro-pr-weight-set-reg-nmp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</si>
  <si>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bFVyGaPotkWhZja6XhutfWUAJdMK</t>
  </si>
  <si>
    <t>Test Method;Consumable;In Process;New;Full Build</t>
  </si>
  <si>
    <t>sop # b04338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</si>
  <si>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kbvdvC-hEE-UtimAjWJmEmUABJTS</t>
  </si>
  <si>
    <t>sop#b04331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</si>
  <si>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30KoR4ccs0mGhCTSndNFMmUAPvLa</t>
  </si>
  <si>
    <t>Rhoda Gill;Daniela Maroto - Network</t>
  </si>
  <si>
    <t>Test Method;Raw material;Skeleton Build;New</t>
  </si>
  <si>
    <t>sop#b04261 
config start date:05/22/24 
all config blocked start date: 
all config blocked end date: 
config end date: 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</si>
  <si>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dcbIhSczA0OGAIn9yZDJOWUAGVZ2</t>
  </si>
  <si>
    <t>Test Method;Consumable;In Process;Empower ;New;Full Build</t>
  </si>
  <si>
    <t>sop # b03884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</si>
  <si>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GjH5bYfMY0C29xlCx4AExWUADedp</t>
  </si>
  <si>
    <t>Test Method;Raw material;am;Skeleton Build;New</t>
  </si>
  <si>
    <t>sop # b02744 
config start date: 05/15/2024 
all config blocked start date: na 
all config blocked end date:  na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07/10/2024 
all client blocked start date: 06/30/2024 
all client blocked end date:  07/08/2024 
all client rework required end date: 07/10/2024 
------------------------------------------------------------------------------------------- 
verification complete date: 07/10/2024 
ready to migrate date:07/30/2024</t>
  </si>
  <si>
    <t>zN_P7tmfSEKRnJRJLGl7NmUAPp_P</t>
  </si>
  <si>
    <t>sop # b01949 
config start date: 05/14/2024 
all config blocked start date:  
all config blocked end date:   
config end date: 05/21/2024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</si>
  <si>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PjR7tiFuyEWXtDxtUTiOzWUAEtRT</t>
  </si>
  <si>
    <t>10.Client Rework Required</t>
  </si>
  <si>
    <t>Rhoda Gill - Network;Alejandra Robles - Network;Miguel A Lozada;Caroline Morice - Network;Nannette Umpierre</t>
  </si>
  <si>
    <t>sop # b01796 
config start date: 05/23/2024 
all config blocked start date: na 
all config blocked end date:  na 
config end date: 05/28/2024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verification assigned to:  nannette umpierre 
all client verification start date: 06/20/2024 
all client verification end date: 07/23/2024 
all client rework required start date: 07/23/2024 
all client blocked start date:  
all client blocked end date:   
all client rework required end date:   
------------------------------------------------------------------------------------------- 
verification complete date:   
ready to migrate date:</t>
  </si>
  <si>
    <t>gJZJ_m7fDkudKYJZ5KKjJWUALpaK</t>
  </si>
  <si>
    <t>Sely Cheung</t>
  </si>
  <si>
    <t>Test Method;Raw material;Skeleton Build;New;Do not delete</t>
  </si>
  <si>
    <t>sop # b01619 
config start date: 05/28/2024 
all config blocked start date: na 
all config blocked end date:  na 
config end date: 05/28/2024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</si>
  <si>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hoO4SWuqEUWDTq3cOEU80mUAGWj3</t>
  </si>
  <si>
    <t>Test Method;Consumable;Empower ;Finished Product;New;Full Build</t>
  </si>
  <si>
    <t>sop # b00834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</si>
  <si>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Y3qqK-wi_EmLpzeC5PXK7mUAMwWx</t>
  </si>
  <si>
    <t>Test Method;Consumable;Raw material;Empower ;New;Full Build</t>
  </si>
  <si>
    <t>sop # b05054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</si>
  <si>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5jJbk7oH50i9I71sm7BloWUABBR2</t>
  </si>
  <si>
    <t>Shannon Blais - Network;Fabian Soma - Network;Nannette Umpierre;Rhoda Gill</t>
  </si>
  <si>
    <t>sop # a03886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06/21/2024 
all client rework required start date: 06/27/2024 
all client blocked start date: na 
all client blocked end date: na 
all client rework required end date: 07/01/2024 
------------------------------------------------------------------------------------------- 
re-verification: 07/01/2024 
verification complete date: 07/01/2024 
ready to migrate date:07/31/2024</t>
  </si>
  <si>
    <t>a9iAXokl5UCAN2Z2rBUFE2UAKP9z</t>
  </si>
  <si>
    <t>Shannon Blais - Network;Nannette Umpierre;Rhoda Gill;Daniela Maroto - Network</t>
  </si>
  <si>
    <t>sop # 000364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</si>
  <si>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dRp-dsI9tU2f02y0P_AHNGUAKNI6</t>
  </si>
  <si>
    <t>sop # 000363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</si>
  <si>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N5mFqdWYHEm5Sh6sSGNspmUAF9g9</t>
  </si>
  <si>
    <t>Giuliana Barahona;Nannette Umpierre;Noel Mendez - Network</t>
  </si>
  <si>
    <t>sop # b06267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07/08/2024 
all client blocked start date: na 
all client blocked end date:  na 
all client rework required end date:  07/11/2024 
------------------------------------------------------------------------------------------- 
verification complete date:  07/11/2024 
ready to migrate date: 07/31/2024</t>
  </si>
  <si>
    <t>Tc0CHo_9gUqvJTZtSVDv8mUALMXR</t>
  </si>
  <si>
    <t>Glenda Fernandez - Network;Nannette Umpierre;Rhoda Gill;Daniela Maroto - Network</t>
  </si>
  <si>
    <t>sop # b06403 
config start date: 05/22/2024 
all config blocked start date: na 
all config blocked end date:  na 
config end date: 05/31/2024 
 -------------------------------------------------------------------------------------------- 
all peer review start date: 06/19/2024 
all peer review end date: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na 
all client blocked start date: na 
all client blocked end date:  na 
all client rework required end date:  na 
------------------------------------------------------------------------------------------- 
verification complete date:  06/30/2024 
ready to migrate date:07/31/2024</t>
  </si>
  <si>
    <t>VChwL-aDuUyahlQYDvWWB2UADM6D</t>
  </si>
  <si>
    <t>sop # 000362 
config start date: 06/10/2024 
all config blocked start date: na 
all config blocked end date:  na 
config end date: 06/11/2024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all client verification end date:  
all client rework required start date:  
all client blocked start date:  
all client blocked end date:   
all client rework required end date:   
------------------------------------------------------------------------------------------- 
verification complete date:   
ready to migrate date: 
**                              ** **important**: check global test method</t>
  </si>
  <si>
    <t>PR0Au9E0U0uX8GccqobE9mUAJDO7</t>
  </si>
  <si>
    <t>Test Method;Consumable;Raw material;Skeleton Build;New;Do not delete</t>
  </si>
  <si>
    <t>sop # 000321 
config start date: 06/04/2024 
all config blocked start date: na 
all config blocked end date:  na 
config end date: 06/11/2024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</si>
  <si>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PRqAvnpI9k-gb_EELDedh2UAPd-D</t>
  </si>
  <si>
    <t>Nannette Umpierre;Rhoda Gill;Daniela Maroto - Network</t>
  </si>
  <si>
    <t>sop # b06444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06/20/2024 
all client rework required start date: na 
all client blocked start date: na 
all client blocked end date:  na 
all client rework required end date:  na 
------------------------------------------------------------------------------------------- 
verification complete date:  06/26/2024 
ready to migrate date:07/30/2024</t>
  </si>
  <si>
    <t>t9db71Rb-06B3waxCOt6_GUAMMfd</t>
  </si>
  <si>
    <t>sop # b06479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</si>
  <si>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F-qJFIZfmk6dco_ZG1sWu2UAMPQ1</t>
  </si>
  <si>
    <t>Rhoda Gill - Network;Alejandra Robles - Network;Glenda Fernandez - Network;Miguel A Lozada;Nannette Umpierre;Rhoda Gill</t>
  </si>
  <si>
    <t>config start date: 05/29/2024 
all config blocked start date: na 
all config blocked end date:  na 
config end date: 05/29/2024 
 -------------------------------------------------------------------------------------------- 
all peer review start date: 06/11/2024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06/12/2024 
verification assigned to:  nannette umpierre  
all client verification start date: 06/12/2024 
all client verification end date:  
all client rework required start date: 06/12/2024 
all client blocked start date: 07/10/2024 
all client blocked end date:   
all client rework required end date:  
------------------------------------------------------------------------------------------- 
verification complete date:   
ready to migrate date:</t>
  </si>
  <si>
    <t>cQLAil4F3kGMGq9y8qEIdmUANNew</t>
  </si>
  <si>
    <t>Test Method;Consumable;am;Finished Product;New;Full Build</t>
  </si>
  <si>
    <t>sop # b09980 
config start date:05/25/2024 
all config blocked start date: 
all config blocked end date: 
config end date:06/21/2024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</si>
  <si>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dLUAvRBNOEuoiqckSYneKWUACTk8</t>
  </si>
  <si>
    <t>sop # b10041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</si>
  <si>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XsemX59ih06qBUgmq_4KQWUABmwp</t>
  </si>
  <si>
    <t>Daniel Bonilla - Network;Nannette Umpierre;Rhoda Gill</t>
  </si>
  <si>
    <t>sop # b10602 
config start date: 05/20/2024 
all config blocked start date: na 
all config blocked end date:  na 
config end date: 05/22/2024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06/1/2024 
all client rework required start date: na 
all client blocked start date: na 
all client blocked end date:  na 
all client rework required end date:  na 
------------------------------------------------------------------------------------------- 
verification complete date: 06/24/2024  
ready to migrate date:07/31/2024</t>
  </si>
  <si>
    <t>b3RNirftP0e9bupiNl_r0GUAJYuR</t>
  </si>
  <si>
    <t>Shannon Blais - Network;Andrea Fuentes;Nannette Umpierre</t>
  </si>
  <si>
    <t>sop # b11181 
config start date: 05/29/2024 
all config blocked start date: na 
all config blocked end date:  na 
config end date: 06/01/2024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date:07/01/2024 
all client blocked start date: na 
all client blocked end date:  na 
all client rework required end date:  07/03/2024 
------------------------------------------------------------------------------------------- 
verification complete date:  07/09/2024 
ready to migrate date: 07/31/2024</t>
  </si>
  <si>
    <t>HH8ub8qMDEiUo10lYEbWM2UAB4Tn</t>
  </si>
  <si>
    <t>Rhoda Gill - Network;Alejandra Robles - Network;Miguel A Lozada;Nannette Umpierre</t>
  </si>
  <si>
    <t>Test Method;In Process;am;Skeleton Build;New</t>
  </si>
  <si>
    <t>sop # b11760 
config start date: 05/29/2024 
all config blocked start date: na 
all config blocked end date:  na 
config end date: 05/29/2024 
 -------------------------------------------------------------------------------------------- 
all peer review start date: 06/20/2024 
all peer review end date: 06/20/2024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06/20/2024;07/10/24 
verification assigned to:  miguel lozada 
all client verification start date:  06/20/2024 
all client verification end date: 06/21/2024 
all client rework required start date:07/09/2024 
all client blocked start date:na  
all client blocked end date:  na 
all client rework required end date:07/10/24 
------------------------------------------------------------------------------------------- 
verification complete date:  07/12/2024 
ready to migrate date:</t>
  </si>
  <si>
    <t>gkxtWlDqGkWIgpF1-XXl1GUAKoMu</t>
  </si>
  <si>
    <t>sop # g2141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</si>
  <si>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eKdOdBBnG0KCOhjSOx2uZmUAAT-h</t>
  </si>
  <si>
    <t>sop # 000260 
config start date: 6/10/2024 
all config blocked start date: na  
all config blocked end date: na 
config end date: 06/11/2024 
 -------------------------------------------------------------------------------------------- 
all peer review start date: 6/12/2024 
all peer review end date: 06/12/2024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6/13/2024 
all client verification end date:  
all client rework required start date:  
all client blocked start date:  
all client blocked end date:   
all client rework required end date:   
------------------------------------------------------------------------------------------- 
verification complete date:   
ready to migrate date: 
**important: check global test method**</t>
  </si>
  <si>
    <t>oLGgOaxwFEiGabuQKkKkj2UAJcup</t>
  </si>
  <si>
    <t>sop # 000231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</si>
  <si>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Wit9rLYPi0iIJL4vczhWAWUAN8XB</t>
  </si>
  <si>
    <t>product id# qa232sv1e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</si>
  <si>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SpgNWPGguUaoBanSQdghrGUALsPO</t>
  </si>
  <si>
    <t>product id# qa503s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</si>
  <si>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1lP8sm9660-9xbPXeiYBbWUADfZl</t>
  </si>
  <si>
    <t>product id# qa243v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</si>
  <si>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uKwbR07QAUi0qJB_tDsxzGUANWOA</t>
  </si>
  <si>
    <t>product id# qa264q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</si>
  <si>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ycKruvICTkm1P8NdXqre-mUAB4tt</t>
  </si>
  <si>
    <t>product id# sc9915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</si>
  <si>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pNX6oEqMSUCPq-t0dZcd2GUACkP5</t>
  </si>
  <si>
    <t>product id# qa437y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</si>
  <si>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wrOKzFk83EOBbaMVqr8c4GUAGeBP</t>
  </si>
  <si>
    <t>product id# qa463y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</si>
  <si>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hmfZp42tA02uussODD4Wf2UAMSSm</t>
  </si>
  <si>
    <t>product id# cb8475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</si>
  <si>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yeNN0uwRRkCh0ZF7-wNKbGUAHotX</t>
  </si>
  <si>
    <t>product id#sc9914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</si>
  <si>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2URJCusoVEW9PruCGSf1tGUAPwwy</t>
  </si>
  <si>
    <t>product id# qa510d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</si>
  <si>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p9x6XobRUEyOoEEjTSJwbmUAAdAw</t>
  </si>
  <si>
    <t>product id# qa224d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</si>
  <si>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AuSN_DNIaE6Ey_cxwStf9WUALlaz</t>
  </si>
  <si>
    <t>product id# qa524y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</si>
  <si>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EKKQyPq2WkGMHKbdl4PtVmUAMczM</t>
  </si>
  <si>
    <t>product id# qa363h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</si>
  <si>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XhMAmtotUUuf-3P7ao3_DGUAKWRH</t>
  </si>
  <si>
    <t>product id# qa104v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</si>
  <si>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gWzr3FaNNEufdAVk1g--HWUAAYjP</t>
  </si>
  <si>
    <t>product id# qa011s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</si>
  <si>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MPVwTf_TFk-iw2fIe9CtVGUAICfe</t>
  </si>
  <si>
    <t>product id# qa596e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</si>
  <si>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hqC-E6J3mkmsVjjU5g3KCWUAIbft</t>
  </si>
  <si>
    <t>product id# qa018l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</si>
  <si>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s6ScXJtQeEiqEK3eSZEwr2UADFYw</t>
  </si>
  <si>
    <t>product id# qa268vv1e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</si>
  <si>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b7Pj6DVDMEySh6_P5NlXwWUADTfx</t>
  </si>
  <si>
    <t>product id# bt5990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</si>
  <si>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0XsgFzfsKUCicNhDKvfka2UAAZtm</t>
  </si>
  <si>
    <t>product id# qa266k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</si>
  <si>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h_wWqLrG70aTG4NfteSni2UAEiPA</t>
  </si>
  <si>
    <t>product id# qa460n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</si>
  <si>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9yPiEWAxzEmwCDiWGGg7gmUAA65J</t>
  </si>
  <si>
    <t>product id# mx0034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</si>
  <si>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fn_4Bzj5hUmnDrXQtcp2cmUAGak8</t>
  </si>
  <si>
    <t>product id# qa014n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</si>
  <si>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Z2kxNZgyNUCJlCwS-KoixmUAEjCq</t>
  </si>
  <si>
    <t>product id# qa539c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</si>
  <si>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y5GDtaVDukSko2INmTiqIWUAAWGe</t>
  </si>
  <si>
    <t>product id# qa074y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</si>
  <si>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PkTm2LbU80KzjHcHfnkuomUAIhav</t>
  </si>
  <si>
    <t>product id# qa267v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</si>
  <si>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e-Mpuw2gUECZBEb2inXgCmUAEBpN</t>
  </si>
  <si>
    <t>Product;Raw material</t>
  </si>
  <si>
    <t>product id# qa004n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</si>
  <si>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MTKfxvciqEOqIO2AVqETvGUAP6mF</t>
  </si>
  <si>
    <t>product id# qa010r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</si>
  <si>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SHT0eG1pZ0aDKuo3VLw0I2UAFZVW</t>
  </si>
  <si>
    <t>product id# qa419z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</si>
  <si>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0Fsr5oOBx0OxdAvr2l3uH2UAL-aS</t>
  </si>
  <si>
    <t>product id# qa143z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</si>
  <si>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kByzONWY30S3gzIwaTunfmUALOpi</t>
  </si>
  <si>
    <t>product id# qa305p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</si>
  <si>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7Y-3kEhTC0mbr-MFcNoQf2UAMcY0</t>
  </si>
  <si>
    <t>product id# qa451v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</si>
  <si>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RxOis7GEz0ORNCjh3nEr1WUAADkw</t>
  </si>
  <si>
    <t>product id# mx6414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</si>
  <si>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LBcsXB4kgUGyaXxbefvMq2UACSRN</t>
  </si>
  <si>
    <t>product id# qa509z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</si>
  <si>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97B7LzN7pkyFEzQVdxK5nWUAG5YC</t>
  </si>
  <si>
    <t>product id# qa135h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</si>
  <si>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zVI3LVd5AkSEt14WY58jBWUAAmPl</t>
  </si>
  <si>
    <t>product id# qa257a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</si>
  <si>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Hkz5iQpNB0W9NKtmWcVAeWUAOLSC</t>
  </si>
  <si>
    <t>product id# qa479v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</si>
  <si>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NStP5Gfg0kOC6obfRCr9AmUAEuc-</t>
  </si>
  <si>
    <t>product id# bt5992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</si>
  <si>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Yvrk25FhwEiTrMA30MoHoWUAM0QU</t>
  </si>
  <si>
    <t>product id# qa127r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</si>
  <si>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tiOKhqIwfE2nDDBUnEaR1GUADz6T</t>
  </si>
  <si>
    <t>product id# qa458j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</si>
  <si>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Sj-pyjcM30iR9-epdZH8CmUAGpLA</t>
  </si>
  <si>
    <t>product id# qa270z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</si>
  <si>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8BqNBKf4EUOxlqFBs6H7c2UANAzD</t>
  </si>
  <si>
    <t>product id# qa442u01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</si>
  <si>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kLupaQXMxEWrprvOr9qRtWUACP60</t>
  </si>
  <si>
    <t>product id# qa310k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</si>
  <si>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ci-ZdDS1oUuTz58PG0jgJGUAHWg9</t>
  </si>
  <si>
    <t>product id# qa524q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</si>
  <si>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1mrjY1FsiUmJxy4BEZWMKWUAIZ_3</t>
  </si>
  <si>
    <t>product id# cb8258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</si>
  <si>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M0pz2TY0RUmVbvbyJapNMGUAARYP</t>
  </si>
  <si>
    <t>product id# qa128d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</si>
  <si>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v3Jp3mzNKU-O0x_4qBnoNmUANDCk</t>
  </si>
  <si>
    <t>product id# qa022sv1e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</si>
  <si>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G4RQwXrN70-spIjIiekhb2UAGGnG</t>
  </si>
  <si>
    <t>product id# qa309f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</si>
  <si>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zkM-pVut40qQdJmQwIdeE2UADnsT</t>
  </si>
  <si>
    <t>product id# qa044l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</si>
  <si>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B5pLOVLrKk-ClF_LvYqYrWUAPvq_</t>
  </si>
  <si>
    <t>product id# qa138c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</si>
  <si>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G1i4gGK82kixD07IGA8xuWUADZTB</t>
  </si>
  <si>
    <t>product id# qa609f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</si>
  <si>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eQ46lvjy00WNCHQJbJsQtWUAP_nj</t>
  </si>
  <si>
    <t>product id# qa205h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</si>
  <si>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llHwUHS5lkWNzPTyurMsnmUAJFkw</t>
  </si>
  <si>
    <t>product id # qa065tv1e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</si>
  <si>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7eH_lfQIKEmqmMtkRNqb3WUAI5fC</t>
  </si>
  <si>
    <t>product id# qa006f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</si>
  <si>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5ueeT8MFtkKSMRDgUY5hDGUABOAv</t>
  </si>
  <si>
    <t>product id# qa116w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</si>
  <si>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L2NKwhgXDUeXC-AhBMCXxGUAJfpc</t>
  </si>
  <si>
    <t>product id# qa163e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</si>
  <si>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pf656l5T20auT324ZLuCFGUAPeTk</t>
  </si>
  <si>
    <t>product id# qa058t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</si>
  <si>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v0EKf9YrjEK8_21Ds6Fd0WUAPF3i</t>
  </si>
  <si>
    <t>product id# qa458v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</si>
  <si>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kZ15BEuKiUC0gG9s2m5rQ2UADLCm</t>
  </si>
  <si>
    <t>product id# qa233tv1e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</si>
  <si>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klOQG-HR20SmuCiLCGuqnmUALGCL</t>
  </si>
  <si>
    <t>product id# qa175c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</si>
  <si>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yiMxMC9_G0666PdEZrTQRWUAJ1n9</t>
  </si>
  <si>
    <t>product id# qa139y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</si>
  <si>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kUPRhtvjvk6QBCER3BMMsGUAOw9m</t>
  </si>
  <si>
    <t>product id# qa264s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</si>
  <si>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h0vsxAmnbkSjdCLC3RmbxGUANlpo</t>
  </si>
  <si>
    <t>product id# qa454j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</si>
  <si>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K5qcatUy8EaPXf2_U2EGymUAMKMj</t>
  </si>
  <si>
    <t>product id# qa308w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</si>
  <si>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WEY6ukpJwkWZqd6txkpeEGUAO-GJ</t>
  </si>
  <si>
    <t>product id#qa426p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</si>
  <si>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ngzUxpDD-0SajLaW479FnmUAEB8a</t>
  </si>
  <si>
    <t>product id# qa442u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</si>
  <si>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NN84I45uikiDJ51FO3MQW2UAKEkE</t>
  </si>
  <si>
    <t>product id#qa596g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</si>
  <si>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TQI0JwdBp02Bfq9uQr9onWUAK3dS</t>
  </si>
  <si>
    <t>product id# qa479v01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</si>
  <si>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S48ImB6ag0eKN6Oh2JVoRGUABVhf</t>
  </si>
  <si>
    <t>product id# qa565f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</si>
  <si>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kZ_Cppqug0GgXkW31zusWWUALjxT</t>
  </si>
  <si>
    <t>product id# qa188kpur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</si>
  <si>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vVhRXxhRUUajrKDgpzU4t2UAJ93V</t>
  </si>
  <si>
    <t>product id# qa445u 
product type: raw material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</si>
  <si>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Nohn6wIpz02vlyugwaEZgWUAPcPm</t>
  </si>
  <si>
    <t>Product;Intermediate</t>
  </si>
  <si>
    <t>product id#qs5420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</si>
  <si>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WRMkpDTknkS8YGDirhzr0mUAEh3S</t>
  </si>
  <si>
    <t>product id#qs6540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</si>
  <si>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ScWYycMXWk2e0Lg8xhVJrmUAHlZg</t>
  </si>
  <si>
    <t>product id#qs5400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</si>
  <si>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BzxWIaahvUW1XiyTuDvs4mUAKXD7</t>
  </si>
  <si>
    <t>product id#qs2695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</si>
  <si>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6KmpE6RmOkiN8fXl59oG22UAO52p</t>
  </si>
  <si>
    <t>product id#qs3600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</si>
  <si>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kNz0QgTB5EWAsDFt6qHWWGUAACHe</t>
  </si>
  <si>
    <t>product id#qs3602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</si>
  <si>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L1k91RvP_0yhrXyy95QUuGUADv7M</t>
  </si>
  <si>
    <t>product id# qs5440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</si>
  <si>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dBs50OYxbkiiEGPN4tJU52UAD6GO</t>
  </si>
  <si>
    <t>product id#qs6570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</si>
  <si>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0bm0xOReyUmHd4Ro0xcE-GUALx7_</t>
  </si>
  <si>
    <t>product id# qs5430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</si>
  <si>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4RXhf3t5mUyiN1Ubo9_8aGUAEARS</t>
  </si>
  <si>
    <t>product id# qs6501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</si>
  <si>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lKhQZDo0yEiU8Viv9epm3GUAABNq</t>
  </si>
  <si>
    <t>product id# qs7130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</si>
  <si>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cW8TbrcG_EygHAxgzcygKGUAI8ER</t>
  </si>
  <si>
    <t>product id#qs5301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</si>
  <si>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TiFU-pum5k2zgW2JgC0vJmUAIUyA</t>
  </si>
  <si>
    <t>product id# qa103l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</si>
  <si>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XUiK1Ns8SEWvuLNw-4qtl2UADQP4</t>
  </si>
  <si>
    <t>product id# qs6520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</si>
  <si>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HIiX4szJy0efUXZP_DvYWmUAI1Fg</t>
  </si>
  <si>
    <t>product id#qs6529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</si>
  <si>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NxC24UxEkEGGhk-a5JjniWUAJFvZ</t>
  </si>
  <si>
    <t>product id# qs7110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</si>
  <si>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wV2sxZKKrUGAHPrUWy194GUAD3zj</t>
  </si>
  <si>
    <t>product id# qs2693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</si>
  <si>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2zV9K5SAKkOsAiF-FH4D-WUAMwtU</t>
  </si>
  <si>
    <t>product id# qs6550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</si>
  <si>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_e_pRicASkqJMxdqb63ElGUAP66W</t>
  </si>
  <si>
    <t>product id# qs6500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</si>
  <si>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96OmtBFwtUSJHfrBtUJ6xmUAAcky</t>
  </si>
  <si>
    <t>product id#qs5303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</si>
  <si>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H44Gl3jmtkKfSYFxubQpwGUAJfG0</t>
  </si>
  <si>
    <t>product id# qs2697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</si>
  <si>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xxikFL7J906uuq7tlRaUWmUAFvyZ</t>
  </si>
  <si>
    <t>product id# qs5450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</si>
  <si>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gX0tPONCG0iFWcnl9irWaWUAAf67</t>
  </si>
  <si>
    <t>product id#qs5415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</si>
  <si>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et4CsYFJcEexDHt1s0eWPWUAN0e8</t>
  </si>
  <si>
    <t>product id# qs5304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</si>
  <si>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VUkGfTvOl0Sg6oopwoj58mUAI2po</t>
  </si>
  <si>
    <t>product id# qs7140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</si>
  <si>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9YkfVzgzB0GH9lQfGchk4WUAG_cz</t>
  </si>
  <si>
    <t>product id#qs3601v1e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</si>
  <si>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2o_oyrnGm0enugVMRdyms2UAE6J1</t>
  </si>
  <si>
    <t>product id# qs5140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</si>
  <si>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99irBMf45kKtehEgo4sAwmUAPW2P</t>
  </si>
  <si>
    <t>product id#qs6515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</si>
  <si>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ZegmuQqK6EGiPlqvJEdSl2UAMnt1</t>
  </si>
  <si>
    <t>product id#qs6513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</si>
  <si>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4NLvM-6UM0usI2QHpPUCeGUAFLdA</t>
  </si>
  <si>
    <t>Product;Drug substance</t>
  </si>
  <si>
    <t>product id# qa535z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</si>
  <si>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3Jcag_Lak0GL3dCCjgBj8WUAI0ec</t>
  </si>
  <si>
    <t>product id# qa524x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</si>
  <si>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n7FtzDj4WUGuc6UsCQJDDGUAH91N</t>
  </si>
  <si>
    <t>product id#qs5410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</si>
  <si>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mhElX2jBM0iR--OYYlkNkWUAB77k</t>
  </si>
  <si>
    <t>product id# qa571x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</si>
  <si>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vWCdcVIXS0-u3vvXwks6AmUAJ5zu</t>
  </si>
  <si>
    <t>product id# qa541j 
product type: drug substance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</si>
  <si>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Y6ntMQ6ijEyN8Y9cKFutC2UADaFk</t>
  </si>
  <si>
    <t>product id#qs6530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</si>
  <si>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tWwxNQ5jCE6SNxlqXf4tB2UAIT9_</t>
  </si>
  <si>
    <t>product id#qs6510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</si>
  <si>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2iGnaavNdEStitbW2IoF_mUAKIGM</t>
  </si>
  <si>
    <t>product id# qs5470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</si>
  <si>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zjhu16oAWk6LpD6Lhnk342UAMYw1</t>
  </si>
  <si>
    <t>product id# qa485u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</si>
  <si>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JvaJ0dxLj0uyj3MTBxdgV2UAE2Qe</t>
  </si>
  <si>
    <t>product id# qs6319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</si>
  <si>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1yjOiWnHzkiQLLYncNYH-2UABBA7</t>
  </si>
  <si>
    <t>product id# qs6240 
product type: intermediate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</si>
  <si>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0ax92l6ME0yI6mQZRjVq8mUAAe6E</t>
  </si>
  <si>
    <t>Product;Utility</t>
  </si>
  <si>
    <t>product id# qa596g 
product type: utility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</si>
  <si>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em5PJ3GgWk62jgZCPm9-82UAKLBJ</t>
  </si>
  <si>
    <t>Daniela Azofeifa;Nannette Umpierre</t>
  </si>
  <si>
    <t>Test Method;Raw material;am;Skeleton Build</t>
  </si>
  <si>
    <t>sop # a07933 
config start date: 05/28/2024 
all config blocked start date: na 
all config blocked end date:  na 
config end date: 05/29/2024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t>
  </si>
  <si>
    <t>DFmKtJg9ak-C7LhCy13OOmUABbdn</t>
  </si>
  <si>
    <t>Shannon Blais - Network;Caroline Morice - Network;Nannette Umpierre</t>
  </si>
  <si>
    <t>sop # a07932 
config start date: 05/28/2024 
all config blocked start date: na 
all config blocked end date:  na 
config end date: 05/28/2024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06/18/2024 
verification assigned to:  noel mendez 
all client verification start date: 06/17/2024; 06/18/2024 
all client verification end date: 06/17/2024; 06/18/2024 
all client rework required start date: 06/18/2024 
all client blocked start date: na 
all client blocked end date:  na 
all client rework required end date: 06/18/2024   
------------------------------------------------------------------------------------------- 
verification complete date:  06/27/2024 
ready to migrate date: 7/29/2024</t>
  </si>
  <si>
    <t>4G2faGYWSEKaZPDadfFrsmUAKc2l</t>
  </si>
  <si>
    <t>Javier Coronado - Network;Nannette Umpierre;Rhoda Gill</t>
  </si>
  <si>
    <t>sop # a07918 
config start date: 05/26/2024 
all config blocked start date:  
all config blocked end date:   
config end date: 06/11/2024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nannette umpierre 
all client verification start date: 06/13/2024 
all client verification end date: 06/13/2024 
all client rework required start date:  
all client blocked start date:  
all client blocked end date:   
all client rework required end date:   
------------------------------------------------------------------------------------------- 
verification complete date:  06/13/2024 
ready to migrate date:</t>
  </si>
  <si>
    <t>CICkQLGFmkGIArZlpNVr4GUAF_4B</t>
  </si>
  <si>
    <t>Shannon Blais - Network;Nannette Umpierre;Daniela Maroto - Network</t>
  </si>
  <si>
    <t>sop # a07917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</si>
  <si>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lbsaFi9ztEq77u3GzRjdGWUAA5i8</t>
  </si>
  <si>
    <t>sop # a07500 
verification complete: 06/26/2024 
config start date: 05/29/2024 
all config blocked start date: na  
all config blocked end date:  na 
config end date: 05/30/2024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06/26/2024 
ready to migrate date:07/30/2024</t>
  </si>
  <si>
    <t>s-iT1iQVS0GILLjnTC8mOGUAAOuA</t>
  </si>
  <si>
    <t>Fabian Soma - Network;Alejandra Robles - Network;Daniel Bonilla - Network;Nannette Umpierre;Daniela Maroto - Network</t>
  </si>
  <si>
    <t>sop # a07499 
config start date:06/10/2024 
all config blocked start date:  
all config blocked end date:   
config end date:06/10/2024 
 -------------------------------------------------------------------------------------------- 
all peer review start date: 06/13/2024 
all peer review end date: 06/13/2024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06/13/2024 
verification assigned to:  noel mendez 
all client verification start date: 06/14/2024 
all client verification end date: 06/14/2024 
all client rework required start date: 06/14/2024  
all client blocked start date:  
all client blocked end date:   
all client rework required end date:  06/14/2024 
------------------------------------------------------------------------------------------- 
verification complete date:  06/14/2024 
ready to migrate date:</t>
  </si>
  <si>
    <t>wcpi8mRlQUGOeJo2uzovOmUAOMpu</t>
  </si>
  <si>
    <t>sop # a07278 
config start date: 05/24/2024 
all config blocked start date:  
all config blocked end date: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</si>
  <si>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pHJpRsbQJkyDtnygokXr2mUAHR1y</t>
  </si>
  <si>
    <t>Alejandra Robles - Network;Daniel Bonilla - Network;Nannette Umpierre;Rhoda Gill</t>
  </si>
  <si>
    <t>Test Method;Consumable;Raw material;am;Skeleton Build</t>
  </si>
  <si>
    <t>sop # a06928 
config start date: 05/29/2024 
all config blocked start date: na 
all config blocked end date:  na 
config end date: 05/31/2024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miguel lozada 
all client verification start date: 06/14/2024 
all client verification end date: 06/19/2024 
all client rework required start date: na 
all client blocked start date: na 
all client blocked end date:  na 
all client rework required end date:  na 
------------------------------------------------------------------------------------------- 
verification complete date:  06/25/2024 
ready to migrate date:</t>
  </si>
  <si>
    <t>PPyLdiWwDke6vEmgZSxENmUAO8AG</t>
  </si>
  <si>
    <t>sop # a06927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</si>
  <si>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F4yVP6deK0Gqid7CGWy5lGUAHi0-</t>
  </si>
  <si>
    <t>Fabian Soma - Network;Nannette Umpierre;Rhoda Gill</t>
  </si>
  <si>
    <t>sop # a06925 
config start date: 05/27/2024 
all config blocked start date: na 
all config blocked end date:  na 
config end date: 05/31/2024 
 -------------------------------------------------------------------------------------------- 
all peer review start date: 06/18/2024 
all peer review end date: 06/18/2024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06/18/2024 
verification assigned to:  noel mendez 
all client verification start date:  06/18/2024 
all client verification end date: 06/19/2024 
all client rework required start date: na 
all client blocked start date: na 
all client blocked end date:  na 
all client rework required end date:  na 
------------------------------------------------------------------------------------------- 
verification complete date:  07/10/2024 
ready to migrate date:07/30/2024</t>
  </si>
  <si>
    <t>_965G-dEwka1pdpCRXQab2UAB74Z</t>
  </si>
  <si>
    <t>Daniel Bonilla - Network;Nannette Umpierre</t>
  </si>
  <si>
    <t>sop # a06302 
config start date: 06/10/2024 
all config blocked start date: na 
all config blocked end date:  na 
config end date: 06/10/2024 
 -------------------------------------------------------------------------------------------- 
all peer review start date: 06/10/2024 
all peer review end date: 06/10/2024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06/11/2024 
verification assigned to:  nannette umpierre 
all client verification start date: 06/11/2024 
all client verification end date: 06/12/2024 
all client rework required start date: na 
all client blocked start date: na 
all client blocked end date:  na 
all client rework required end date:  na 
------------------------------------------------------------------------------------------- 
verification complete date:  06/12/2024 
ready to migrate date:  06/12/2024</t>
  </si>
  <si>
    <t>qHcgK1W3C0iv-QHohlE5fmUAFimt</t>
  </si>
  <si>
    <t>sop # a06301 
config start date: 05/20/2024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07/01/2024 
verification assigned to: miguel lozada  
all client verification start date: 06/20/2024 
all client verification end date: 06/21/2024 
all client rework required start date: 07/01/2024 
all client blocked start date: na 
all client blocked end date: na 
all client rework required end date: 07/01/2024  
------------------------------------------------------------------------------------------- 
re-verification: 07/01/2024 
verification complete date: 07/01/2024 
ready to migrate date:07/30/2024</t>
  </si>
  <si>
    <t>qLfIorIJt0CFjYBqfmQdkWUALJY_</t>
  </si>
  <si>
    <t>sop # a06299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06/28/2024 
ready to migrate date:07/30/2024</t>
  </si>
  <si>
    <t>Zh1eTJMk2EarcfXW-v1ND2UABzwP</t>
  </si>
  <si>
    <t>sop # a06298 
config start date: 05/31/2024 
all config blocked start date: na 
all config blocked end date:  na 
config end date: 05/31/2024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miguel lozada 
all client verification start date: 06/13/2024 
all client verification end date: 06/17/2024 
all client rework required start date: na 
all client blocked start date: na 
all client blocked end date:  na 
all client rework required end date:  na 
------------------------------------------------------------------------------------------- 
verification complete date:  06/24/2024 
ready to migrate date:07/31/2024</t>
  </si>
  <si>
    <t>T6lzweMvuUmi8Cw7HqFkDGUAOqyk</t>
  </si>
  <si>
    <t>Glenda Fernandez - Network;Daniel Bonilla - Network;Nannette Umpierre</t>
  </si>
  <si>
    <t>sop # a06297 
config start date: 06/10/2024 
all config blocked start date: na 
all config blocked end date:  na 
config end date: 06/10/2024 
 -------------------------------------------------------------------------------------------- 
all peer review start date: 06/13/2024 
all peer review end date: 06/13/2024 
all peer review rework required start date:  
all pr rework blocked start date:  
all pr rework blocked end date:   
all peer review rework required end date:  
-------------------------------------------------------------------------------------------- 
all ready for demo date: na 
all demo date: na 
all demo rework required start date:  
all demo blocked start date:  
all demo blocked end date:  
all demo rework required end date:  
-------------------------------------------------------------------------------------------- 
all ready for client verification date: 06/13/2024; 06/14/2024 
verification assigned to:  nannette umpierre 
all client verification start date: 06/13/2024; 06/14/2024 
all client verification end date: 06/13/2024; 06/14/2024 
all client rework required start date: 06/14/2024 
all client blocked start date: na 
all client blocked end date:  na 
all client rework required end date:  06/14/2024 
------------------------------------------------------------------------------------------- 
verification complete date:  06/14/2024 
ready to migrate date:</t>
  </si>
  <si>
    <t>FECL_A-Yf0S2dDnDJ_ksF2UAOfhb</t>
  </si>
  <si>
    <t>sop # a06296 
config start date: 05/29/2024 
all config blocked start date: na 
all config blocked end date:  na 
config end date: 05/29/2024 
 -------------------------------------------------------------------------------------------- 
all peer review start date: 06/18/2024 
all peer review end date: 06/18/2024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06/18/2024 
verification assigned to:  noel mendez  
all client verification start date: 06/18/2024 
all client verification end date: 06/20/2024 
all client rework required start date:  
all client blocked start date:  
all client blocked end date:   
all client rework required end date:   
------------------------------------------------------------------------------------------- 
verification complete date:  06/25/2024 
ready to migrate date:</t>
  </si>
  <si>
    <t>A862-TBbm0OrTXG9Clorw2UAOrLj</t>
  </si>
  <si>
    <t>sop # a05926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noel mendez 
all client verification start date: 06/14/2024 
all client verification end date: 06/14/2024 
all client rework required start date: na 
all client blocked start date: na 
all client blocked end date:  na 
all client rework required end date:  na 
------------------------------------------------------------------------------------------- 
verification complete date:  06/14/2024 
ready to migrate date: 7/29/2024</t>
  </si>
  <si>
    <t>BLDhlUgWYEODxnRLPBQfNmUAGdDH</t>
  </si>
  <si>
    <t>sop # a05919 
config start date: 05/21/2024 
all config blocked start date: na 
all config blocked end date: na 
config end date:  05/22/2024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miguel lozada 
all client verification start date: 06/19/2024; 07/01/2024 
all client verification end date: 06/21/2024; 07/01/2024 
all client rework required start date: 07/01/2024 
all client blocked start date: na 
all client blocked end date: na  
all client rework required end date: 07/01/2024 
------------------------------------------------------------------------------------------- 
verification complete date: 07/01/2024 
ready to migrate date:07/31/2024</t>
  </si>
  <si>
    <t>R_yH1QLRZkOagaAGugDTrGUAHsZ3</t>
  </si>
  <si>
    <t>Rhoda Gill - Network;Shannon Blais - Network;Alejandra Robles - Network;Miguel A Lozada;Nannette Umpierre</t>
  </si>
  <si>
    <t>sop # a05918 
config start date: 05/31/2024 
all config blocked start date:  
all config blocked end date:   
config end date: 06/03/2024 
 -------------------------------------------------------------------------------------------- 
all peer review start date: 06/20/2024 
all peer review end date: 06/20/2024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06/20/2024; 07/03/2024 
verification assigned to:  miguel lozada 
all client verification start date: 06/20/2024 
all client verification end date: 06/20/2024 
all client rework required start date: 07/03/2024 
all client blocked start date: na 
all client blocked end date:  na 
all client rework required end date:  07/03/2024 
------------------------------------------------------------------------------------------- 
verification complete date:  07/10/2024 
ready to migrate date:07/30/2024</t>
  </si>
  <si>
    <t>S_91INsVG0itooyHEGPvymUABivL</t>
  </si>
  <si>
    <t>sop # a05916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</si>
  <si>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OO8SSyZ9Q0mt4P3ce_Gk4WUAHcBp</t>
  </si>
  <si>
    <t>sop # a04964 
config start date: 06/05/24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</si>
  <si>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xAqeRZ0KnUWaimuWLz8CrWUAD75x</t>
  </si>
  <si>
    <t>sop # a04963 
config start date: 05/24/24 
all config blocked start date:na 
all config blocked end date:na 
config end date: 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</si>
  <si>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A254g2lvVEuxG9y82Q9vb2UAH0MH</t>
  </si>
  <si>
    <t>Alejandra Robles - Network;Daniel Bonilla - Network;Nannette Umpierre</t>
  </si>
  <si>
    <t>sop # a04918 
config start date: 06/10/2024 
all config blocked start date: na 
all config blocked end date:  na 
config end date: 06/10/2024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  06/14/2024 
ready to migrate date: 7/29/2024</t>
  </si>
  <si>
    <t>ors4Xj4BRkWa8vM9rHMEL2UALvwL</t>
  </si>
  <si>
    <t>sop # a04917 
config start date: 06/10/2024 
all config blocked start date: na 
all config blocked end date:  na 
config end date: 06/11/2024 
 -------------------------------------------------------------------------------------------- 
all peer review start date: 06/13/2024 
all peer review end date: 06/13/2024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nannette umpierre 
all client verification start date: 06/13/2024 
all client verification end date: 06/13/2024 
all client rework required start date: na 
all client blocked start date: na 
all client blocked end date:  na 
all client rework required end date:  na 
------------------------------------------------------------------------------------------- 
verification complete date:  06/13/2024 
ready to migrate date: 7/29/2024</t>
  </si>
  <si>
    <t>tUTnWlPBZky7WoNgkVwuz2UAKraO</t>
  </si>
  <si>
    <t>sop # a04839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date:07/30/2024</t>
  </si>
  <si>
    <t>HlsQePkScUuuuzp7ZDPX_WUAAGp3</t>
  </si>
  <si>
    <t>sop # a04837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06/14/2024 
verification assigned to:  noel mendez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date:07/30/2024</t>
  </si>
  <si>
    <t>_eTRv0raqESHsRFJB3nKZ2UAIhFN</t>
  </si>
  <si>
    <t>sop # a04835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</si>
  <si>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BcsUiK7enUCDCpXNQzEsP2UAGEHe</t>
  </si>
  <si>
    <t>Shannon Blais - Network;Daniel Bonilla - Network;Nannette Umpierre;Rhoda Gill</t>
  </si>
  <si>
    <t>sop # a04374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07/01/2024 
all client blocked start date: 07/01/2024 
all client blocked end date:   
all client rework required end date:  07/09/2024 
------------------------------------------------------------------------------------------- 
verification complete date:  07/10/2024 
ready to migrate date:07/30/2024</t>
  </si>
  <si>
    <t>xZ6I3fu6HEqagzg6SWd31mUAJq7N</t>
  </si>
  <si>
    <t>Test Method;am;Skeleton Build</t>
  </si>
  <si>
    <t>sop # a03893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07/01/2024  
verification assigned to: noel mendez  
all client verification start date: 06/19/2024 
all client verification end date: 06/20/2024 
all client rework required start date: 06/27/2024 
all client blocked start date: na 
all client blocked end date: na 
all client rework required end date: 07/01/2024 
------------------------------------------------------------------------------------------- 
verification complete date:07/01/2024 
ready to migrate date:07/30/2024</t>
  </si>
  <si>
    <t>Ixqkw7GvX06ShNoZNPOSD2UAHmxk</t>
  </si>
  <si>
    <t>Daniel Bonilla - Network;Raquel Bolaños;Nannette Umpierre;Rhoda Gill</t>
  </si>
  <si>
    <t>Test Method;Consumable;Raw material;Full Build</t>
  </si>
  <si>
    <t>sop # a03891 
config start date: 04/17/2024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7/11/2024 
verification assigned to:  ivette lopez 
all client verification start date: 06/06/2024 
all client verification end date: 06/10/2024 
all client rework required start date: 06/12/2024; 7/11/2024 
all client blocked start date:  
all client blocked end date:   
all client rework required end date:  06/17/2024; 7/11/2024 
------------------------------------------------------------------------------------------- 
verification complete date:   
ready to migrate date:</t>
  </si>
  <si>
    <t>NAzIXtw2F02g6o-Sap9Ob2UADBRN</t>
  </si>
  <si>
    <t>sop # a03890 
config start date: 05/30/2024 
all config blocked start date: na 
all config blocked end date:  na 
config end date: 05/30/2024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ivette lopez 
all client verification start date: 06/14/2024 
all client verification end date: 06/14/2024 
all client rework required start date: 06/14/2024 
all client blocked start date: na 
all client blocked end date:  na 
all client rework required end date:  06/14/2024 
------------------------------------------------------------------------------------------- 
verification complete date:06/14/2024 
ready to migrate date:7/30/2024</t>
  </si>
  <si>
    <t>LFKYfU34Tke1rAASXXHfFmUAKrCb</t>
  </si>
  <si>
    <t>Glenda Fernandez - Network;Caroline Morice - Network;Nannette Umpierre</t>
  </si>
  <si>
    <t>sop # a03889 
config start date: 05/28/2024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06/17/2024 
verification assigned to:  noel mendez 
all client verification start date: 06/14/2024; 06/27/2024 
all client verification end date: 06/14/2024; 06/27/2024 
all client rework required start date: 06/14/2024 
all client blocked start date:  na 
all client blocked end date:  na 
all client rework required end date:  06/17/2024 
------------------------------------------------------------------------------------------- 
verification complete date:  06/27/2024 
ready to migrate date: 7/29/2024</t>
  </si>
  <si>
    <t>uSPWBYfkD0WKTNaOTaINPmUAEG6U</t>
  </si>
  <si>
    <t>sop # a03887 
config start date: 05/29/2024 
all config blocked start date: na 
all config blocked end date:  na 
config end date: 05/29/2024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06/20/2024 
all client rework required start date: na 
all client blocked start date: na 
all client blocked end date:  na 
all client rework required end date:  na 
------------------------------------------------------------------------------------------- 
verification complete date:  06/27/2024 
ready to migrate date:07/31/2024</t>
  </si>
  <si>
    <t>ml4nXL89aE-wHstySgsNwmUAHNqN</t>
  </si>
  <si>
    <t>sop # a03885 
config start date: 05/29/2024 
all config blocked start date: na 
all config blocked end date:  na 
config end date: 05/29/2024 
 -------------------------------------------------------------------------------------------- 
all peer review start date: 06/14/2024 
all peer review end date: 06/14/2024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06/14/2024 
verification assigned to:  noel mendez 
all client verification start date: 06/14/2024 
all client verification end date: 06/17/2024 
all client rework required start date: na 
all client blocked start date: na 
all client blocked end date:  na 
all client rework required end date:  na 
------------------------------------------------------------------------------------------- 
verification complete date:  06/25/2024 
ready to migrate date: 7/29/2024</t>
  </si>
  <si>
    <t>BhVqczBixU2NydAz3B99V2UAMxF0</t>
  </si>
  <si>
    <t>sop # a03871 
config start date: 05/24/2024 
all config blocked start date: na 
all config blocked end date:  na 
config end date: 06/03/2024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</si>
  <si>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QuTX9b8_YE-bBGs0Wf2zGmUALiMj</t>
  </si>
  <si>
    <t>sop # a03870 
config start date: 05/24/2024 
all config blocked start date: na 
all config blocked end date:  na 
config end date: 06/14/2024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</si>
  <si>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CQOIQPqTekuWSzFGsZ98mmUAGvHb</t>
  </si>
  <si>
    <t>Shannon Blais - Network;Daniel Bonilla - Network;Nannette Umpierre</t>
  </si>
  <si>
    <t>sop # a03869 
config start date: 05/29/2024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06/19/2024;06/27/2024 
verification assigned to: noel mendez  
all client verification start date: 06/19/2024;06/27/2024 
all client verification end date: 06/20/2024;06/27/2024 
all client rework required start date: 06/27/2024 
all client blocked start date: na 
all client blocked end date: na 
all client rework required end date: 06/27/2024 
------------------------------------------------------------------------------------------- 
verification complete date: 06/27/2024 
ready to migrate date: 07/30/2024</t>
  </si>
  <si>
    <t>Fh46tLjVdkGgOOGSlzG232UAAPXF</t>
  </si>
  <si>
    <t>sop # a03868 
config start date: 06/11/2024 
all config blocked start date: na 
all config blocked end date:  na 
config end date: 06/17/2024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</si>
  <si>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GqFdykRgfUC2YPbvvIh5MWUAGgxY</t>
  </si>
  <si>
    <t>sop # a03867 
config start date: 05/30/2024 
all config blocked start date: 
all config blocked end date:  
config end date:  7/10/2024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</si>
  <si>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mbSohaJQoUC0SRBCwyfurmUAOivB</t>
  </si>
  <si>
    <t>Test Method;Raw material;am;Full Build</t>
  </si>
  <si>
    <t>sop # a03865 
config start date: 06/06/24 
all config blocked start date:na 
all config blocked end date:na 
config end date: 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</si>
  <si>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1r_-0J8KcE2IwZtvdLUF1WUAEcpQ</t>
  </si>
  <si>
    <t>sop # a03253 
config start date:05/29/24 
all config blocked start date:na 
all config blocked end date:na 
config end date: 05/30/24 
 -------------------------------------------------------------------------------------------- 
all peer review start date:06/11/24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date:06/11/24;06/13/24 
verification assigned to:nannette umpierre 
all client verification start date:06/11/24;06/13/24 
all client verification end date:06/12/24;06/13/24 
all client rework required start date:06/13/24 
all client blocked start date:na 
all client blocked end date:na 
all client rework required end date:06/13/24 
-------------------------------------------------------------------------------------------- 
verification complete date:06/13/24 
ready to migrate date: 7/29/2024</t>
  </si>
  <si>
    <t>D1MCQfbBPEuQEKfpTWvqc2UAJyno</t>
  </si>
  <si>
    <t>Shannon Blais - Network;Daniela Azofeifa;Nannette Umpierre</t>
  </si>
  <si>
    <t>sop # a03252 
config start date:05/29/24 
all config blocked start date: 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</si>
  <si>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goL3rUujFESvWJXdv9lZCGUAG3jB</t>
  </si>
  <si>
    <t>sop # a03251 
config start date:05/29/24 
all config blocked start date:na 
all config blocked end date:na 
config end date: 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to:yvette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</si>
  <si>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TAJiRG10CUiu5retmyzICWUAGFKW</t>
  </si>
  <si>
    <t>sop # a03158 
config start date: 05/24/24 
all config blocked start date: na 
all config blocked end date: na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</si>
  <si>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erfCPu3TyUGMsWA3rQay82UAPh_u</t>
  </si>
  <si>
    <t>Alejandra Robles - Network;Daniela Azofeifa;Nannette Umpierre</t>
  </si>
  <si>
    <t>Test Method;Consumable;am</t>
  </si>
  <si>
    <t>sop #a03108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t>
  </si>
  <si>
    <t>ApS0d0Fji0S5B2e_mLVPN2UAG5jA</t>
  </si>
  <si>
    <t>sop#a03106 
config start date:05/29/24 
all config blocked start date: na 
all config blocked end date: na 
config end date: 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to:noel mendez 
all client verification start date:06/18/24 
all client verification end date:06/19/24 
all client rework required start date: 
all client blocked start date: 
all client blocked end date: 
all client rework required end date: 
-------------------------------------------------------------------------------------------- 
verification complete date:06/26/24 
ready to migrate date:</t>
  </si>
  <si>
    <t>muA5oTKQIUy8njtwRhRbkGUAPbOb</t>
  </si>
  <si>
    <t>sop#a03105 
config start date: 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date:06/17/24;06/27/24 
verification assigned to:noel mendez 
all client verification start date:06/17/24;06/27/24 
all client verification end date:06/18/24;06/27/24 
all client rework required start date:06/27/24 
all client blocked start date:na 
all client blocked end date:na 
all client rework required end date:06/27/24 
-------------------------------------------------------------------------------------------- 
verification complete date:06/27/24 
ready to migrate date: 7/29/2024</t>
  </si>
  <si>
    <t>QweJDtKMYEiQxi5bY5d3_mUAJkJH</t>
  </si>
  <si>
    <t>sop#a03104 
config start date:05/29/24 
all config blocked start date: na 
all config blocked end date: na 
config end date: 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 
all client blocked start date: 
all client blocked end date: 
all client rework required end date: 
-------------------------------------------------------------------------------------------- 
verification complete date:06/25/24 
ready to migrate date: 7/29/2024</t>
  </si>
  <si>
    <t>G05dEPQaFUiE16jnXpkYm2UANSwi</t>
  </si>
  <si>
    <t>sop#a03103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</si>
  <si>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7_9lbUYJJUqdRYcjrmt4qWUAHaYj</t>
  </si>
  <si>
    <t>sop#a03100 
config start date:05/27/24 
all config blocked start date: na 
all config blocked end date: na 
config end date: 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date:07/30/2024</t>
  </si>
  <si>
    <t>IqsnjgOFtU6I-21Cn7rkzmUADLd9</t>
  </si>
  <si>
    <t>Test Method;Consumable;Intermediate;Raw material;am;Skeleton Build</t>
  </si>
  <si>
    <t>sop # a03094 
config start date: 05/29/2024 
all config blocked start date: na 
all config blocked end date:  na 
config end date: 05/29/2024 
 -------------------------------------------------------------------------------------------- 
all peer review start date: 06/12/2024 
all peer review end date: 06/12/2024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06/13/2024 
verification assigned to:   
all client verification start date: 06/13/2024 
all client verification end date: 06/13/2024 
all client rework required start date: 06/13/2024 
all client blocked start date: na 
all client blocked end date:  na 
all client rework required end date:06/13/2024 
------------------------------------------------------------------------------------------- 
verification complete date:06/13/2024 
ready to migrate date:</t>
  </si>
  <si>
    <t>9-9wnMq2nkeURr-jwSgMrWUANCIJ</t>
  </si>
  <si>
    <t>sop#a03093 
config start date:05/29/24 
all config blocked start date: na 
all config blocked end date: na 
config end date: 05/30/24 
 -------------------------------------------------------------------------------------------- 
all peer review start date:06/10/24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date:06/11/24 
verification assigned to:nannette umpierre 
all client verification start date:06/11/24 
all client verification end date:06/12/24 
all client rework required start date:na 
all client blocked start date:na 
all client blocked end date:na 
all client rework required end date:na 
-------------------------------------------------------------------------------------------- 
verification complete date: 06/12/24 
ready to migrate date:07/31/2024</t>
  </si>
  <si>
    <t>-gDnDkM6KUOXzSXO-2LoBGUAH8na</t>
  </si>
  <si>
    <t>Joshua Vargas - Network;Alejandra Robles - Network;Nannette Umpierre;Rhoda Gill</t>
  </si>
  <si>
    <t>sop # a03090 
config start date: 06/10/24 
all config blocked start date:na 
all config blocked end date:na 
config end date: 06/11/24 
 -------------------------------------------------------------------------------------------- 
all peer review start date: 06/17/2024 
all peer review end date: 06/17/2024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06/17/2024;06/26/2024 
verification assigned to: noel mendez  
all client verification start date: 06/17/2024;06/26/2024 
all client verification end date: 06/18/2024;06/26/2024 
all client rework required start date: 06/26/2024 
all client blocked start date: na 
all client blocked end date: na 
all client rework required end date:06/26/2024 
------------------------------------------------------------------------------------------- 
verification complete date:06/26/2024 
ready to migrate date: 07/30/2024</t>
  </si>
  <si>
    <t>I-mUDezDh0OeYngL4KVhnGUAK4Pv</t>
  </si>
  <si>
    <t>sop#a03089 
config start date:06/10/24 
all config blocked start date:na 
all config blocked end date:na 
config end date: 06/11/24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date:06/25/24 
ready to migrate date:</t>
  </si>
  <si>
    <t>Ccph9R2EgkO3eClPms5xW2UAK52m</t>
  </si>
  <si>
    <t>Shannon Blais - Network;Fabian Soma - Network;Miguel A Lozada;Nannette Umpierre;Rhoda Gill;Noel Mendez - Network</t>
  </si>
  <si>
    <t>Test Method;Raw material;Skeleton Build</t>
  </si>
  <si>
    <t>sop # a03023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verification assigned to: noel mendez 
all client verification start date:  06/19/2024 
all client verification end date:  06/21/2024 
all client rework required start date: 07/22/2024 
all client blocked start date: 07/22/2024 
all client blocked end date:  07/25/2024 
all client rework required end date: 07/30/2024 
------------------------------------------------------------------------------------------- 
verification complete date:   
ready to migrate date:</t>
  </si>
  <si>
    <t>Xaf5tVURRkiC8Em7iNnuIWUAPhoO</t>
  </si>
  <si>
    <t>sop#a03020 
config start date: 06/10/24 
all config blocked start date: na 
all config blocked end date: na 
config end date: 06/11/24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t>
  </si>
  <si>
    <t>eEEDATSZkU-AYEzp6GzFa2UAGSHX</t>
  </si>
  <si>
    <t>Shannon Blais - Network;Fabian Soma - Network;Nannette Umpierre;Rhoda Gill;Noel Mendez - Network</t>
  </si>
  <si>
    <t>sop # a03019 
config start date: 05/27/2024 
all config blocked start date: na 
all config blocked end date:  na 
config end date: 05/31/2024 
 -------------------------------------------------------------------------------------------- 
all peer review start date: 06/19/2024 
all peer review end date: 06/19/2024 
all peer review rework required start date: na 
all pr rework blocked start date: na 
all pr rework blocked end date:  na 
all peer review rework required end date: na 
-------------------------------------------------------------------------------------------- 
all ready for demo date: na 
all demo date: na 
all demo rework required start date: na 
all demo blocked start date: na 
all demo blocked end date: na 
all demo rework required end date: na 
-------------------------------------------------------------------------------------------- 
all ready for client verification date: 06/19/2024; 07/02/2024 
verification assigned to:  noel mendez 
all client verification start date: 06/19/2024 
all client verification end date: 06/20/2024 
all client rework required start date: 07/02/2024  
all client blocked start date: na 
all client blocked end date:  na 
all client rework required end date:  07/02/2024 
------------------------------------------------------------------------------------------- 
verification complete date:   07/11/2024 
ready to migrate date:07/31/2024</t>
  </si>
  <si>
    <t>EQpTkYGm7kSPcxIYR1nD-2UADTd2</t>
  </si>
  <si>
    <t>Shannon Blais - Network;Fabian Soma - Network;Nannette Umpierre</t>
  </si>
  <si>
    <t>sop#a03018 
config start date:06/10/24 
all config blocked start date:na 
all config blocked end date:na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to:noel mendez 
all client verification start date:06/17/24;06/18/24 
all client verification end date:06/17/24;06/18/24 
all client rework required start date:06/17/24 
all client blocked start date:na 
all client blocked end date:na 
all client rework required end date:06/18/24 
-------------------------------------------------------------------------------------------- 
verification complete date:06/27/24 
ready to migrate date:</t>
  </si>
  <si>
    <t>NiBit2kSzE280FJ2z0FDnGUAKX--</t>
  </si>
  <si>
    <t>sop#a03017 
config start date: 06/05/24 
all config blocked start date: na 
all config blocked end date: na 
config end date: 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</si>
  <si>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53fJ8g_FNEWK3pCO7wn52mUAJUIw</t>
  </si>
  <si>
    <t>Javier Coronado - Network;Rhoda Gill</t>
  </si>
  <si>
    <t>sop#a03016 
config start date: 05/28/24 
all config blocked start date: 
all config blocked end date: 
config end date: 06/19/24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</si>
  <si>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pBBDkuNkjEeOh-eJoLUs_GUALIDv</t>
  </si>
  <si>
    <t>sop#a03014 
config start date:05/24/24 
all config blocked start date: 
all config blocked end date: 
config end date: 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</si>
  <si>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CGBrkUhjykqk1jucjvZ-BGUAPHhi</t>
  </si>
  <si>
    <t>Raquel Bolaños;Nannette Umpierre;Rhoda Gill;Ivette Lopez Blasini - Network;Daniela Maroto - Network</t>
  </si>
  <si>
    <t>sop # a03013 
config start date: 04/18/2024 
all config blocked start date: na 
all config blocked end date:  na 
config end date: 05/21/2024 
 -------------------------------------------------------------------------------------------- 
all peer review start date: 05/29/2024 
all peer review end date: 05/29/2024 
all peer review rework required start date: na 
all pr rework blocked start date: na 
all pr rework blocked end date:  na 
all peer review rework required end date: na 
-------------------------------------------------------------------------------------------- 
all ready for demo date: 05/29/2024 
all demo date: 05/30/2024 
all demo rework required start date: 05/30/2024 
all demo blocked start date: na 
all demo blocked end date: na 
all demo rework required end date: 05/30/2024 
-------------------------------------------------------------------------------------------- 
all ready for client verification date: 06/06/2024; 06/14/2024 
verification assigned to:  ivette lopez 
all client verification start date: 06/06/2024; 06/14/2024 
all client verification end date: 06/11/2024; 06/14/2024 
all client rework required start date: 06/13/2024 
all client blocked start date:  
all client blocked end date:   
all client rework required end date:  06/13/2024 
------------------------------------------------------------------------------------------- 
verification complete date: 07/12/2024 
ready to migrate date:</t>
  </si>
  <si>
    <t>t0dcUxxRoUq1KNTyJv1AhmUAOHB_</t>
  </si>
  <si>
    <t>sop # a03012 
config start date: 05/24/2024 
all config blocked start date: na 
all config blocked end date:  na 
config end date: 06/13/2024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</si>
  <si>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SvRyd6SuYUS4TtJnTksIO2UAIFxV</t>
  </si>
  <si>
    <t>sop#a03008 
config start date:06/05/24 
all config blocked start date: na 
all config blocked end date: na 
config end date:06/10/24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</si>
  <si>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BavnbTfL0EisMS0YzYIj2GUAK6oV</t>
  </si>
  <si>
    <t>sop#a03005 
config start date:06/10/24 
all config blocked start date: 
all config blocked end date: 
config end date: 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to:miguel lozada 
all client verification start date:06/14/24 
all client verification end date:06/19/24 
all client rework required start date: 
all client blocked start date: 
all client blocked end date: 
all client rework required end date: 
-------------------------------------------------------------------------------------------- 
verification complete date:06/24/24 
ready to migrate date:</t>
  </si>
  <si>
    <t>np4Bd2n5PUOc9QKoKie2amUANz5L</t>
  </si>
  <si>
    <t>sop#a02942 
config start date:05/24/24 
all config blocked start date: 
all config blocked end date: 
config end date:06/03/24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</si>
  <si>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eibKKDA3akW3vhcepE4comUAGYKR</t>
  </si>
  <si>
    <t>Fabian Soma - Network;Glenda Fernandez - Network;Nannette Umpierre</t>
  </si>
  <si>
    <t>sop#a02941 
config start date:06/10/24 
all config blocked start date: 
all config blocked end date: 
config end date: 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date:06/13/24;06/14/24 
verification assigned to:nannette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t>
  </si>
  <si>
    <t>jvp0gYpcaU-bJG-9ev5lCWUAFAgg</t>
  </si>
  <si>
    <t>Test Method;Consumable;Raw material;Empower ;Full Build</t>
  </si>
  <si>
    <t>sop#g1897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</si>
  <si>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zdEQDXXu602DtUoX6aXzDGUAHzsI</t>
  </si>
  <si>
    <t>sop#g1864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</si>
  <si>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DnVMQIQnQUi4zggmAY-NVWUAJfPN</t>
  </si>
  <si>
    <t>sop#a02939 
config start date:05/22/24 
all config blocked start date: na 
all config blocked end date: 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</si>
  <si>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AmlaOHITGUiYswBTYzdA6GUANjNw</t>
  </si>
  <si>
    <t>Test Method;Empower ;Finished Product;Full Build</t>
  </si>
  <si>
    <t>sop#b13269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</si>
  <si>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nPN8zf9DmEC2MuqjoHAA82UANpow</t>
  </si>
  <si>
    <t>sop#a02936 
config start date:05/30/24 
all config blocked start date:na 
all config blocked end date:na 
config end date: 05/30/24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date:06/14/24;06/17/24 
verification assigned to:ivette lopez 
all client verification start date:06/14/24;06/27/24 
all client verification end date:06/14/24;06/27/24 
all client rework required start date:06/14/24 
all client blocked start date:na 
all client blocked end date:na 
all client rework required end date:06/17/24 
-------------------------------------------------------------------------------------------- 
verification complete date:06/27/24 
ready to migrate date: 7/29/2024</t>
  </si>
  <si>
    <t>ddECHaarYEuttItpPunLLWUAD74u</t>
  </si>
  <si>
    <t>Shannon Blais - Network;Alejandra Robles - Network;Miguel A Lozada;Nannette Umpierre</t>
  </si>
  <si>
    <t>Test Method;am;Skeleton Build;Finished Product</t>
  </si>
  <si>
    <t>sop # b13110 
config start date:05/28/24 
all config blocked start date:na 
all config blocked end date:na 
config end date:06/05/24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 07/09/2024 
all client blocked start date: na 
all client blocked end date: na 
all client rework required end date: 07/10/2024 
-------------------------------------------------------------------------------------------- 
verification complete date: 07/10/2024 
ready to migrate date:07/31/2024</t>
  </si>
  <si>
    <t>mVwjbc9RCU2pk2zP7BES7GUAGtPK</t>
  </si>
  <si>
    <t>Fabian Soma - Network;Raquel Bolaños;Nannette Umpierre;Noel Mendez - Network</t>
  </si>
  <si>
    <t>sop # a02935 
config start date:04/16/24 
all config blocked start date:na 
all config blocked end date:na 
config end date:05/21/24 
 -------------------------------------------------------------------------------------------- 
all peer review start date:05/29/24 
all peer review end date:05/29/24 
all peer review rework required start date: 
all pr rework blocked start date: 
all pr rework blocked end date: 
all peer review rework required end date: 
-------------------------------------------------------------------------------------------- 
all ready for demo date:05/29/24 
all demo date:05/30/24 
all demo rework required start date: 
all demo blocked start date: 
all demo blocked end date: 
all demo rework required end date: 
-------------------------------------------------------------------------------------------- 
all ready for client verification date:06/06/24;06/14/24 
verification assigned to: noel mendez 
all client verification start date:06/06/24 
all client verification end date:06/07/24 
all client rework required start date:06/10/24 
all client blocked start date:06/07/24 
all client blocked end date:06/10/24 
all client rework required end date:06/14/24 
----------------------------------------------------------------------------------------reverification completed: 07/18/2024 
verification complete date: 
ready to migrate date:</t>
  </si>
  <si>
    <t>SIesyvhNiU-GiJuZ9HvFIGUALFUN</t>
  </si>
  <si>
    <t>Fabian Soma - Network;Alejandra Robles - Network;Nannette Umpierre</t>
  </si>
  <si>
    <t>sop # b12203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noel mendez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 7/29/2024</t>
  </si>
  <si>
    <t>SNGvwIPZl0a61G6YGi36o2UABxJW</t>
  </si>
  <si>
    <t>sop # b11327 
config start date:06/04/24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</si>
  <si>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Z0tIv4kJxUacilJwzLQUHGUADInR</t>
  </si>
  <si>
    <t>sop #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</si>
  <si>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ZiI5ONbmykykTTfr9xs8imUAFh5c</t>
  </si>
  <si>
    <t>A01254: Identification of Solids by Infrared Spectroscopy Halide, Pellet Technique</t>
  </si>
  <si>
    <t>sop # a01254 
config start date:05/30/24 
all config blocked start date:na 
all config blocked end date:na 
config end date:06/06/24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</si>
  <si>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P9iA9KcP406kYKjXexeJi2UADdhe</t>
  </si>
  <si>
    <t>sop # b10865 
config start date:05/30/24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</si>
  <si>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2qLl3j6JQ06GciSEKGmz_GUAHgx5</t>
  </si>
  <si>
    <t>Giuliana Barahona</t>
  </si>
  <si>
    <t>sop #b10705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</si>
  <si>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m9zjS6PKSkq6f2bbPAj9ZGUAJm_S</t>
  </si>
  <si>
    <t>Raquel Bolaños</t>
  </si>
  <si>
    <t>sop # a01157 
config start date:05/08/24 
all config blocked start date:na 
all config blocked end date:na 
config end date:05/28/24 
 -------------------------------------------------------------------------------------------- 
all peer review start date: 
all peer review end date: 
all peer review rework required start date: 
all pr rework blocked start date: 
all pr rework blocked end date: 
all peer review rework required end date: 
-------------------------------------------------------------------------------------------- 
all ready for demo date:06/04/24 
all demo date:06/04/24 
all demo rework required start date:06/04/24;06/06/24 
all demo blocked start date:06/17/24 
all demo blocked end date:07/22/24 
all demo rework required end date:06/06/24 
-------------------------------------------------------------------------------------------- 
all ready for client verification date:07/22/24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</si>
  <si>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179DgJ6PqEWwdT8VO0awd2UAF16D</t>
  </si>
  <si>
    <t>Kimberly Mata - Network;Glenda Fernandez - Network;Nannette Umpierre</t>
  </si>
  <si>
    <t>sop # b10570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</si>
  <si>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DN4wN-1svkKoSqIL8UkvgWUAFc_n</t>
  </si>
  <si>
    <t>Javier Coronado - Network;Miguel A Lozada;Nannette Umpierre;Rhoda Gill</t>
  </si>
  <si>
    <t>sop # b10561 
config start date:05/14/24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date:06/07/24 
all demo rework required start date:na 
all demo blocked start date:na 
all demo blocked end date:na 
all demo rework required end date:na 
-------------------------------------------------------------------------------------------- 
all ready for client verification date:06/07/24;06/19/24;07/01/24 
verification assigned to: miguel lozada 
all client verification start date:06/07/24;06/27/24 
all client verification end date:06/14/24;06/27/24 
all client rework required start date:06/19/24;07/01/24 
all client blocked start date: 
all client blocked end date: 
all client rework required end date:06/19/24;07/01/24 
-------------------------------------------------------------------------------------------- 
verification complete date: 
ready to migrate date:</t>
  </si>
  <si>
    <t>QYel1IQHg0KblZ99lWThYGUAEbYG</t>
  </si>
  <si>
    <t>Alejandra Robles - Network;Glenda Fernandez - Network</t>
  </si>
  <si>
    <t>sop # b10539 
config start date:05/29/24 
all config blocked start date:na 
all config blocked end date:na 
config end date:06/17/24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07/10/2024 
all client rework required start date:na 
all client blocked start date:na 
all client blocked end date:na 
all client rework required end date:na 
-------------------------------------------------------------------------------------------- 
verification complete date: 07/10/2024 
ready to migrate date:07/31/2024</t>
  </si>
  <si>
    <t>1n9oRk9H0kK1yQQw4EzmsmUAFdyu</t>
  </si>
  <si>
    <t>Test Method;Consumable;Blocked;In Process;Full Build</t>
  </si>
  <si>
    <t>sop # 
config start date:07/16/2024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</si>
  <si>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ovDIqxBaqkGd2oS_Mt4mZGUAL7QR</t>
  </si>
  <si>
    <t>sop # a01152 
config start date:06/13/24 
all config blocked start date:na 
all config blocked end date:na 
config end date:06/17/24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</si>
  <si>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77OqWB8sUka8nQfNj3DDNWUAGGXe</t>
  </si>
  <si>
    <t>B10448: Nonvolatiles Residue in Cleaning Rinse Samples</t>
  </si>
  <si>
    <t>Test Method;Intermediate;Raw material;am;Skeleton Build</t>
  </si>
  <si>
    <t>sop # b10448 
config start date:04/18/24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date:06/07/24;06/14/24 
verification assigned to: nannette umpierre 
all client verification start date:06/07/24;06/14/24 
all client verification end date:06/12/24;06/14/24 
all client rework required start date:06/14/24 
all client blocked start date:na 
all client blocked end date:na 
all client rework required end date:06/14/24 
-------------------------------------------------------------------------------------------- 
verification complete date:06/14/24 
ready to migrate date: 7/30/2024</t>
  </si>
  <si>
    <t>LL_hXWyUB066HgqURfAKkmUANXEF</t>
  </si>
  <si>
    <t>B10406: Citric Acid Anhydrous ID By IR - PhEur</t>
  </si>
  <si>
    <t>Rhoda Gill - Network;Manu Serrano - Network</t>
  </si>
  <si>
    <t>sop # b10406 
config start date:05/21/24 
all config blocked start date:na 
all config blocked end date:na 
config end date:05/30/24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</si>
  <si>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tfLEPP-rH06SNAiLySdccmUAF-Rk</t>
  </si>
  <si>
    <t>A01150: Identification of Dextrose by Enzymatic Glucose Test Strip</t>
  </si>
  <si>
    <t>sop # 
config start date:06/03/24 
all config blocked start date:na 
all config blocked end date:na 
config end date:06/07/24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</si>
  <si>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ThynUB640UOwtFnsZPxHmGUAGzyI</t>
  </si>
  <si>
    <t>B10334: Residual Testing of Rinse Water for CIP-100</t>
  </si>
  <si>
    <t>sop # b10334 
config start date:05/29/24 
all config blocked start date:na 
all config blocked end date:na 
config end date:05/31/24 
 -------------------------------------------------------------------------------------------- 
all peer review start date:06/17/24 
all peer review end date:06/17/24 
all peer review rework required start date:06/17/24 
all pr rework blocked start date:na 
all pr rework blocked end date:na 
all peer review rework required end date:06/18/24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date:07/01/24 
all client verification end date:07/01/24 
all client rework required start date: 
all client blocked start date:na 
all client blocked end date:na 
all client rework required end date:na 
-------------------------------------------------------------------------------------------- 
verification complete date:07/01/24 
ready to migrate date:</t>
  </si>
  <si>
    <t>0jWadtJMnUuddPNwGsb_52UAJtzf</t>
  </si>
  <si>
    <t>B10246: Identification of Methyl Benzoate and Uracil in Reverse Phase Aromatic Solution</t>
  </si>
  <si>
    <t>sop #b10246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</si>
  <si>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x1F9yfkQh0enD_g6iug7d2UABDGy</t>
  </si>
  <si>
    <t>B10146: Extraneous Material and Magnetically - Attracted Particles in Cleaning Rinse Samples</t>
  </si>
  <si>
    <t>sop # b10146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</si>
  <si>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HcYbpnGvS06VurRXbnvN9mUAKTGP</t>
  </si>
  <si>
    <t>B10042: Determination of Ethanol in Lispro Bulk Drug Material By Headspace Gas Chromatography</t>
  </si>
  <si>
    <t>Test Method;Consumable;Empower ;Finished Product;Full Build</t>
  </si>
  <si>
    <t>sop #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</si>
  <si>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bVjWGyPMjkStmpQIb02a92UAATPD</t>
  </si>
  <si>
    <t>B09999: Conductivity Analysis of Steam for Operations</t>
  </si>
  <si>
    <t>Shannon Blais - Network;Alejandra Robles - Network;Glenda Fernandez - Network;Nannette Umpierre</t>
  </si>
  <si>
    <t>sop # b09999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date:06/21/24 
all client blocked end date:07/01/24 
all client rework required end date:07/02/24 
-------------------------------------------------------------------------------------------- 
verification complete date: 07/10/2024 
ready to migrate date: 07/31/2024</t>
  </si>
  <si>
    <t>nFcHTBo-P0-ZtMWwM-9yGWUAPf8x</t>
  </si>
  <si>
    <t>B09997: Determination of Iron in Lispro Active Pharmaceutical Ingredient By Graphite Furnace Atomic Absorption Spectroscopy</t>
  </si>
  <si>
    <t>Test Method;Consumable;am;Finished Product;Full Build</t>
  </si>
  <si>
    <t>sop # b09997 
config start date:05/15/24 
all config blocked start date: 
all config blocked end date: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</si>
  <si>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5ssLBCmR_E6nsXqWpSqdRGUABjpw</t>
  </si>
  <si>
    <t>A01145:  Sodium Hydroxide, Sodium Carbonate, and Total Alkali In Sodium Hydroxide Reagent by ACS Titration</t>
  </si>
  <si>
    <t>sop # a01145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date:na 
all client blocked end date:na 
all client rework required end date:06/27/24 
------------------------------------------------------------------------------------------- 
verification complete date:06/27/24 
ready to migrate date: 07/30/2024</t>
  </si>
  <si>
    <t>5fGFtH5r70Womc6vSbvUM2UANpW0</t>
  </si>
  <si>
    <t>B09912: ELISA for Lyspro Human Proinsulin in Lyspro Insulin</t>
  </si>
  <si>
    <t>sop # 
config start date:04/05/24 
all config blocked start date:na 
all config blocked end date:na 
config end date:05/30/24 
 -------------------------------------------------------------------------------------------- 
all peer review start date:05/30/24 
all peer review end date:05/30/24 
all peer review rework required start date: 
all pr rework blocked start date: 
all pr rework blocked end date: 
all peer review rework required end date: 
-------------------------------------------------------------------------------------------- 
all ready for demo date:05/30/24 
all demo date:05/31/24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</si>
  <si>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I-VVI_zliE-9zTBZKcbpb2UAHGWv</t>
  </si>
  <si>
    <t>B09754: Dextrose By HPLC</t>
  </si>
  <si>
    <t>JkM2Dj9rWkGQieu6L4SOpmUAFDs-</t>
  </si>
  <si>
    <t>B09651: Gas Chromatography Method for the Assay of Morpholine</t>
  </si>
  <si>
    <t>sop # b09651 
config start date:05/30/24 
all config blocked start date:na 
all config blocked end date:na 
config end date:05/31/24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date:06/12/24 
all client verification end date:06/13/24 
all client rework required start date:na 
all client blocked start date:na 
all client blocked end date:na 
all client rework required end date:na 
-------------------------------------------------------------------------------------------- 
verification complete date:06/13/24 
ready to migrate date: 7/29/2024</t>
  </si>
  <si>
    <t>jlTnzDOyo0qfjH5g2AU5BGUACB-r</t>
  </si>
  <si>
    <t>A00660: Iron</t>
  </si>
  <si>
    <t>Rhoda Gill - Network;Shannon Blais - Network;Andrea Fuentes;Nannette Umpierre;Noel Mendez - Network</t>
  </si>
  <si>
    <t>sop # a00660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date:07/02/24,07/09/2024 
all client blocked start date: 
all client blocked end date: 
all client rework required end date:07/08/24;07/10/24 
-------------------------------------------------------------------------------------------- 
verification complete date: 07/10/2024 
ready to migrate date:</t>
  </si>
  <si>
    <t>iyYXROFUok6SBOLoajB2cGUACIQj</t>
  </si>
  <si>
    <t>A00658:  Residue on Ignition</t>
  </si>
  <si>
    <t>sop # a00658 
config start date:05/08/24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date:06/12/24;06/27/27 
verification assigned to: nannette umpierre 
all client verification start date:06/12/24;06/27/24 
all client verification end date:06/13/24;06/27/24 
all client rework required start date:06/14/24 
all client blocked start date:na 
all client blocked end date:na 
all client rework required end date:06/14/24 
------------------------------------------------------------------------------------------- 
verification complete date:06/27/24 
ready to migrate date: 07/30/2024</t>
  </si>
  <si>
    <t>ByEoYg3FxkWVD03uKISq9WUALyYs</t>
  </si>
  <si>
    <t>B09073: Sulphated Ash - PhEur</t>
  </si>
  <si>
    <t>sop # b09073 
config start date:05/20/24 
all config blocked start date:na 
all config blocked end date:na 
config end date:05/22/24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date:06/14/24 
all client blocked start date:na 
all client blocked end date:na 
all client rework required end date:06/14/24 
-------------------------------------------------------------------------------------------- 
verification complete date:06/14/24 
ready to migrate date:7/30/2024</t>
  </si>
  <si>
    <t>QCNmyX-Nb0iReXgIx4N35mUAK4Uy</t>
  </si>
  <si>
    <t>B08929: Acetonitrile Identification By GC</t>
  </si>
  <si>
    <t>sop # b08929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</si>
  <si>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efK02aDHYE-LP5cWHYy7CmUAE9y8</t>
  </si>
  <si>
    <t>B08131: Chromatographic Purity By TLC - USP</t>
  </si>
  <si>
    <t>sop # b08131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date:06/17/24 
all client verification end date:06/17/24 
all client rework required start date:06/17/24 
all client blocked start date:na 
all client blocked end date:na 
all client rework required end date:06/18/24 
-------------------------------------------------------------------------------------------- 
verification complete date:06/27/24 
ready to migrate date: 7/29/2024</t>
  </si>
  <si>
    <t>xR3cjqZL1UWBiVW7IKt1jWUAFg6y</t>
  </si>
  <si>
    <t>B07494: Acetic Acid and Acetic Anhydride By GC - ACS</t>
  </si>
  <si>
    <t>Alejandra Robles - Network;Ethan Cordero - Network;Nannette Umpierre</t>
  </si>
  <si>
    <t>sop # b07494 
config start date:05/30/24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</si>
  <si>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inq_Zbd4f0SEcxsxuGwPOGUABntV</t>
  </si>
  <si>
    <t>A00657:  Melting Point for Urea Chemical Grade</t>
  </si>
  <si>
    <t>sop # a00657 
config start date:05/31/24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date:06/14/24;06/18/24 
verification assigned to: noel mendez 
all client verification start date:06/17/24;06/27/24 
all client verification end date:06/17/24;06/27/24 
all client rework required start date:06/18/24;06/27/24 
all client blocked start date:na 
all client blocked end date:na 
all client rework required end date:06/18/24;06/27/24 
-------------------------------------------------------------------------------------------- 
verification complete date:06/27/24 
ready to migrate date: 7/29/2024</t>
  </si>
  <si>
    <t>6ovp1ry_W0WYXKIMDTULJ2UAK_Qq</t>
  </si>
  <si>
    <t>B07285: Impurity A and Related Substances By PhEur</t>
  </si>
  <si>
    <t>sop # b07285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</si>
  <si>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rNovouSYdEOp2qTZ_fTwO2UADS-W</t>
  </si>
  <si>
    <t>B07284: Aldehydes By PhEur Method</t>
  </si>
  <si>
    <t>sop # b07284 
config start date:05/28/24 
all config blocked start date:na 
all config blocked end date:na 
config end date:05/28/24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date:06/18/24;06/27/24 
all client verification end date:06/19/24;06/27/24 
all client rework required start date:06/24/24 
all client blocked start date:na 
all client blocked end date:na 
all client rework required end date:06/27/24 
-------------------------------------------------------------------------------------------- 
verification complete date:06/27/24 
ready to migrate date:07/31/2024</t>
  </si>
  <si>
    <t>UXxZu273NECYatRi6eSsImUABe_H</t>
  </si>
  <si>
    <t>B07036: Identity B - PhEur</t>
  </si>
  <si>
    <t>Javier Coronado - Network;Shannon Blais - Network;Nannette Umpierre;Rhoda Gill</t>
  </si>
  <si>
    <t>sop # b07036 
config start date:06/03/24 
all config blocked start date:na 
all config blocked end date:na 
config end date:06/11/24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date:06/14/24 
all client rework required start date:na 
all client blocked start date:na 
all client blocked end date:na 
all client rework required end date:na 
-------------------------------------------------------------------------------------------- 
verification complete date:06/14/24 
ready to migrate date: 7/29/2024</t>
  </si>
  <si>
    <t>2gaqsAXVikWFlWmDaetAJmUAPdHj</t>
  </si>
  <si>
    <t>B06988: Appearance of Solution (Color and Clarity) By PhEur</t>
  </si>
  <si>
    <t>sop # b06988 
config start date:05/29/24 
all config blocked start date:na 
all config blocked end date:na 
config end date:05/30/24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 06/19/2024 
all client verification end date: 06/21/2024 
all client rework required start date:na 
all client blocked start date:na 
all client blocked end date:na 
all client rework required end date:na 
-------------------------------------------------------------------------------------------- 
verification complete date: 07/09/2024 
ready to migrate date:07/30/2024</t>
  </si>
  <si>
    <t>ELulvK7qkEKQH3W72ATec2UAKfYD</t>
  </si>
  <si>
    <t>A00158: Physical Inspection</t>
  </si>
  <si>
    <t>sop # a00158 
config start date:05/22/24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date:07/01/24 
ready to migrate date:07/31/2024</t>
  </si>
  <si>
    <t>kQ3QCzHjP06oDC9h5q9DZWUAEx6k</t>
  </si>
  <si>
    <t>A00123: Physical Examination of Bulk drug Substances for Stability</t>
  </si>
  <si>
    <t>sop # a00123 
config start date:05/17/24 
all config blocked start date:na 
all config blocked end date:na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</si>
  <si>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WEgLsPL12UCrEj8rLTaik2UAEnUd</t>
  </si>
  <si>
    <t>B06522: Determination of the % Solids Content of Washed Granule Concentrates and Cell Paste Through the Use of a Microwave Moisture Analyzer</t>
  </si>
  <si>
    <t>Test Method;Consumable;In Process;Full Build</t>
  </si>
  <si>
    <t>sop # b06522 
config start date: 07/31/2024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</si>
  <si>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5TQJZEEgo0qpEMpqpciGZ2UAKBxd</t>
  </si>
  <si>
    <t>A00011: Residue on Ignition by USP</t>
  </si>
  <si>
    <t>sop # a00011 
config start date:04/17/24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date:06/06/24 
all demo date:06/06/24 
all demo rework required start date:na 
all demo blocked start date:na 
all demo blocked end date:na 
all demo rework required end date:na 
-------------------------------------------------------------------------------------------- 
all ready for client verification date:06/06/24  
verification assigned to: nannette umpierre 
all client verification start date:06/06/24 
all client verification end date:06/06/24 
all client rework required start date:06/11/24 
all client blocked start date:06/06/24 
all client blocked end date:06/11/24 
all client rework required end date:06/12/24 
-------------------------------------------------------------------------------------------- 
verification complete date:06/12/24 
ready to migrate date:07/31/2024</t>
  </si>
  <si>
    <t>L5t_R_1vpESFXMCDbak8uGUABFO7</t>
  </si>
  <si>
    <t>B06490: Appearance of Prepared Medium (Clarity)</t>
  </si>
  <si>
    <t>sop # b06490 
config start date:04/17/24 
all config blocked start date:na 
all config blocked end date:na 
config end date:05/23/24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all client blocked start date:na 
all client blocked end date:na 
all client rework required end date: 
-------------------------------------------------------------------------------------------- 
verification complete date:06/20/24 
ready to migrate date:07/30/2024</t>
  </si>
  <si>
    <t>-SJ9EKjmu0OdPUr8yuMQIWUAHiX9</t>
  </si>
  <si>
    <t>B06489: Appearance of Prepared Medium (Color)</t>
  </si>
  <si>
    <t>sop # b06489 
config start date:04/17/24;05/23/24 
all config blocked start date:na 
all config blocked end date:na 
config end date:04/17/24;05/23/24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date:06/27/24 
ready to migrate date:07/31/2024</t>
  </si>
  <si>
    <t>VOQfoPwD80qvFT9Shx2dEGUAF_6o</t>
  </si>
  <si>
    <t>B06488: pH of Prepared Medium</t>
  </si>
  <si>
    <t>Alejandra Robles - Network;Nannette Umpierre;Rhoda Gill;Daniela Maroto - Network</t>
  </si>
  <si>
    <t>sop # b06488 
config start date:04/22/24 
all config blocked start date:na 
all config blocked end date:na 
config end date:06/04/24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date:06/24/24 
ready to migrate date: 7/29/2024</t>
  </si>
  <si>
    <t>erh1HuBuCk-MzVFiARXPGWUAJJCu</t>
  </si>
  <si>
    <t>B06445: Identification By IR Spectroscopy - USP</t>
  </si>
  <si>
    <t>sop # b06445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date:06/27/24 
ready to migrate date:07/31/2024</t>
  </si>
  <si>
    <t>Q93Ufe6i-U-P-EOorrJh4mUAITQT</t>
  </si>
  <si>
    <t>B06405: Identification By IR Spectroscopy - USP</t>
  </si>
  <si>
    <t>Rhoda Gill - Network;Alejandra Robles - Network;Raquel Bolanos - Network;Raquel Bolaños;Nannette Umpierre;Rhoda Gill</t>
  </si>
  <si>
    <t>sop # b06405 
config start date:05/27/24 
all config blocked start date:na 
all config blocked end date:na 
config end date:05/28/24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date:06/27/24 
all client rework required start date:na 
all client blocked start date:na 
all client blocked end date:na 
all client rework required end date:na 
-------------------------------------------------------------------------------------------- 
verification complete date:06/30/24 
ready to migrate date:07/31/2024</t>
  </si>
  <si>
    <t>BJLk3T0Ng0qxICTCFtq-WmUABnG2</t>
  </si>
  <si>
    <t>B06001: MET-ASP-HGH in Fermentation Broth and Granule Concentrates By Reversed Phase HPLC</t>
  </si>
  <si>
    <t>Alejandra Robles - Network;Glenda Fernandez - Network;Miguel A Lozada;Nannette Umpierre</t>
  </si>
  <si>
    <t>Test Method;In Process;am;Skeleton Build</t>
  </si>
  <si>
    <t>sop # b06001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06/20/2024 
all client verification end date: 06/21/2024 
all client rework required start date:07/09/2024 
all client blocked start date: na 
all client blocked end date: na 
all client rework required end date:07/10/2024 
-------------------------------------------------------------------------------------------- 
verification complete date: 
ready to migrate date:</t>
  </si>
  <si>
    <t>QuvcE1iBe0u-sY_2OHR_IGUAIqur</t>
  </si>
  <si>
    <t>B05872: HPLC Potency of PTH Fusion Protein in Fermentation Broth and Washed Granule Concentrates</t>
  </si>
  <si>
    <t>Shannon Blais - Network;Alejandra Robles - Network;Glenda Fernandez - Network;Miguel A Lozada;Nannette Umpierre</t>
  </si>
  <si>
    <t>sop # b05872 
config start date:05/28/24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date:06/20/24;07/10/24  
verification assigned to: miguel lozada 
all client verification start date: 06/20/2024 
all client verification end date: 06/21/2024 
all client rework required start date: 07/09/2024 
all client blocked start date: na 
all client blocked end date: na 
all client rework required end date:07/10/24  
-------------------------------------------------------------------------------------------- 
verification complete date: 07/10/2024 
ready to migrate date:07/31/2024</t>
  </si>
  <si>
    <t>Eu9u3vMHKUqnvoy6dYV-j2UADvbE</t>
  </si>
  <si>
    <t>B04988: Specific Gravity of Glycerin By JP</t>
  </si>
  <si>
    <t>Alejandra Robles - Network;Caroline Morice - Network;Nannette Umpierre</t>
  </si>
  <si>
    <t>sop # b04988 
config start date:05/31/24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</si>
  <si>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DAs_VRzea0SLUmZ_rpXox2UAJr8F</t>
  </si>
  <si>
    <t>B04827: Glycerin By USP Titration</t>
  </si>
  <si>
    <t>sop #b04827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t>
  </si>
  <si>
    <t>cJ-eQTpP5Uy5jxKwp7mt1GUABIhb</t>
  </si>
  <si>
    <t>B04781: Infrared Identification</t>
  </si>
  <si>
    <t>sop # b04781 
config start date:06/13/24 
all config blocked start date:na 
all config blocked end date:na 
config end date:06/17/24 
 -------------------------------------------------------------------------------------------- 
all peer review start date: 07/23/2024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</si>
  <si>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OARrlCkKIE6UZosCm38gEWUAFIF9</t>
  </si>
  <si>
    <t>000346: Determination of Concentration of Methionine-Arginine Lispro DES64K Human Proinsulin (MR-D64-KPB-HPI) and Related Substances Profile by Semi-Micro Configured High Performance Liquid Chromatography</t>
  </si>
  <si>
    <t>Test Method;Consumable;In Process;Empower ;Full Build</t>
  </si>
  <si>
    <t>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</si>
  <si>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iVKQU7r6K0-qQK0O2eP15GUAD1XM</t>
  </si>
  <si>
    <t>B04704: Determination of Anions in Cleaning Solutions and Ammonium Hydroxide By Iron Chromatography (IC)</t>
  </si>
  <si>
    <t>sop # b04704 
config start date:06/04/24 
all config blocked start date:na 
all config blocked end date:na 
config end date:06/04/24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miguel lozada 
all client verification start date:06/13/24 
all client verification end date:06/19/24 
all client rework required start date:na 
all client blocked start date:na 
all client blocked end date:na 
all client rework required end date:na 
-------------------------------------------------------------------------------------------- 
verification complete date:06/24/24 
ready to migrate date: 7/29/2024</t>
  </si>
  <si>
    <t>TSpxyxaVFU2-XfqYVzQS5mUAPUei</t>
  </si>
  <si>
    <t>B04529: Identification of Hydrogen Peroxide in Hydrogen Peroxide Solution 3% - USP/NF</t>
  </si>
  <si>
    <t>sop # b04529 
config start date:05/17/24 
all config blocked start date:na 
all config blocked end date:na 
config end date:05/23/24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date:06/06/24 
all demo blocked start date:na 
all demo blocked end date:na 
all demo rework required end date:06/06/24 
-------------------------------------------------------------------------------------------- 
all ready for client verification date:06/06/24;06/12/24 
verification assigned to: miguel lozada 
all client verification start date:06/06/24 
all client verification end date:06/11/24 
all client rework required start date:06/11/24 
all client blocked start date:na 
all client blocked end date:na 
all client rework required end date:06/12/24 
-------------------------------------------------------------------------------------------- 
verification complete date:06/13/24 
ready to migrate date:</t>
  </si>
  <si>
    <t>UFqt59PK5kOPatBGOwe822UAIBQo</t>
  </si>
  <si>
    <t>B04488: Identification By IR Spectroscopy - USP</t>
  </si>
  <si>
    <t>Rhoda Gill - Network;Nannette Umpierre;Ivette Lopez Blasini - Network</t>
  </si>
  <si>
    <t>sop # b04488 
config start date:05/20/24 
all config blocked start date:na 
all config blocked end date:na 
config end date:05/21/24 
 -------------------------------------------------------------------------------------------- 
all peer review start date:05/21/24 
all peer review end date:05/21/24 
all peer review rework required start date:na 
all pr rework blocked start date:na 
all pr rework blocked end date:na 
all peer review rework required end date:na 
-------------------------------------------------------------------------------------------- 
all ready for demo date:05/21/24;05/23/24;05/24/24 
all demo date:05/22/24;05/23/24;05/24/24 
all demo rework required start date:05/23/24;05/24/24 
all demo blocked start date:na 
all demo blocked end date:na 
all demo rework required end date:05/23/24;05/24/24 
-------------------------------------------------------------------------------------------- 
all ready for client verification date:06/06/24;06/11/24 
verification assigned to: 
all client verification start date:06/06/24;06/12/24 
all client verification end date:06/11/24;06/12/24 
all client rework required start date:06/11/24 
all client blocked start date:na 
all client blocked end date:na 
all client rework required end date:06/11/24 
-------------------------------------------------------------------------------------------- 
verification complete date:06/12/24 
ready to migrate date:</t>
  </si>
  <si>
    <t>SaHrn2XVjUSuNhK5xb8w3WUAJzuV</t>
  </si>
  <si>
    <t>B04470: Determination of Hydrogen Peroxide - USP/NF</t>
  </si>
  <si>
    <t>sop # b04470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t>
  </si>
  <si>
    <t>YQB9MRzcdk238_khyv1bzWUAArmY</t>
  </si>
  <si>
    <t>B04385: Identification of Sulfate in Magnesium Sulfate for Fermentation</t>
  </si>
  <si>
    <t>sop # b04385 
config start date:05/29/24 
all config blocked start date:na 
all config blocked end date:na 
config end date:05/29/24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miguel lozada 
all client verification start date:06/14/24 
all client verification end date:06/19/24 
all client rework required start date:na 
all client blocked start date:na 
all client blocked end date:na 
all client rework required end date:na 
-------------------------------------------------------------------------------------------- 
verification complete date:06/25/24 
ready to migrate date: 7/29/2024</t>
  </si>
  <si>
    <t>qs2jBhpCBkuesN34Q1roMGUAELJ3</t>
  </si>
  <si>
    <t>000342: MR-des64-KPB-HPI Determination of Potency in Fermentation Broth and Granule Concentrates by Reversed Phase HPLC</t>
  </si>
  <si>
    <t>sop # 000342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</si>
  <si>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b86-EYPlqUmoyOrL1JkRp2UAAwrz</t>
  </si>
  <si>
    <t>B03944: Sodium Identification - USP</t>
  </si>
  <si>
    <t>sop # b03944 
config start date:05/29/24 
all config blocked start date:na 
all config blocked end date:na 
config end date:05/29/24 
 -------------------------------------------------------------------------------------------- 
all peer review start date:06/17/24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date:06/24/24 
ready to migrate date:</t>
  </si>
  <si>
    <t>MQH7h41_KE-wiRDD65wY_WUAJpHe</t>
  </si>
  <si>
    <t>B03837: Readily Carbonizable Substances (Modified JP)</t>
  </si>
  <si>
    <t>Shannon Blais - Network;Daniel Bonilla - Network;Nannette Umpierre;Rhoda Gill;Noel Mendez - Network</t>
  </si>
  <si>
    <t>sop # b03837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date:06/18/24;07/01/24 
verification assigned to: noel mendez 
all client verification start date:06/18/24 
all client verification end date:06/19/24 
all client rework required start date:07/01/24 
all client blocked start date:na 
all client blocked end date:na 
all client rework required end date:07/01/24 
-------------------------------------------------------------------------------------------- 
verification complete date: 07/11/2024 
ready to migrate date:07/30/2024</t>
  </si>
  <si>
    <t>7USQ6dgsM0-lynSN8yeMsGUACINl</t>
  </si>
  <si>
    <t>B03836: Arsenic in Glycerin By Color Differentiation - JP</t>
  </si>
  <si>
    <t>sop # b03836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noel mendez 
all client verification start date:06/20/24 
all client verification end date:06/21/24 
all client rework required start date:na 
all client blocked start date:na 
all client blocked end date:na 
all client rework required end date:na 
-------------------------------------------------------------------------------------------- 
verification complete date:06/30/24 
ready to migrate date:07/31/2024</t>
  </si>
  <si>
    <t>Ufv2xnk7yk-ynsrcna7VJ2UAEMC-</t>
  </si>
  <si>
    <t>B03832: Ammonium By JP</t>
  </si>
  <si>
    <t>sop # b03832 
config start date:07/10/24 
all config blocked start date:na 
all config blocked end date:na 
config end date:07/11/24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</si>
  <si>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zpaPTagvSEKvPayNWSDIL2UABKZQ</t>
  </si>
  <si>
    <t>B03831: Calcium By JP</t>
  </si>
  <si>
    <t>sop # b03831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date:06/18/24 
all client rework required start date:na 
all client blocked start date:na 
all client blocked end date:na 
all client rework required end date:na 
-------------------------------------------------------------------------------------------- 
verification complete date:06/26/24 
ready to migrate date:</t>
  </si>
  <si>
    <t>Uv9wxBu9f0eEIS8QYHqNVGUAPTQf</t>
  </si>
  <si>
    <t>B03830: Acrolein, Glucose, and Other Reducing Substances By JP</t>
  </si>
  <si>
    <t>sop # b03830 
config start date:05/31/24 
all config blocked start date:05/31/24 
all config blocked end date:06/11/24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date:na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</si>
  <si>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X0RBSAT7nUilnRIgE9M9uGUABftB</t>
  </si>
  <si>
    <t>B03828: Fatty Acids and Esters By JP</t>
  </si>
  <si>
    <t>sop # b03828 
config start date:05/29/24 
all config blocked start date:na 
all config blocked end date:na 
config end date:05/31/24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date:06/17/24;06/26/24 
verification assigned to: noel mendez  
all client verification start date:06/17/24;06/26/24 
all client verification end date:06/19/24;06/26/24 
all client rework required start date:06/26/24 
all client blocked start date: na 
all client blocked end date: na 
all client rework required end date:06/26/24 
------------------------------------------------------------------------------------------- 
verification complete date:06/26/24 
ready to migrate date: 07/30/2024</t>
  </si>
  <si>
    <t>1Y0Djw1l4UeTqOQPBseKOWUAME4O</t>
  </si>
  <si>
    <t>B03784: Identification of Antifoam By USP IR Method</t>
  </si>
  <si>
    <t>Raquel Bolanos - Network;Raquel Bolaños</t>
  </si>
  <si>
    <t>sop # b03784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</si>
  <si>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qCEnxYf53ECwJG6Y406IgGUAKdt0</t>
  </si>
  <si>
    <t>B03622: High Molecular Weight Protein (HMWP) Content of Insulin Drug Substance and Drug Product by Size Exclusion HPLC</t>
  </si>
  <si>
    <t>sop # b03622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</si>
  <si>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fI1_UayySU2a3f5NL2bksmUADmaO</t>
  </si>
  <si>
    <t>000293: SPECIFIC ROTATION</t>
  </si>
  <si>
    <t>sop # 000293 
config start date:06/11/24 
all config blocked start date:na 
all config blocked end date:na 
config end date:06/20/24 
 -------------------------------------------------------------------------------------------- 
all peer review start date: 
all peer review end date: 
all peer review rework required start date: 
all pr rework blocked start date: 
all pr rework blocked end date: 
all peer review rework required end date: 
-------------------------------------------------------------------------------------------- 
all ready for demo date:06/20/24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</si>
  <si>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2OKGtgkCXEuJX2VA4cugpGUAH3Ft</t>
  </si>
  <si>
    <t>000292:  L-Cystine Dihydrochloride Titration</t>
  </si>
  <si>
    <t>sop # 000292 
config start date:05/27/24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date:06/19/24;06/27/24 
verification assigned to: noel mendez  
all client verification start date:06/19/24;06/27/24 
all client verification end date:06/20/24;06/27/24 
all client rework required start date:06/27/24 
all client blocked start date: na 
all client blocked end date: na 
all client rework required end date:06/27/24 
------------------------------------------------------------------------------------------- 
verification complete date:06/27/24 
ready to migrate date: 07/30/2024 
**important: check global test method**</t>
  </si>
  <si>
    <t>nfOx0n3Tc0etHjnTbYCRnWUAH4N7</t>
  </si>
  <si>
    <t>B03096: Determination of Iron in MET-ARG Lispro Proinsulin S-Sulfonate Granules By Atomic Absorption (AA)</t>
  </si>
  <si>
    <t>sop # b03096 
config start date:05/25/24 
all config blocked start date:06/03/24 
all config blocked end date:06/05/24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</si>
  <si>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cpAmxwemkkS1UjDJqQHnBWUANu4w</t>
  </si>
  <si>
    <t>B03002 - Total Solids</t>
  </si>
  <si>
    <t>Fabian Soma - Network;Raquel Bolanos - Network;Nannette Umpierre;Rhoda Gill</t>
  </si>
  <si>
    <t>sop # b03002 
config start date:05/08/24 
all config blocked start date:na 
all config blocked end date:na 
config end date:05/22/24 
 -------------------------------------------------------------------------------------------- 
all peer review start date:05/28/24 
all peer review end date:05/28/24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date:06/07/24  
verification assigned to: nannette umpierre 
all client verification start date:06/07/24 
all client verification end date:06/12/24 
all client rework required start date:na 
all client blocked start date:na 
all client blocked end date:na 
all client rework required end date:na 
-------------------------------------------------------------------------------------------- 
verification complete date:06/12/24 
ready to migrate date:07/31/2024</t>
  </si>
  <si>
    <t>KJZ24BODz0m-zDb1hiKE12UAHN1x</t>
  </si>
  <si>
    <t>B03001: Identification By TLC-USP</t>
  </si>
  <si>
    <t>sop # b03001 
config start date:05/29/24 
all config blocked start date:na 
all config blocked end date:na 
config end date:05/30/24 
 -------------------------------------------------------------------------------------------- 
all peer review start date:06/17/24 
all peer review end date:06/17/24 
all peer review rework required start date: 
all pr rework blocked start date: 
all pr rework blocked end date: 
all peer review rework required end date: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 06/17/24 
all client rework required start date:na 
all client blocked start date:na 
all client blocked end date:na 
all client rework required end date:na 
-------------------------------------------------------------------------------------------- 
verification complete date:06/25/24 
ready to migrate date: 7/29/2024</t>
  </si>
  <si>
    <t>QJTlbESo6EaGGHgCrXxsYGUABC7E</t>
  </si>
  <si>
    <t>000291:  Identification of Ammonium</t>
  </si>
  <si>
    <t>sop # 000291 
config start date:04/23/24;05/30/24 
all config blocked start date: 
all config blocked end date: 
config end date:04/29/24;06/18/24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</si>
  <si>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OVcJLp1nG0efpx2jJk6SmmUAIpd0</t>
  </si>
  <si>
    <t>B02300: Sodium Identification Test - USP</t>
  </si>
  <si>
    <t>sop #b02300 
config start date:05/28/24 
all config blocked start date: na 
all config blocked end date: na 
config end date:05/28/24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noel mendez 
all client verification start date:06/14/24 
all client verification end date:06/17/24 
all client rework required start date:na 
all client blocked start date:na 
all client blocked end date:na 
all client rework required end date:na 
-------------------------------------------------------------------------------------------- 
verification complete date:06/24/24 
ready to migrate date: 7/29/2024</t>
  </si>
  <si>
    <t>aesaXqL98k22TJjwE1v-4GUAC1h5</t>
  </si>
  <si>
    <t>B02117: Reporting Results By Examination of Manufacturer(s) or External Laboratory Documentation</t>
  </si>
  <si>
    <t>Rhoda Gill - Network;Alejandra Robles - Network;Glenda Fernandez - Network;Miguel A Lozada;Nannette Umpierre</t>
  </si>
  <si>
    <t>sop # b02117 
config start date:05/29/24 
all config blocked start date:na 
all config blocked end date:na 
config end date:06/20/24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06/20/2024 
all client verification end date: 07/18/2024 
all client rework required start date: 07/30/2024 
all client blocked start date: 
all client blocked end date: 
all client rework required end date: 
-------------------------------------------------------------------------------------------- 
verification complete date: 
ready to migrate date:</t>
  </si>
  <si>
    <t>qcZb7XE8u0aaNzgRep783WUADn6Q</t>
  </si>
  <si>
    <t>B01943: Nitrates - PhEur</t>
  </si>
  <si>
    <t>Joshua Vargas - Network;Rhoda Gill</t>
  </si>
  <si>
    <t>sop # b01943 
config start date:05/31/24 
all config blocked start date:na 
all config blocked end date:na 
config end date:06/13/24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</si>
  <si>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fVgVdeQR0kqlA5NQJyuf02UABN8e</t>
  </si>
  <si>
    <t>B01819: Nonvolatile Residue in Phenol By USP/JP/PhEur</t>
  </si>
  <si>
    <t>sop # b01819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date:05/23/24 
all demo date:06/06/24 
all demo rework required start date:na 
all demo blocked start date:na 
all demo blocked end date:na 
all demo rework required end date:na 
-------------------------------------------------------------------------------------------- 
all ready for client verification date:06/06/24;06/14/24 
verification assigned to: nannette umpierre 
all client verification start date:06/06/24;06/14/24 
all client verification end date:06/06/24;06/14/24 
all client rework required start date:06/07/24 
all client blocked start date:06/07/24 
all client blocked end date:06/11/24 
all client rework required end date:06/12/24 
-------------------------------------------------------------------------------------------- 
verification complete date:06/14/24 
ready to migrate date: 7/30/2024</t>
  </si>
  <si>
    <t>afmNSnZvZU-TZbVW3dXcJGUAELDp</t>
  </si>
  <si>
    <t>B01674: Total Alkalinity as Potassium Hydroxide and Potassium Carbonate By Titration with Sulfuric Acid - USP</t>
  </si>
  <si>
    <t>sop # b01674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t>
  </si>
  <si>
    <t>eSNCP-gh5U2PWQlo0PQqXWUADbne</t>
  </si>
  <si>
    <t>B01673: Potassium Identification By USP Flame Test</t>
  </si>
  <si>
    <t>sop # b01673 
config start date:05/29/24 
all config blocked start date:na 
all config blocked end date: 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date:06/18/24;06/27/24 
verification assigned to:  noel mendez 
all client verification start date: 06/18/24;06/27/24 
all client verification end date:06/19/24;06/27/24 
all client rework required start date:06/24/24 
all client blocked start date:na 
all client blocked end date: na 
all client rework required end date:06/24/24   
------------------------------------------------------------------------------------------- 
verification complete date:06/27/24 
ready to migrate date:07/30/2024</t>
  </si>
  <si>
    <t>B3_9CAr6N0yFWER9VmrbpWUACJv7</t>
  </si>
  <si>
    <t>B01086: Siloxane Leachate in LC Packing By GC</t>
  </si>
  <si>
    <t>Rhoda Gill - Network;Shannon Blais - Network;Fabian Soma - Network;Daniel Bonilla - Network;Nannette Umpierre;Daniela Maroto - Network</t>
  </si>
  <si>
    <t>sop # b01086 
config start date:05/29/24 
all config blocked start date:na 
all config blocked end date:na 
config end date:05/29/24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07/10/2024 
verification assigned to: noel mendez 
all client verification start date:06/20/24 
all client verification end date:06/21/24 
all client rework required start date: 07/10/2024 
all client blocked start date:na 
all client blocked end date:na 
all client rework required end date: 07/10/2024 
-------------------------------------------------------------------------------------------- 
verification complete date: 07/10/2024 
ready to migrate date:07/30/2024</t>
  </si>
  <si>
    <t>JFF7bSpfm0iEoM0Zxgh4gmUAOD3M</t>
  </si>
  <si>
    <t>B00975: Potassium Phosphate By ACS Method</t>
  </si>
  <si>
    <t>sop # b00975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date:na 
all client blocked start date:na 
all client blocked end date:na 
all client rework required end date:na 
-------------------------------------------------------------------------------------------- 
verification complete date:06/26/24 
ready to migrate date:07/30/2024</t>
  </si>
  <si>
    <t>lSCgzAtln0yP8tIy_4U-w2UALk7W</t>
  </si>
  <si>
    <t>B00953: Determination of Sulfated ASH By BP</t>
  </si>
  <si>
    <t>sop # b00953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</si>
  <si>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Kku_hBUoc0efKg4Qk0FHJ2UAN6MW</t>
  </si>
  <si>
    <t>B00790: Reducing Sugars By PhEur</t>
  </si>
  <si>
    <t>Glenda Fernandez - Network;Rhoda Gill;Daniela Maroto - Network</t>
  </si>
  <si>
    <t>sop # b00790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date:06/19/24;07/02/24  
verification assigned to: noel mendez 
all client verification start date:06/19/24 
all client verification end date:06/21/24 
all client rework required start date:07/02/24 
all client blocked start date:na 
all client blocked end date:na 
all client rework required end date:07/02/24 
-------------------------------------------------------------------------------------------- 
verification complete date: 07/10/2024 
ready to migrate date:07/30/2024</t>
  </si>
  <si>
    <t>Q0cKUONWjkqkK7lSdlVSl2UAKuap</t>
  </si>
  <si>
    <t>B00788: Refractive Index By PhEur/JP</t>
  </si>
  <si>
    <t>sop # b00788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date:06/18/24 
ready to migrate date:07/31/2024</t>
  </si>
  <si>
    <t>QID1C0DLhEmGYlzGikZJkmUAG_w-</t>
  </si>
  <si>
    <t>B00786: Appearance of Solution (Color) By PhEur</t>
  </si>
  <si>
    <t>sop # b00786 
config start date:05/29/24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t>
  </si>
  <si>
    <t>NyukroiudUWKJ5TIjZb3MGUAAHqf</t>
  </si>
  <si>
    <t>B00785: Appearance of Solution (Clarity) By PhEur</t>
  </si>
  <si>
    <t>sop # b00785 
config start date:05/30/24 
all config blocked start date:na 
all config blocked end date:na 
config end date:06/13/24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all client verification start date:06/14/24 
all client verification end date:06/14/24 
all client rework required start date:06/14/24 
all client blocked start date:na 
all client blocked end date:na 
all client rework required end date:06/14/24 
-------------------------------------------------------------------------------------------- 
verification complete date:06/14/24 
ready to migrate date:</t>
  </si>
  <si>
    <t>J1W1maXYgkWhRVTEphJMT2UAFyHZ</t>
  </si>
  <si>
    <t>B00782: HPLC Fingerprint Analysis of Enzymatic Digestion Fragments of Lispro</t>
  </si>
  <si>
    <t>sop # b00782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</si>
  <si>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cTSPAaEfnESan80E9CiezWUAM0JX</t>
  </si>
  <si>
    <t>B00781: Determination of the Purity and Identity of Lispro Drug Substance and Drug Product</t>
  </si>
  <si>
    <t>sop # b00781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</si>
  <si>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kk9gobWz00KwivPDREakIGUAHwra</t>
  </si>
  <si>
    <t>B00780: Acidity or Alkalinity By PhEur</t>
  </si>
  <si>
    <t>sop # b00780 
config start date:05/30/24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date:06/30/24 
ready to migrate date:07/31/2024</t>
  </si>
  <si>
    <t>Ywi35oUTXk6yMOl4REHFC2UAIx2S</t>
  </si>
  <si>
    <t>B00687: pH of 1:10,000 Sodium Hydroxide Solution (PhEur Sodium Hydroxide Identification A)</t>
  </si>
  <si>
    <t>sop # b00687 
config start date:05/31/24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date:06/21/24 
all client rework required start date:na 
all client blocked start date:na 
all client blocked end date:na 
all client rework required end date:na 
-------------------------------------------------------------------------------------------- 
verification complete date:06/27/24 
ready to migrate date:07/31/2024</t>
  </si>
  <si>
    <t>N1FR0g5g7EOsPjJ3olgVAGUABQrb</t>
  </si>
  <si>
    <t>B00686: Clarity of Solution By PhEur Method</t>
  </si>
  <si>
    <t>sop # b00686 
config start date:05/30/24 
all config blocked start date:na 
all config blocked end date:na 
config end date:05/30/24 
 -------------------------------------------------------------------------------------------- 
all peer review start date:06/06/24 
all peer review end date:06/11/24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date:06/13/24;06/17/24 
verification assigned to: yvette lopez 
all client verification start date:06/13/24;06/27/24 
all client verification end date:06/14/24;06/27/24 
all client rework required start date:06/14/24 
all client blocked start date:na 
all client blocked end date:na 
all client rework required end date:06/17/24 
-------------------------------------------------------------------------------------------- 
verification complete date:06/27/24 
ready to migrate date: 7/30/2024</t>
  </si>
  <si>
    <t>zKJM7LlwAkenNTwe700acWUANvo_</t>
  </si>
  <si>
    <t>B00685: Color of Solution By PhEur Method II</t>
  </si>
  <si>
    <t>sop # b00685 
config start date:05/29/24 
all config blocked start date:na 
all config blocked end date:na  
config end date:05/31/24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date:06/19/2024;07/01/24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 07/10/2024 
ready to migrate date:07/30/2024</t>
  </si>
  <si>
    <t>Z-FbJIsVLk2yF9gnKex2WWUAGyJF</t>
  </si>
  <si>
    <t>B00261: Loss On Drying For Lispro Human Insulin Bulk Drug Substance</t>
  </si>
  <si>
    <t>Fabian Soma - Network;Nannette Umpierre;Rhoda Gill;Noel Mendez - Network</t>
  </si>
  <si>
    <t>Test Method;Consumable;Finished Product;Full Build</t>
  </si>
  <si>
    <t>sop # b00261 
config start date:04/08/24 
all config blocked start date:na 
all config blocked end date:na 
config end date:04/11/24 
 -------------------------------------------------------------------------------------------- 
all peer review start date:na 
all peer review end date:na 
all peer review rework required start date:na 
all pr rework blocked start date:na 
all pr rework blocked end date:na 
all peer review rework required end date:na 
-------------------------------------------------------------------------------------------- 
all ready for demo date:05/13/24;05/15/24 
all demo date:05/13/24;05/15/24 
all demo rework required start date:05/13/24;05/15/24 
all demo blocked start date:na 
all demo blocked end date:na 
all demo rework required end date:05/15/24;05/23/24 
-------------------------------------------------------------------------------------------- 
all ready for client verification date:06/06/24;06/11/24 
verification assigned to: noel mendez 
all client verification start date:06/06/24 
all client verification end date:06/11/24 
all client rework required start date:06/11/24 
all client blocked start date: 
all client blocked end date: 
all client rework required end date:06/11/24 
-------------------------------------------------------------------------------------------- 
verification complete date: 
ready to migrate date:</t>
  </si>
  <si>
    <t>8ZskBDLxyk6ko4AGC-9eA2UADNor</t>
  </si>
  <si>
    <t>A11268: Substances Reducing Permanganate in Ammonium Hydroxide By ACS Method (Subs: Oxidizable)</t>
  </si>
  <si>
    <t>Kimberly Mata - Network;Nannette Umpierre</t>
  </si>
  <si>
    <t>sop # a11268 
config start date:06/11/24 
all config blocked start date:na 
all config blocked end date:na 
config end date:06/11/24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nannette umpierre 
all client verification start date:06/13/24 
all client verification end date:06/13/24 
all client rework required start date:na 
all client blocked start date:na 
all client blocked end date:na 
all client rework required end date:na 
-------------------------------------------------------------------------------------------- 
verification complete date:06/13/24 
ready to migrate date:07/31/2024</t>
  </si>
  <si>
    <t>ZTqCCwTYqkC_orQJ6ozOvmUALAW3</t>
  </si>
  <si>
    <t>A11265: Carbon Dioxide in Ammonium Hydroxide By ACS Method</t>
  </si>
  <si>
    <t>sop # a11265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 07/30/2024 
all client blocked start date: 
all client blocked end date: 
all client rework required end date: 07/30/2024 
-------------------------------------------------------------------------------------------- 
verification complete date:07/09/2024 
ready to migrate date:</t>
  </si>
  <si>
    <t>x2Fl9ZG4U0aZ8uu6KWRDtWUANeKU</t>
  </si>
  <si>
    <t>A11264: Appearance of Clear and Colorless Liquid By ACS Method (Solution Characteristics)</t>
  </si>
  <si>
    <t>sop # a11264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</si>
  <si>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BflKN-67aUeUdSp10cUXDWUAJAeh</t>
  </si>
  <si>
    <t>A11092: Chloride By USP</t>
  </si>
  <si>
    <t>sop # a11092 
config start date:05/29/24 
all config blocked start date:na 
all config blocked end date:na 
config end date:05/29/24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date:06/20/24 
all client rework required start date:na 
all client blocked start date:na 
all client blocked end date:na 
all client rework required end date:na 
-------------------------------------------------------------------------------------------- 
verification complete date:06/17/24 
ready to migrate date:</t>
  </si>
  <si>
    <t>eQJHI9kXpUq0852-E3FlpmUAAXVH</t>
  </si>
  <si>
    <t>A11088: Glycerin Identification By IR-USP/PhEur</t>
  </si>
  <si>
    <t>sop # a11088 
config start date:05/29/24 
all config blocked start date:na 
all config blocked end date:na 
config end date:06/18/24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</si>
  <si>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QPbGioXNv0aYgsIyR-Zf72UAIhhC</t>
  </si>
  <si>
    <t>A10828: Phosphate Identification By USP</t>
  </si>
  <si>
    <t>sop # a10828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</si>
  <si>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wxy7pgPQfEyy8N4rCmiKKWUAGEXC</t>
  </si>
  <si>
    <t>A10827: Potassium Identification By USP</t>
  </si>
  <si>
    <t>sop # a10827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</si>
  <si>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1YRTe1wFIUGpLF4nxvJ85mUAIi7W</t>
  </si>
  <si>
    <t>A10617: Identification of Sulfate-USP</t>
  </si>
  <si>
    <t>sop # a10617 
config start date:05/29/24 
all config blocked start date:na 
all config blocked end date:na 
config end date:05/29/24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</si>
  <si>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lbCMwzRnJk6bM47NCg44fmUAPvb4</t>
  </si>
  <si>
    <t>A10615: Identification of Manganese-USP</t>
  </si>
  <si>
    <t>sop # a10615 
config start date:06/03/24 
all config blocked start date:06/12/24 
all config blocked end date:06/14/24 
config end date:06/14/24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</si>
  <si>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ixJv9iT-zkG6kmH-Y03b_2UAGAsz</t>
  </si>
  <si>
    <t>A10604: Assay (Manganese Sulfate) - USP</t>
  </si>
  <si>
    <t>sop # a10604 
config start date:05/29/24 
all config blocked start date:na 
all config blocked end date:na 
config end date:05/30/24 
 -------------------------------------------------------------------------------------------- 
all peer review start date:06/03/24 
all peer review end date:06/03/24 
all peer review rework required start date:na 
all pr rework blocked start date:na 
all pr rework blocked end date:na 
all peer review rework required end date:na 
-------------------------------------------------------------------------------------------- 
all ready for demo date:06/03/24 
all demo date:06/03/24 
all demo rework required start date:06/12/24 
all demo blocked start date:na 
all demo blocked end date:na 
all demo rework required end date:06/12/24 
-------------------------------------------------------------------------------------------- 
all ready for client verification date:06/12/24 
verification assigned to: nannette umpierre 
all client verification start date:06/12/24 
all client verification end date:06/12/24 
all client rework required start date:06/14/24 
all client blocked start date:na 
all client blocked end date:na 
all client rework required end date:06/14/24 
-------------------------------------------------------------------------------------------- 
verification complete date:06/14/24 
ready to migrate date:7/30/2024</t>
  </si>
  <si>
    <t>Ad4N5fsJ5k2NOQIUz2OkW2UADeO5</t>
  </si>
  <si>
    <t>A10296: ID Sulfate</t>
  </si>
  <si>
    <t>sop # a10296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</si>
  <si>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tOpKhguf9Ue8IEeKcUKk6mUAEPGx</t>
  </si>
  <si>
    <t>A10295: ID Cupric</t>
  </si>
  <si>
    <t>sop # a10295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date:06/19/24 
all client rework required start date:na 
all client blocked start date:na 
all client blocked end date:na 
all client rework required end date:na 
-------------------------------------------------------------------------------------------- 
verification complete date: 06/17/24 
ready to migrate date:</t>
  </si>
  <si>
    <t>_Ph9-b0v806UbFWZZsWEWmUAF5Cp</t>
  </si>
  <si>
    <t>A10015: Tris By Titration With Hydrochloric Acid</t>
  </si>
  <si>
    <t>Glenda Fernandez - Network;Daniel Bonilla - Network;Rhoda Gill</t>
  </si>
  <si>
    <t>sop # a10015 
config start date: 05/29/24 
all config blocked start date: na 
all config blocked end date: na  
config end date: 05/30/24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date:06/19/24;07/01/24  
verification assigned to: noel mendez  
all client verification start date:06/19/24 
all client verification end date:06/21/24 
all client rework required start date:07/01/24 
all client blocked start date:na 
all client blocked end date:na  
all client rework required end date:07/01/24  
------------------------------------------------------------------------------------------- 
verification complete date:07/01/24 
ready to migrate date:07/30/2024</t>
  </si>
  <si>
    <t>ZRfeZb2yQkW0KLOc4TJ6C2UAPZ67</t>
  </si>
  <si>
    <t>A10013: Iron</t>
  </si>
  <si>
    <t>Ethan Cordero - Network;Nannette Umpierre</t>
  </si>
  <si>
    <t>sop # a10013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date:06/20/24;07/03/24 
verification assigned to: 
all client verification start date:07/01/24 
all client verification end date:07/01/24 
all client rework required start date:07/03/24 
all client blocked start date:na 
all client blocked end date:na 
all client rework required end date:07/03/24 
-------------------------------------------------------------------------------------------- 
verification complete date: 07/10/2024 
ready to migrate date:07/31/2024</t>
  </si>
  <si>
    <t>x5qcSk7j10GOqzsnjtSHlWUAI113</t>
  </si>
  <si>
    <t>A10011: Insoluble Matter By ACS</t>
  </si>
  <si>
    <t>sop # a10011 
config start date:05/08/24 
all config blocked start date:na 
all config blocked end date:na 
config end date:05/23/24 
 -------------------------------------------------------------------------------------------- 
all peer review start date:05/28/24 
all peer review end date:05/28/24 
all peer review rework required start date:na 
all pr rework blocked start date:na 
all pr rework blocked end date:na 
all peer review rework required end date:na 
-------------------------------------------------------------------------------------------- 
all ready for demo date:05/28/24 
all demo date:05/29/24 
all demo rework required start date:na 
all demo blocked start date:na 
all demo blocked end date:na 
all demo rework required end date:na 
-------------------------------------------------------------------------------------------- 
all ready for client verification date:06/06/24;06/07/24 
verification assigned to: nannette umpierre 
all client verification start date:06/06/24;06/11/24 
all client verification end date:06/06/24;06/11/24 
all client rework required start date:06/06/24 
all client blocked start date:na 
all client blocked end date:na 
all client rework required end date:06/07/24 
-------------------------------------------------------------------------------------------- 
verification complete date:06/11/24 
ready to migrate date:07/31/2024</t>
  </si>
  <si>
    <t>0qDHSUjSmEuM6-ULkmTDKGUAD6pM</t>
  </si>
  <si>
    <t>A09431-Volatiles (Loss In Drying) By USP Method</t>
  </si>
  <si>
    <t>Fabian Soma - Network;Raquel Bolaños;Nannette Umpierre;Rhoda Gill;Noel Mendez - Network</t>
  </si>
  <si>
    <t>sop # a09431 
config start date:04/16/24 
all config blocked start date: 
all config blocked end date: 
config end date:05/17/24 
 -------------------------------------------------------------------------------------------- 
all peer review start date:05/29/24 
all peer review end date:05/29/24 
all peer review rework required start date:na 
all pr rework blocked start date:na 
all pr rework blocked end date:na 
all peer review rework required end date:na 
-------------------------------------------------------------------------------------------- 
all ready for demo date:05/29/24 
all demo date:05/30/24 
all demo rework required start date:05/30/24 
all demo blocked start date:na 
all demo blocked end date:na 
all demo rework required end date:05/30/24 
-------------------------------------------------------------------------------------------- 
all ready for client verification date:06/06/24;06/11/24 
verification assigned to: noel mendez 
all client verification start date:06/06/24;06/13/24 
all client verification end date:06/11/24;06/13/24 
all client rework required start date:06/11/24;06/17/24 
all client blocked start date:na 
all client blocked end date:na 
all client rework required end date:06/11/24;06/17/24 
-------------------------------------------------------------------------------------------- 
verification complete date: 
ready to migrate date:</t>
  </si>
  <si>
    <t>iHmzE_ECvkGeoMP3CVbgRGUAE5zr</t>
  </si>
  <si>
    <t>000259: Heavy Metals (Method I) ACS</t>
  </si>
  <si>
    <t>Shannon Blais - Network;Alejandra Robles - Network;Ethan Cordero - Network;Nannette Umpierre</t>
  </si>
  <si>
    <t>sop # 000259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date:06/20/24;07/02/24 
verification assigned to: miguel lozada 
all client verification start date:06/20/24 
all client verification end date:06/21/24 
all client rework required start date:07/02/24 
all client blocked start date:na 
all client blocked end date:na 
all client rework required end date:07/02/24 
-------------------------------------------------------------------------------------------- 
verification complete date:07/10/2024 
ready to migrate date:07/31/2024 
important: check global test method</t>
  </si>
  <si>
    <t>8dQkXDpre0CbIfri2Lx-MmUAKPCt</t>
  </si>
  <si>
    <t>000258: Heavy Metals (Method I) ACS</t>
  </si>
  <si>
    <t>sop # 000258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nannette umpierre 
all client verification start date: 07/10/2024 
all client verification end date: 07/10/2024 
all client rework required start date:na 
all client blocked start date:na 
all client blocked end date:na 
all client rework required end date:na 
-------------------------------------------------------------------------------------------- 
verification complete date: 07/10/2024 
ready to migrate date: 07/31/2024 
important: check global test method</t>
  </si>
  <si>
    <t>slPULOJ5oUe5TNN_a5mXPWUADNR1</t>
  </si>
  <si>
    <t>000255:  Identification pH Determination USP-NF</t>
  </si>
  <si>
    <t>Carlos Rocha - Network;Glenda Fernandez - Network;Nannette Umpierre;Rhoda Gill</t>
  </si>
  <si>
    <t>sop # pr5-000255 
config start date:06/03/24 
all config blocked start date:  
all config blocked end date: 
config end date:7/8/24 
 -------------------------------------------------------------------------------------------- 
all peer review start date: 7/15/2024 
all peer review end date: 7/15/2024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07/15/2024 
verification assigned to: nannette umpierre 
all client verification start date: 07/15/2024 
all client verification end date: 07/15/2024 
all client rework required start date: 07/15/2024 
all client blocked start date: 
all client blocked end date: 
all client rework required end date: 7/18/2024 
-------------------------------------------------------------------------------------------- 
verification complete date: 07/18/2024 
ready to migrate date: 
important: check global test method</t>
  </si>
  <si>
    <t>WOLKqWic80uhhmLM-9wtZ2UAP2Hn</t>
  </si>
  <si>
    <t>000253: Heavy Metals by ACS</t>
  </si>
  <si>
    <t>Shannon Blais - Network;Alejandra Robles - Network;Miguel A Lozada;Ethan Cordero - Network;Nannette Umpierre</t>
  </si>
  <si>
    <t>sop # 000253 
config start date:05/30/24 
all config blocked start date:na 
all config blocked end date:na 
config end date:05/30/24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 06/19/2024 
all client verification end date: 06/21/2024 
all client rework required start date: 07/26/2024 
all client blocked start date: 
all client blocked end date: 
all client rework required end date: 07/26/2024 
-------------------------------------------------------------------------------------------- 
verification complete date: 07/29/2024 
ready to migrate date: 
important: check global test method</t>
  </si>
  <si>
    <t>35hvi1uWX0Go_aT-5lwRKWUAIYGV</t>
  </si>
  <si>
    <t>000252:Raw Material Verification by Raman Spectroscopy</t>
  </si>
  <si>
    <t>Rhoda Gill - Network;Carlos Rocha - Network</t>
  </si>
  <si>
    <t>sop# 000252 
config start date:06/10/24 
all config blocked start date: na 
all config blocked end date: na 
config end date:06/25/24 
 -------------------------------------------------------------------------------------------- 
all peer review start date: 07/23/2024 
all peer review end date: 
all peer review rework required start date:07/23/2024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 check global</t>
  </si>
  <si>
    <t>qu7i8YcWdEKC4w1ICS4krWUAHz-S</t>
  </si>
  <si>
    <t>000251: WATER DETERMINATION</t>
  </si>
  <si>
    <t>sop #000251 
config start date:05/27/24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date:06/20/24 
all client rework required start date:na 
all client blocked start date:na 
all client blocked end date:na 
all client rework required end date:na 
-------------------------------------------------------------------------------------------- 
verification complete date:06/26/24 
ready to migrate date:07/30/2024 
important: check global test method</t>
  </si>
  <si>
    <t>ECptk3rn1UuhH0Xr7qhn1WUAPPku</t>
  </si>
  <si>
    <t>000250: Dextrose Identification B- USP/NF</t>
  </si>
  <si>
    <t>sop # 000250 
config start date:05/30/24 
all config blocked start date:na 
all config blocked end date:na 
config end date:05/30/24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 
important: check global test method</t>
  </si>
  <si>
    <t>XCiqZc9xP0ioWrw_M48-EWUAGcOC</t>
  </si>
  <si>
    <t>000249: Dextrose Identification A- USP/NF</t>
  </si>
  <si>
    <t>sop # 000249 
config start date:05/27/24 
all config blocked start date:na 
all config blocked end date:na 
config end date:05/28/24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 
important: check global test method</t>
  </si>
  <si>
    <t>64OS9WLpNkG3aA2NuBIlomUADPaz</t>
  </si>
  <si>
    <t>000248: Urea Chemical Grade Identification A-USP-NF</t>
  </si>
  <si>
    <t>sop # 000248 
config start date:06/04/24 
all config blocked start date:na 
all config blocked end date:na 
config end date:06/12/24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</si>
  <si>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P1t8Hw6xfE2CeOPgbIORkWUAPv6X</t>
  </si>
  <si>
    <t>000247: Urea Chemical Grade/ Urea Industrial Grade Identification B- USP/NF</t>
  </si>
  <si>
    <t>sop # 000247 
config start date:06/03/24 
all config blocked start date:na 
all config blocked end date:na 
config end date:06/03/24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</si>
  <si>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xD51f1TPn0SHvswGwoMrIGUAPrxD</t>
  </si>
  <si>
    <t>000236: Identification of Zinc Sulfate Heptahydrate by Infrared Spectroscopy Mineral Oil Technique</t>
  </si>
  <si>
    <t>Rhoda Gill - Network;Kimberly Mata - Network;Nannette Umpierre</t>
  </si>
  <si>
    <t>sop # 000236 
config start date:05/21/24 
all config blocked start date:na 
all config blocked end date:na 
config end date:05/28/24 
 -------------------------------------------------------------------------------------------- 
all peer review start date:05/29/24 
all peer review end date:05/29/24 
all peer review rework required start date:na 
all pr rework blocked start date:na 
all pr rework blocked end date:na 
all peer review rework required end date:na 
-------------------------------------------------------------------------------------------- 
all ready for demo date:05/29/24 
all demo date:05/31/2024 
all demo rework required start date:06/06/24 
all demo blocked start date:na 
all demo blocked end date:na 
all demo rework required end date:06/06/24 
-------------------------------------------------------------------------------------------- 
all ready for client verification date:06/06/24;06/18/24 
verification assigned to: noel mendez 
all client verification start date:06/06/24 
all client verification end date:06/11/24 
all client rework required start date:06/14/24 
all client blocked start date:na 
all client blocked end date:na 
all client rework required end date:06/18/24 
-------------------------------------------------------------------------------------------- 
verification complete date:06/24/24 
ready to migrate date:07/30/2024</t>
  </si>
  <si>
    <t>I7OCxxwMxUqvcfq6UxrjMmUADMdP</t>
  </si>
  <si>
    <t>000233:  Identification Sodium Hypochlorite Solution – USP/NF</t>
  </si>
  <si>
    <t>sop # 000233 
config start date:06/10/24 
all config blocked start date:na 
all config blocked end date:na 
config end date:06/10/24 
 -------------------------------------------------------------------------------------------- 
all peer review start date:06/14/24 
all peer review end date:06/14/24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date:06/14/24  
verification assigned to: nannette umpierre 
all client verification start date:06/14/24 
all client verification end date:06/14/24 
all client rework required start date:na 
all client blocked start date:na 
all client blocked end date:na 
all client rework required end date:na 
-------------------------------------------------------------------------------------------- 
verification complete date:06/14/24 
ready to migrate date: 7/30/2024 
important: check global test method</t>
  </si>
  <si>
    <t>xsMmTyrZF0-JqbAQYez2YWUAKBqn</t>
  </si>
  <si>
    <t>000224: ID of Solids by Infrared Spectroscopy Halide Pellet Technique- USPNF</t>
  </si>
  <si>
    <t>Carlos Rocha - Network;Alejandra Robles - Network;Nannette Umpierre;Rhoda Gill</t>
  </si>
  <si>
    <t>sop # 000224 
config start date:05/29/24 
all config blocked start date:na 
all config blocked end date:na 
config end date:06/04/24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 7/29/2024 
important: check global test method</t>
  </si>
  <si>
    <t>9sIDNSn9KkCFXvlb4GPeCWUAB1cJ</t>
  </si>
  <si>
    <t>A08879: Potassium Sulfate by Reaction with Barium Chloride</t>
  </si>
  <si>
    <t>sop # a08879 
config start date:05/20/24 
all config blocked start date:na 
all config blocked end date:na 
config end date:05/22/24 
 -------------------------------------------------------------------------------------------- 
all peer review start date:06/20/24 
all peer review end date:06/20/24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date:06/20/24  
verification assigned to: miguel lozada 
all client verification start date:06/20/24 
all client verification end date:06/21/24 
all client rework required start date:na 
all client blocked start date:na 
all client blocked end date:na 
all client rework required end date:na 
-------------------------------------------------------------------------------------------- 
verification complete date:07/01/24 
ready to migrate date:07/31/2024</t>
  </si>
  <si>
    <t>u2GzU8eHdkOv-H4USWvXGWUAI1Yj</t>
  </si>
  <si>
    <t>A08877: Sulfate Identity (USP B)</t>
  </si>
  <si>
    <t>sop #a08877 
config start date:05/31/24 
all config blocked start date:na 
all config blocked end date:na 
config end date:05/31/24 
 -------------------------------------------------------------------------------------------- 
all peer review start date:06/18/24 
all peer review end date:06/18/24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date:06/18/24  
verification assigned to: noel mendez 
all client verification start date:06/18/24 
all client verification end date:06/19/24 
all client rework required start date:na 
all client blocked start date:na 
all client blocked end date:na 
all client rework required end date:na 
-------------------------------------------------------------------------------------------- 
verification complete date:06/26/24 
ready to migrate date:</t>
  </si>
  <si>
    <t>AjZOEr8m7EmbKlGwp8sJHWUAMXH0</t>
  </si>
  <si>
    <t>A08875: Potassium Identity (USP A)</t>
  </si>
  <si>
    <t>sop # a08875 
config start date:05/30/24 
all config blocked start date:na 
all config blocked end date:na 
config end date:05/30/24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miguel lozada 
all client verification start date:06/17/24 
all client verification end date:06/18/24 
all client rework required start date:na 
all client blocked start date:na 
all client blocked end date:na 
all client rework required end date:na 
-------------------------------------------------------------------------------------------- 
verification complete date:06/25/24 
ready to migrate date:7/29/2024</t>
  </si>
  <si>
    <t>OO0F3IXLr0q5-ae-_bgHJ2UAGjF4</t>
  </si>
  <si>
    <t>A08339: Assay (Magnesium Sulfate) - USP</t>
  </si>
  <si>
    <t>sop # a08339 
config start date:05/29/24 
all config blocked start date:na 
all config blocked end date:na 
config end date:05/31/24 
 -------------------------------------------------------------------------------------------- 
all peer review start date:06/17/24 
all peer review end date:06/17/24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date:06/17/24  
verification assigned to: noel mendez 
all client verification start date:06/17/24 
all client verification end date:06/18/24 
all client rework required start date:na 
all client blocked start date:na 
all client blocked end date:na 
all client rework required end date:na 
-------------------------------------------------------------------------------------------- 
verification complete date:06/25/24  
ready to migrate date:</t>
  </si>
  <si>
    <t>OcbdLhE7wkiFXa94mF0NhGUAIvr_</t>
  </si>
  <si>
    <t>A08337: Volatiles by Loss On Ignition</t>
  </si>
  <si>
    <t>sop # a08337 
config start date:05/15/24 
all config blocked start date:na 
all config blocked end date:na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  
verification assigned to: nannette umpierre 
all client verification start date:06/13/24;06/14/24 
all client verification end date:06/13/24;06/14/24 
all client rework required start date:06/14/24 
all client blocked start date:na 
all client blocked end date:na 
all client rework required end date:06/14/24 
-------------------------------------------------------------------------------------------- 
verification complete date:06/14/24 
ready to migrate date:07/30/2024</t>
  </si>
  <si>
    <t>1IldoMZhNEuckY3vLlQC2mUAC_aA</t>
  </si>
  <si>
    <t>A08335: Magnesium Identification - USP</t>
  </si>
  <si>
    <t>Kimberly Mata - Network;Shannon Blais - Network;Nannette Umpierre</t>
  </si>
  <si>
    <t>sop # a08335 
config start date:06/10/24 
all config blocked start date:na 
all config blocked end date:na 
config end date:06/10/24 
 -------------------------------------------------------------------------------------------- 
all peer review start date:06/13/24 
all peer review end date:06/13/24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date:06/13/24  
verification assigned to: yvette lopez 
all client verification start date:06/13/24 
all client verification end date:06/14/24 
all client rework required start date:06/14/24 
all client blocked start date:na 
all client blocked end date:na 
all client rework required end date:06/14/24 
-------------------------------------------------------------------------------------------- 
verification complete date:06/14/24 
ready to migrate date: 7/30/2024</t>
  </si>
  <si>
    <t>oTvsRz4I20aWmCykasTwkmUANhg2</t>
  </si>
  <si>
    <t>B13140: Process Specific ELISA for Immunoreactive E. Coli Polypeptides in BHI API</t>
  </si>
  <si>
    <t>Test Method;Consumable;am;Skeleton Build;Finished Product</t>
  </si>
  <si>
    <t>sop # b13140 
config start date:03/06/24 
all config blocked start date:05/17/24  
all config blocked end date:05/21/24 
config end date:05/22/24 
 -------------------------------------------------------------------------------------------- 
all peer review start date:06/12/24 
all peer review end date:06/12/24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date:06/12/24;06/14/24 
verification assigned to: nannette umpierre 
all client verification start date:06/12/24;06/14/24 
all client verification end date:06/12/24;06/14/24 
all client rework required start date:06/14/24 
all client blocked start date:na 
all client blocked end date:na 
all client rework required end date:06/14/24 
-------------------------------------------------------------------------------------------- 
verification complete date:06/14/24 
ready to migrate date: 7/29/2024 
05/17/24: blocked, waiting on information from brian 
05/21/24: client informed change from full build to resultsonly</t>
  </si>
  <si>
    <t>olqyTVdVIUayCqyQTSN2v2UALjGW</t>
  </si>
  <si>
    <t>A00137: Desthreonine (B30) Insulin in Biosynthetic Human Insulin Drug Substance</t>
  </si>
  <si>
    <t>Test Method;Consumable;Empower ;Skeleton Build;Finished Product</t>
  </si>
  <si>
    <t>sop # a00137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</si>
  <si>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rT70cNEc-UGAN-6hUqUQrWUABE5S</t>
  </si>
  <si>
    <t>B10166: ELISA for E.coli Polypeptides in Insulin Intermediates</t>
  </si>
  <si>
    <t>Test Method;Consumable;Finished Product</t>
  </si>
  <si>
    <t>sop # b10166 
config start date:03/06/24 
all config blocked start date:na 
all config blocked end date:na 
config end date:05/21/24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</si>
  <si>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_5uv30YOJ0KKI31vPQb1-2UAGGgP</t>
  </si>
  <si>
    <t>B09143: Determination Of Residual Phenol In Lispro Bulk Drug Substance</t>
  </si>
  <si>
    <t>sop # b09143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</si>
  <si>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UxZWk5AR60yAsj4f_utCzmUAOOo2</t>
  </si>
  <si>
    <t>B05416: Iron Content Of Zinc-Insulin Crystals By Atomic Absorption</t>
  </si>
  <si>
    <t>sop # b05416 
config start date:05/15/24 
all config blocked start date:na 
all config blocked end date:na 
config end date:06/21/24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</si>
  <si>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77iqoZOCSkGbr_3bvZdFIGUAOj7X</t>
  </si>
  <si>
    <t>000309: Process Specific Elisa for E. Coli Polypeptides in KPB API</t>
  </si>
  <si>
    <t>Tiago Hasuda - Network;Rhoda Gill</t>
  </si>
  <si>
    <t>sop # 000309 
config start date:03/25/24 
all config blocked start date:na 
all config blocked end date:na 
config end date:05/24/24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</si>
  <si>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VGimNqXZZkaXHkxypN1mFWUAGv9g</t>
  </si>
  <si>
    <t>G1324 (000323): ELISA for Process Specific E. Coli Polypeptides in Insulin Analog Drug Substance</t>
  </si>
  <si>
    <t>Joseph Alexander - Network;Nannette Umpierre;Rhoda Gill</t>
  </si>
  <si>
    <t>sop # 000323 and g1324 
config start date:03/06/24 
all config blocked start date:na 
all config blocked end date:na  
config end date:05/22/24 
 -------------------------------------------------------------------------------------------- 
all peer review start date:06/13/24 
all peer review end date:06/13/24 
all peer review rework required start date:07/10/24 
all pr rework blocked start date:na  
all pr rework blocked end date:na  
all peer review rework required end date:07/10/24 
-------------------------------------------------------------------------------------------- 
all ready for demo date: na  
all demo date: na  
all demo rework required start date:na  
all demo blocked start date:na  
all demo blocked end date:na 
all demo rework required end date:na  
-------------------------------------------------------------------------------------------- 
all ready for client verification date:06/13/24 
verification assigned to: noel mendez  
all client verification start date:06/13/24 
all client verification end date:06/14/24 
all client rework required start date:na 
all client blocked start date:na 
all client blocked end date:na  
all client rework required end date:na 
------------------------------------------------------------------------------------------- 
verification complete date:06/14/24 
ready to migrate date: 
**important: check global test method**</t>
  </si>
  <si>
    <t>i5HSrQt8NUetlyxwprmGymUANmbN</t>
  </si>
  <si>
    <t>000349: Process Specific ELISA for E. coli Polypetptides in KPB API</t>
  </si>
  <si>
    <t>Carlos Rocha - Network;Melanny Camacho - Network;Manu Serrano - Network</t>
  </si>
  <si>
    <t>sop # 000349 
config start date:04/05/24;06/06/24;07/19/24 
all config blocked start date:na 
all config blocked end date:na 
config end date:05/22/24;07/18/24;07/30/2024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 
additional information:</t>
  </si>
  <si>
    <t>qqvA3DeNkUKWUsYnufjCjmUAIzGG</t>
  </si>
  <si>
    <t>B12977: ELISA for Human Proinsulin and Human Proinsulin Related Impurities in BIV-BHI Bulk Drug Substance</t>
  </si>
  <si>
    <t>Joshua Vargas - Network;Rhoda Gill - Network;Raquel Bolanos - Network;Raquel Bolaños;Nannette Umpierre;Rhoda Gill</t>
  </si>
  <si>
    <t>sop # b12977 
config start date:03/18/24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date:06/19/24  
verification assigned to: noel mendez 
all client verification start date:06/19/24 
all client verification end date:06/20/24 
all client rework required start date: 07/08/2024 
all client blocked start date:na 
all client blocked end date:na 
all client rework required end date: 07/08/2024 
-------------------------------------------------------------------------------------------- 
verification complete date: 07/10/2024 
ready to migrate date:07/30/2024</t>
  </si>
  <si>
    <t>40-yp190DkepOfmfoWYoY2UAEPKL</t>
  </si>
  <si>
    <t>B06538: ELISA for Human Proinsulin in Lyspro Intermediates</t>
  </si>
  <si>
    <t>Test Method;Consumable;Finished Product;Do not delete</t>
  </si>
  <si>
    <t>sop # b06538 
config start date:03/18/24 
all config blocked start date:na 
all config blocked end date:na 
config end date:04/17/24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</si>
  <si>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b7WEyFXoTUqsYzQRxm0N3mUAPJjS</t>
  </si>
  <si>
    <t>G1982: ELISA for Human Proinsulin in Lyspro</t>
  </si>
  <si>
    <t>sop # g1982 
config start date:05/03/24 
all config blocked start date: 
all config blocked end date: 
config end date:05/15/24 
 -------------------------------------------------------------------------------------------- 
all peer review start date: 
all peer review end date: 
all peer review rework required start date: 
all pr rework blocked start date: 
all pr rework blocked end date: 
all peer review rework required end date: 
-------------------------------------------------------------------------------------------- 
all ready for demo date:05/31/2024 
all demo date:05/31/2024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rework start date: 6/17/2024 (specs)rework end date: 6/21/2024</t>
  </si>
  <si>
    <t>DX8hT-11EUSp1FA3flNGKGUANVYj</t>
  </si>
  <si>
    <t>B06093: HPLC Fingerprint Analysis of Enzymatic Digestion Fragments of BHI</t>
  </si>
  <si>
    <t>sop # b06093 
config start date:  
all config blocked start date:  
all config blocked end date:   
config end date: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</si>
  <si>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uPxHB5iT6EC2kWBcJhE33mUAEyyV</t>
  </si>
  <si>
    <t>A13454: Bacterial Endotoxin Test by Kinetic Chromogenic Method</t>
  </si>
  <si>
    <t>sop # a13454 
config start date:03/20/24 
all config blocked start date:04/04/24  
all config blocked end date:04/24/24 
config end date:05/23/24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t>
  </si>
  <si>
    <t>DpqiW3LmMUi3dV3WpvYGg2UANJJy</t>
  </si>
  <si>
    <t>000310: Process Specific ELISA for E.coli Polypeptides in KPB Intermediates</t>
  </si>
  <si>
    <t>sop # 000310 
config start date:04/06/24 
all config blocked start date: 
all config blocked end date: 
config end date: 7/23/24 
 -------------------------------------------------------------------------------------------- 
all peer review start date: 
all peer review end date: 
all peer review rework required start date: 
all pr rework blocked start date: 
all pr rework blocked end date: 
all peer review rework required end date: 
-------------------------------------------------------------------------------------------- 
all ready for demo date: 
all demo date: 
all demo rework required start date: 
all demo blocked start date: 
all demo blocked end date: 
all demo rework required end date: 
-------------------------------------------------------------------------------------------- 
all ready for client verification date:  
verification assigned to: 
all client verification start date: 
all client verification end date: 
all client rework required start date: 
all client blocked start date: 
all client blocked end date: 
all client rework required end date: 
-------------------------------------------------------------------------------------------- 
verification complete date: 
ready to migrate date: 
important: check global test method</t>
  </si>
  <si>
    <t>zJh-zw3c-UmdN4mgFf_5a2UAHEXu</t>
  </si>
  <si>
    <t>B05385: ELISA for Human Proinsulin in Biosynthetic Human Insulin</t>
  </si>
  <si>
    <t>Nannette Umpierre;Rhoda Gill;Daniela Maroto - Network;Noel Mendez - Network</t>
  </si>
  <si>
    <t>sop # b05385 
config start date:03/20/24 
all config blocked start date:na 
all config blocked end date:na 
config end date:05/22/24 
 -------------------------------------------------------------------------------------------- 
all peer review start date:06/19/24 
all peer review end date:06/19/24 
all peer review rework required start date:na 
all pr rework blocked start date:na 
all pr rework blocked end date:na 
all peer review rework required end date:na 
-------------------------------------------------------------------------------------------- 
all ready for demo date:na 
all demo date:na 
all demo rework required start date:na 
all demo blocked start date:na 
all demo blocked end date:na 
all demo rework required end date:na 
-------------------------------------------------------------------------------------------- 
all ready for client verification date: 06/19/24; 07/09/2024 
verification assigned to: noel mendez 
all client verification start date:06/19/24 
all client verification end date:06/21/24 
all client rework required start date: 07/09/2024;07/11/2024 
all client blocked start date:na 
all client blocked end date:na 
all client rework required end date: 7/09/2024;07/11/2024 
-------------------------------------------------------------------------------------------- 
verification complete date: 07/11/2024 
ready to migrate date:07/31/2024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</si>
</sst>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1"/>
      <color theme="0"/>
      <name val="Aptos Narrow"/>
      <family val="2"/>
      <scheme val="minor"/>
    </font>
    <font>
      <sz val="8"/>
      <name val="Aptos Narrow"/>
      <family val="2"/>
      <scheme val="minor"/>
    </font>
    <font>
      <sz val="11"/>
      <color theme="1"/>
      <name val="Calibri"/>
      <charset val="1"/>
    </font>
  </fonts>
  <fills count="5">
    <fill>
      <patternFill patternType="none"/>
    </fill>
    <fill>
      <patternFill patternType="gray125"/>
    </fill>
    <fill>
      <patternFill patternType="solid">
        <fgColor theme="2"/>
        <bgColor indexed="64"/>
      </patternFill>
    </fill>
    <fill>
      <patternFill patternType="solid">
        <fgColor theme="9" tint="0.79998168889431442"/>
        <bgColor theme="9" tint="0.79998168889431442"/>
      </patternFill>
    </fill>
    <fill>
      <patternFill patternType="solid">
        <fgColor theme="4"/>
        <bgColor theme="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pivotButton="1"/>
    <xf numFmtId="0" fontId="0" fillId="2" borderId="0" xfId="0" applyFill="1"/>
    <xf numFmtId="14" fontId="0" fillId="0" borderId="0" xfId="0" applyNumberFormat="1"/>
    <xf numFmtId="14" fontId="0" fillId="0" borderId="0" xfId="0" applyNumberFormat="1" applyAlignment="1">
      <alignment wrapText="1"/>
    </xf>
    <xf numFmtId="0" fontId="0" fillId="0" borderId="0" xfId="0" applyAlignment="1">
      <alignment horizontal="left"/>
    </xf>
    <xf numFmtId="0" fontId="1" fillId="4" borderId="0" xfId="0" applyFont="1" applyFill="1"/>
    <xf numFmtId="0" fontId="3" fillId="0" borderId="0" xfId="0" applyFont="1"/>
    <xf numFmtId="0" fontId="0" fillId="3" borderId="1" xfId="0" applyFill="1" applyBorder="1" applyAlignment="1">
      <alignment wrapText="1"/>
    </xf>
    <xf numFmtId="0" fontId="0" fillId="0" borderId="0" xfId="0" applyNumberFormat="1" applyAlignment="1">
      <alignment wrapText="1"/>
    </xf>
    <xf numFmtId="0" fontId="0" fillId="3" borderId="0" xfId="0" applyNumberFormat="1" applyFill="1" applyAlignment="1">
      <alignment wrapText="1"/>
    </xf>
    <xf numFmtId="0" fontId="0" fillId="0" borderId="0" xfId="0" applyNumberFormat="1"/>
  </cellXfs>
  <cellStyles count="1">
    <cellStyle name="Normal" xfId="0" builtinId="0"/>
  </cellStyles>
  <dxfs count="57">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numFmt numFmtId="0" formatCode="General"/>
      <fill>
        <patternFill patternType="solid">
          <fgColor theme="9" tint="0.79998168889431442"/>
          <bgColor theme="9" tint="0.79998168889431442"/>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theme="9" tint="0.79998168889431442"/>
          <bgColor theme="9" tint="0.79998168889431442"/>
        </patternFill>
      </fill>
      <alignment horizontal="general" vertical="bottom" textRotation="0" wrapText="1" indent="0" justifyLastLine="0" shrinkToFit="0" readingOrder="0"/>
      <border diagonalUp="0" diagonalDown="0" outline="0">
        <left style="thin">
          <color theme="0"/>
        </left>
        <right style="thin">
          <color theme="0"/>
        </right>
        <top style="thin">
          <color theme="0"/>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s>
  <tableStyles count="1" defaultTableStyle="TableStyleMedium2" defaultPivotStyle="PivotStyleMedium9">
    <tableStyle name="Slicer Style 1" pivot="0" table="0" count="0" xr9:uid="{503CC69B-72B7-416B-8065-E42581ACAFD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microsoft.com/office/2007/relationships/slicerCache" Target="slicerCaches/slicerCache1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3.xml"/><Relationship Id="rId12" Type="http://schemas.microsoft.com/office/2007/relationships/slicerCache" Target="slicerCaches/slicerCache8.xml"/><Relationship Id="rId17" Type="http://schemas.microsoft.com/office/2007/relationships/slicerCache" Target="slicerCaches/slicerCache1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2.xml"/><Relationship Id="rId20"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1.xml"/><Relationship Id="rId5" Type="http://schemas.microsoft.com/office/2007/relationships/slicerCache" Target="slicerCaches/slicerCache1.xml"/><Relationship Id="rId15" Type="http://schemas.microsoft.com/office/2007/relationships/slicerCache" Target="slicerCaches/slicerCache11.xml"/><Relationship Id="rId23" Type="http://schemas.openxmlformats.org/officeDocument/2006/relationships/calcChain" Target="calcChain.xml"/><Relationship Id="rId28" Type="http://schemas.openxmlformats.org/officeDocument/2006/relationships/customXml" Target="../customXml/item5.xml"/><Relationship Id="rId10" Type="http://schemas.microsoft.com/office/2007/relationships/slicerCache" Target="slicerCaches/slicerCache6.xml"/><Relationship Id="rId19" Type="http://schemas.microsoft.com/office/2007/relationships/slicerCache" Target="slicerCaches/slicerCache15.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Management_2024-08-05_13-22-11.xlsx]Pivot Tables!PivotTable1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Task Distribution Across Sites by Method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Tables'!$B$3:$B$8</c:f>
              <c:numCache>
                <c:formatCode>General</c:formatCode>
                <c:ptCount val="5"/>
                <c:pt idx="0">
                  <c:v>27</c:v>
                </c:pt>
                <c:pt idx="1">
                  <c:v>95</c:v>
                </c:pt>
                <c:pt idx="2">
                  <c:v>13</c:v>
                </c:pt>
                <c:pt idx="3">
                  <c:v>27</c:v>
                </c:pt>
                <c:pt idx="4">
                  <c:v>41</c:v>
                </c:pt>
              </c:numCache>
            </c:numRef>
          </c:val>
          <c:extLst>
            <c:ext xmlns:c16="http://schemas.microsoft.com/office/drawing/2014/chart" uri="{C3380CC4-5D6E-409C-BE32-E72D297353CC}">
              <c16:uniqueId val="{00000000-B1CA-40B8-AEB6-E7B8614982CF}"/>
            </c:ext>
          </c:extLst>
        </c:ser>
        <c:ser>
          <c:idx val="1"/>
          <c:order val="1"/>
          <c:tx>
            <c:strRef>
              <c:f>'Pivot Tables'!$C$1:$C$2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Tables'!$C$3:$C$8</c:f>
              <c:numCache>
                <c:formatCode>General</c:formatCode>
                <c:ptCount val="5"/>
                <c:pt idx="0">
                  <c:v>5</c:v>
                </c:pt>
                <c:pt idx="1">
                  <c:v>1</c:v>
                </c:pt>
                <c:pt idx="3">
                  <c:v>21</c:v>
                </c:pt>
                <c:pt idx="4">
                  <c:v>72</c:v>
                </c:pt>
              </c:numCache>
            </c:numRef>
          </c:val>
          <c:extLst>
            <c:ext xmlns:c16="http://schemas.microsoft.com/office/drawing/2014/chart" uri="{C3380CC4-5D6E-409C-BE32-E72D297353CC}">
              <c16:uniqueId val="{00000003-2C2A-4ECF-9DF8-967AAFE86746}"/>
            </c:ext>
          </c:extLst>
        </c:ser>
        <c:ser>
          <c:idx val="2"/>
          <c:order val="2"/>
          <c:tx>
            <c:strRef>
              <c:f>'Pivot Tables'!$D$1:$D$2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Tables'!$A$3:$A$8</c:f>
              <c:strCache>
                <c:ptCount val="5"/>
                <c:pt idx="0">
                  <c:v>1. Out of Scope</c:v>
                </c:pt>
                <c:pt idx="1">
                  <c:v>2. Not started methods</c:v>
                </c:pt>
                <c:pt idx="2">
                  <c:v>3. Astrix in progress methods</c:v>
                </c:pt>
                <c:pt idx="3">
                  <c:v>4. Lilly in progress methods</c:v>
                </c:pt>
                <c:pt idx="4">
                  <c:v>5. Complete methods</c:v>
                </c:pt>
              </c:strCache>
            </c:strRef>
          </c:cat>
          <c:val>
            <c:numRef>
              <c:f>'Pivot Tables'!$D$3:$D$8</c:f>
              <c:numCache>
                <c:formatCode>General</c:formatCode>
                <c:ptCount val="5"/>
                <c:pt idx="0">
                  <c:v>33</c:v>
                </c:pt>
                <c:pt idx="1">
                  <c:v>209</c:v>
                </c:pt>
                <c:pt idx="2">
                  <c:v>84</c:v>
                </c:pt>
                <c:pt idx="3">
                  <c:v>31</c:v>
                </c:pt>
                <c:pt idx="4">
                  <c:v>146</c:v>
                </c:pt>
              </c:numCache>
            </c:numRef>
          </c:val>
          <c:extLst>
            <c:ext xmlns:c16="http://schemas.microsoft.com/office/drawing/2014/chart" uri="{C3380CC4-5D6E-409C-BE32-E72D297353CC}">
              <c16:uniqueId val="{00000004-2C2A-4ECF-9DF8-967AAFE86746}"/>
            </c:ext>
          </c:extLst>
        </c:ser>
        <c:dLbls>
          <c:showLegendKey val="0"/>
          <c:showVal val="0"/>
          <c:showCatName val="0"/>
          <c:showSerName val="0"/>
          <c:showPercent val="0"/>
          <c:showBubbleSize val="0"/>
        </c:dLbls>
        <c:gapWidth val="150"/>
        <c:axId val="240033327"/>
        <c:axId val="240030927"/>
      </c:barChart>
      <c:catAx>
        <c:axId val="240033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30927"/>
        <c:crosses val="autoZero"/>
        <c:auto val="1"/>
        <c:lblAlgn val="ctr"/>
        <c:lblOffset val="100"/>
        <c:noMultiLvlLbl val="0"/>
      </c:catAx>
      <c:valAx>
        <c:axId val="24003092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332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[Lilly Kanban Management_2024-08-05_13-22-11.xlsx]Pivot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Overview of Task Progress Across Different Buckets and Locations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22822758315564E-2"/>
          <c:y val="5.349950982733577E-2"/>
          <c:w val="0.93223807036545447"/>
          <c:h val="0.79148672113151253"/>
        </c:manualLayout>
      </c:layout>
      <c:barChart>
        <c:barDir val="bar"/>
        <c:grouping val="clustered"/>
        <c:varyColors val="0"/>
        <c:ser>
          <c:idx val="0"/>
          <c:order val="0"/>
          <c:tx>
            <c:strRef>
              <c:f>'Pivot Tables'!$J$1:$J$2</c:f>
              <c:strCache>
                <c:ptCount val="1"/>
                <c:pt idx="0">
                  <c:v>Concord</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Tables'!$J$3:$J$21</c:f>
              <c:numCache>
                <c:formatCode>General</c:formatCode>
                <c:ptCount val="18"/>
                <c:pt idx="0">
                  <c:v>26</c:v>
                </c:pt>
                <c:pt idx="2">
                  <c:v>10</c:v>
                </c:pt>
                <c:pt idx="3">
                  <c:v>15</c:v>
                </c:pt>
                <c:pt idx="4">
                  <c:v>17</c:v>
                </c:pt>
                <c:pt idx="5">
                  <c:v>95</c:v>
                </c:pt>
                <c:pt idx="6">
                  <c:v>3</c:v>
                </c:pt>
                <c:pt idx="7">
                  <c:v>2</c:v>
                </c:pt>
                <c:pt idx="8">
                  <c:v>5</c:v>
                </c:pt>
                <c:pt idx="9">
                  <c:v>1</c:v>
                </c:pt>
                <c:pt idx="10">
                  <c:v>2</c:v>
                </c:pt>
                <c:pt idx="11">
                  <c:v>26</c:v>
                </c:pt>
                <c:pt idx="12">
                  <c:v>1</c:v>
                </c:pt>
              </c:numCache>
            </c:numRef>
          </c:val>
          <c:extLst>
            <c:ext xmlns:c16="http://schemas.microsoft.com/office/drawing/2014/chart" uri="{C3380CC4-5D6E-409C-BE32-E72D297353CC}">
              <c16:uniqueId val="{00000000-FC25-473A-9503-4840B4827501}"/>
            </c:ext>
          </c:extLst>
        </c:ser>
        <c:ser>
          <c:idx val="1"/>
          <c:order val="1"/>
          <c:tx>
            <c:strRef>
              <c:f>'Pivot Tables'!$K$1:$K$2</c:f>
              <c:strCache>
                <c:ptCount val="1"/>
                <c:pt idx="0">
                  <c:v>Limerick</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Tables'!$K$3:$K$21</c:f>
              <c:numCache>
                <c:formatCode>General</c:formatCode>
                <c:ptCount val="18"/>
                <c:pt idx="0">
                  <c:v>1</c:v>
                </c:pt>
                <c:pt idx="4">
                  <c:v>5</c:v>
                </c:pt>
                <c:pt idx="5">
                  <c:v>1</c:v>
                </c:pt>
                <c:pt idx="11">
                  <c:v>72</c:v>
                </c:pt>
                <c:pt idx="13">
                  <c:v>4</c:v>
                </c:pt>
                <c:pt idx="14">
                  <c:v>16</c:v>
                </c:pt>
              </c:numCache>
            </c:numRef>
          </c:val>
          <c:extLst>
            <c:ext xmlns:c16="http://schemas.microsoft.com/office/drawing/2014/chart" uri="{C3380CC4-5D6E-409C-BE32-E72D297353CC}">
              <c16:uniqueId val="{00000003-05FE-4F01-9132-72C42099E038}"/>
            </c:ext>
          </c:extLst>
        </c:ser>
        <c:ser>
          <c:idx val="2"/>
          <c:order val="2"/>
          <c:tx>
            <c:strRef>
              <c:f>'Pivot Tables'!$L$1:$L$2</c:f>
              <c:strCache>
                <c:ptCount val="1"/>
                <c:pt idx="0">
                  <c:v>PR5</c:v>
                </c:pt>
              </c:strCache>
            </c:strRef>
          </c:tx>
          <c:spPr>
            <a:solidFill>
              <a:schemeClr val="accent6">
                <a:alpha val="85000"/>
              </a:schemeClr>
            </a:solidFill>
            <a:ln w="9525" cap="flat" cmpd="sng" algn="ctr">
              <a:solidFill>
                <a:schemeClr val="lt1">
                  <a:alpha val="50000"/>
                </a:schemeClr>
              </a:solidFill>
              <a:round/>
            </a:ln>
            <a:effectLst/>
          </c:spPr>
          <c:invertIfNegative val="0"/>
          <c:cat>
            <c:strRef>
              <c:f>'Pivot Tables'!$I$3:$I$21</c:f>
              <c:strCache>
                <c:ptCount val="18"/>
                <c:pt idx="0">
                  <c:v>Do Not Delete</c:v>
                </c:pt>
                <c:pt idx="1">
                  <c:v>To Be Deleted</c:v>
                </c:pt>
                <c:pt idx="2">
                  <c:v>13.Verification In Progress</c:v>
                </c:pt>
                <c:pt idx="3">
                  <c:v>Added to Package</c:v>
                </c:pt>
                <c:pt idx="4">
                  <c:v>12.Ready For Client Verification</c:v>
                </c:pt>
                <c:pt idx="5">
                  <c:v>1.Backlog</c:v>
                </c:pt>
                <c:pt idx="6">
                  <c:v>4.Blocked</c:v>
                </c:pt>
                <c:pt idx="7">
                  <c:v>5.Configuration Complete</c:v>
                </c:pt>
                <c:pt idx="8">
                  <c:v>3.Configuration In Progress</c:v>
                </c:pt>
                <c:pt idx="9">
                  <c:v>7.Peer Review - Rework Req.</c:v>
                </c:pt>
                <c:pt idx="10">
                  <c:v>8.Ready For Demo</c:v>
                </c:pt>
                <c:pt idx="11">
                  <c:v>15.Ready To Migrate</c:v>
                </c:pt>
                <c:pt idx="12">
                  <c:v>11.Client Rework In Progress</c:v>
                </c:pt>
                <c:pt idx="13">
                  <c:v>2.Out Of Scope</c:v>
                </c:pt>
                <c:pt idx="14">
                  <c:v>14.Verification Complete</c:v>
                </c:pt>
                <c:pt idx="15">
                  <c:v>6.Peer Review In Progress</c:v>
                </c:pt>
                <c:pt idx="16">
                  <c:v>Unit Test Complete</c:v>
                </c:pt>
                <c:pt idx="17">
                  <c:v>10.Client Rework Required</c:v>
                </c:pt>
              </c:strCache>
            </c:strRef>
          </c:cat>
          <c:val>
            <c:numRef>
              <c:f>'Pivot Tables'!$L$3:$L$21</c:f>
              <c:numCache>
                <c:formatCode>General</c:formatCode>
                <c:ptCount val="18"/>
                <c:pt idx="1">
                  <c:v>1</c:v>
                </c:pt>
                <c:pt idx="2">
                  <c:v>5</c:v>
                </c:pt>
                <c:pt idx="4">
                  <c:v>2</c:v>
                </c:pt>
                <c:pt idx="5">
                  <c:v>209</c:v>
                </c:pt>
                <c:pt idx="6">
                  <c:v>10</c:v>
                </c:pt>
                <c:pt idx="7">
                  <c:v>12</c:v>
                </c:pt>
                <c:pt idx="8">
                  <c:v>12</c:v>
                </c:pt>
                <c:pt idx="11">
                  <c:v>133</c:v>
                </c:pt>
                <c:pt idx="13">
                  <c:v>32</c:v>
                </c:pt>
                <c:pt idx="14">
                  <c:v>24</c:v>
                </c:pt>
                <c:pt idx="15">
                  <c:v>44</c:v>
                </c:pt>
                <c:pt idx="16">
                  <c:v>13</c:v>
                </c:pt>
                <c:pt idx="17">
                  <c:v>6</c:v>
                </c:pt>
              </c:numCache>
            </c:numRef>
          </c:val>
          <c:extLst>
            <c:ext xmlns:c16="http://schemas.microsoft.com/office/drawing/2014/chart" uri="{C3380CC4-5D6E-409C-BE32-E72D297353CC}">
              <c16:uniqueId val="{00000004-05FE-4F01-9132-72C42099E038}"/>
            </c:ext>
          </c:extLst>
        </c:ser>
        <c:dLbls>
          <c:showLegendKey val="0"/>
          <c:showVal val="0"/>
          <c:showCatName val="0"/>
          <c:showSerName val="0"/>
          <c:showPercent val="0"/>
          <c:showBubbleSize val="0"/>
        </c:dLbls>
        <c:gapWidth val="150"/>
        <c:axId val="240036687"/>
        <c:axId val="240019407"/>
      </c:barChart>
      <c:catAx>
        <c:axId val="2400366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0019407"/>
        <c:crosses val="autoZero"/>
        <c:auto val="1"/>
        <c:lblAlgn val="ctr"/>
        <c:lblOffset val="100"/>
        <c:noMultiLvlLbl val="0"/>
      </c:catAx>
      <c:valAx>
        <c:axId val="2400194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003668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Project Component Analysis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v>Frequency</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5F-4D2F-BF3E-CB344E4195F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5F-4D2F-BF3E-CB344E4195F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5F-4D2F-BF3E-CB344E4195F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5F-4D2F-BF3E-CB344E4195F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5F-4D2F-BF3E-CB344E4195F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5F-4D2F-BF3E-CB344E4195F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5F-4D2F-BF3E-CB344E4195F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A5F-4D2F-BF3E-CB344E4195F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A5F-4D2F-BF3E-CB344E4195F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A5F-4D2F-BF3E-CB344E4195F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A5F-4D2F-BF3E-CB344E4195F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A5F-4D2F-BF3E-CB344E4195F5}"/>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A5F-4D2F-BF3E-CB344E4195F5}"/>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A5F-4D2F-BF3E-CB344E4195F5}"/>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A5F-4D2F-BF3E-CB344E4195F5}"/>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A5F-4D2F-BF3E-CB344E4195F5}"/>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A5F-4D2F-BF3E-CB344E4195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Tables'!$W$4:$W$20</c:f>
              <c:strCache>
                <c:ptCount val="17"/>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strCache>
            </c:strRef>
          </c:cat>
          <c:val>
            <c:numRef>
              <c:f>'Pivot Tables'!$X$4:$X$20</c:f>
              <c:numCache>
                <c:formatCode>General</c:formatCode>
                <c:ptCount val="17"/>
                <c:pt idx="0">
                  <c:v>365</c:v>
                </c:pt>
                <c:pt idx="1">
                  <c:v>157</c:v>
                </c:pt>
                <c:pt idx="2">
                  <c:v>104</c:v>
                </c:pt>
                <c:pt idx="3">
                  <c:v>4</c:v>
                </c:pt>
                <c:pt idx="4">
                  <c:v>4</c:v>
                </c:pt>
                <c:pt idx="5">
                  <c:v>0</c:v>
                </c:pt>
                <c:pt idx="6">
                  <c:v>199</c:v>
                </c:pt>
                <c:pt idx="7">
                  <c:v>15</c:v>
                </c:pt>
                <c:pt idx="8">
                  <c:v>54</c:v>
                </c:pt>
                <c:pt idx="9">
                  <c:v>68</c:v>
                </c:pt>
                <c:pt idx="10">
                  <c:v>12</c:v>
                </c:pt>
                <c:pt idx="11">
                  <c:v>39</c:v>
                </c:pt>
                <c:pt idx="12">
                  <c:v>22</c:v>
                </c:pt>
                <c:pt idx="13">
                  <c:v>23</c:v>
                </c:pt>
                <c:pt idx="14">
                  <c:v>0</c:v>
                </c:pt>
                <c:pt idx="15">
                  <c:v>101</c:v>
                </c:pt>
                <c:pt idx="16">
                  <c:v>217</c:v>
                </c:pt>
              </c:numCache>
            </c:numRef>
          </c:val>
          <c:extLst>
            <c:ext xmlns:c16="http://schemas.microsoft.com/office/drawing/2014/chart" uri="{C3380CC4-5D6E-409C-BE32-E72D297353CC}">
              <c16:uniqueId val="{00000022-EA5F-4D2F-BF3E-CB344E4195F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Limerick</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CC-4B5F-857E-0D7D20EAC8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CC-4B5F-857E-0D7D20EAC8B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9CC-4B5F-857E-0D7D20EAC8B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CC-4B5F-857E-0D7D20EAC8B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CC-4B5F-857E-0D7D20EAC8B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CC-4B5F-857E-0D7D20EAC8B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CC-4B5F-857E-0D7D20EAC8B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CC-4B5F-857E-0D7D20EAC8B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CC-4B5F-857E-0D7D20EAC8B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9CC-4B5F-857E-0D7D20EAC8B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9CC-4B5F-857E-0D7D20EAC8B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9CC-4B5F-857E-0D7D20EAC8B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9CC-4B5F-857E-0D7D20EAC8B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9CC-4B5F-857E-0D7D20EAC8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extLst>
                <c:ext xmlns:c15="http://schemas.microsoft.com/office/drawing/2012/chart" uri="{02D57815-91ED-43cb-92C2-25804820EDAC}">
                  <c15:fullRef>
                    <c15:sqref>'Pivot Tables'!$Z$2:$AA$16</c15:sqref>
                  </c15:fullRef>
                </c:ext>
              </c:extLst>
              <c:f>('Pivot Tables'!$Z$2:$AA$13,'Pivot Tables'!$Z$15:$AA$16)</c:f>
              <c:multiLvlStrCache>
                <c:ptCount val="14"/>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FULL BUILD</c:v>
                  </c:pt>
                  <c:pt idx="13">
                    <c:v>SKELETON BUILD</c:v>
                  </c:pt>
                </c:lvl>
                <c:lvl>
                  <c:pt idx="0">
                    <c:v>Limerick</c:v>
                  </c:pt>
                  <c:pt idx="1">
                    <c:v>Limerick</c:v>
                  </c:pt>
                  <c:pt idx="2">
                    <c:v>Limerick</c:v>
                  </c:pt>
                  <c:pt idx="3">
                    <c:v>Limerick</c:v>
                  </c:pt>
                  <c:pt idx="4">
                    <c:v>Limerick</c:v>
                  </c:pt>
                  <c:pt idx="5">
                    <c:v>Limerick</c:v>
                  </c:pt>
                  <c:pt idx="6">
                    <c:v>Limerick</c:v>
                  </c:pt>
                  <c:pt idx="7">
                    <c:v>Limerick</c:v>
                  </c:pt>
                  <c:pt idx="8">
                    <c:v>Limerick</c:v>
                  </c:pt>
                  <c:pt idx="9">
                    <c:v>Limerick</c:v>
                  </c:pt>
                  <c:pt idx="10">
                    <c:v>Limerick</c:v>
                  </c:pt>
                  <c:pt idx="11">
                    <c:v>Limerick</c:v>
                  </c:pt>
                  <c:pt idx="12">
                    <c:v>Limerick</c:v>
                  </c:pt>
                  <c:pt idx="13">
                    <c:v>Limerick</c:v>
                  </c:pt>
                </c:lvl>
              </c:multiLvlStrCache>
            </c:multiLvlStrRef>
          </c:cat>
          <c:val>
            <c:numRef>
              <c:extLst>
                <c:ext xmlns:c15="http://schemas.microsoft.com/office/drawing/2012/chart" uri="{02D57815-91ED-43cb-92C2-25804820EDAC}">
                  <c15:fullRef>
                    <c15:sqref>'Pivot Tables'!$AB$2:$AB$18</c15:sqref>
                  </c15:fullRef>
                </c:ext>
              </c:extLst>
              <c:f>('Pivot Tables'!$AB$2:$AB$13,'Pivot Tables'!$AB$15:$AB$16)</c:f>
              <c:numCache>
                <c:formatCode>General</c:formatCode>
                <c:ptCount val="14"/>
                <c:pt idx="0">
                  <c:v>20</c:v>
                </c:pt>
                <c:pt idx="1">
                  <c:v>4</c:v>
                </c:pt>
                <c:pt idx="2">
                  <c:v>45</c:v>
                </c:pt>
                <c:pt idx="3">
                  <c:v>4</c:v>
                </c:pt>
                <c:pt idx="4">
                  <c:v>4</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'Pivot Tables'!$AB$14</c15:sqref>
                  <c15:spPr xmlns:c15="http://schemas.microsoft.com/office/drawing/2012/chart">
                    <a:solidFill>
                      <a:schemeClr val="accent1">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Tables'!$AB$17</c15:sqref>
                  <c15:spPr xmlns:c15="http://schemas.microsoft.com/office/drawing/2012/chart">
                    <a:solidFill>
                      <a:schemeClr val="accent4">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
                  <c15:sqref>'Pivot Tables'!$AB$18</c15:sqref>
                  <c15:spPr xmlns:c15="http://schemas.microsoft.com/office/drawing/2012/chart">
                    <a:solidFill>
                      <a:schemeClr val="accent5">
                        <a:lumMod val="80000"/>
                        <a:lumOff val="20000"/>
                      </a:schemeClr>
                    </a:solidFill>
                    <a:ln>
                      <a:noFill/>
                    </a:ln>
                    <a:effectLst>
                      <a:outerShdw blurRad="254000" sx="102000" sy="102000" algn="ctr" rotWithShape="0">
                        <a:prstClr val="black">
                          <a:alpha val="20000"/>
                        </a:prstClr>
                      </a:outerShdw>
                    </a:effectLst>
                  </c15:spPr>
                  <c15:bubble3D val="0"/>
                </c15:categoryFilterException>
              </c15:categoryFilterExceptions>
            </c:ext>
            <c:ext xmlns:c16="http://schemas.microsoft.com/office/drawing/2014/chart" uri="{C3380CC4-5D6E-409C-BE32-E72D297353CC}">
              <c16:uniqueId val="{00000022-59CC-4B5F-857E-0D7D20EAC8B3}"/>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PR5</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53-47BA-A660-3F1FAD3A4E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53-47BA-A660-3F1FAD3A4E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53-47BA-A660-3F1FAD3A4E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653-47BA-A660-3F1FAD3A4E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653-47BA-A660-3F1FAD3A4E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653-47BA-A660-3F1FAD3A4E2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653-47BA-A660-3F1FAD3A4E2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653-47BA-A660-3F1FAD3A4E2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653-47BA-A660-3F1FAD3A4E2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653-47BA-A660-3F1FAD3A4E2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653-47BA-A660-3F1FAD3A4E2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653-47BA-A660-3F1FAD3A4E2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F653-47BA-A660-3F1FAD3A4E2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Tables'!$Z$17:$AA$31</c:f>
              <c:multiLvlStrCache>
                <c:ptCount val="15"/>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FULL BUILD</c:v>
                  </c:pt>
                  <c:pt idx="14">
                    <c:v>SKELETON BUILD</c:v>
                  </c:pt>
                </c:lvl>
                <c:lvl>
                  <c:pt idx="0">
                    <c:v>PR5</c:v>
                  </c:pt>
                  <c:pt idx="1">
                    <c:v>PR5</c:v>
                  </c:pt>
                  <c:pt idx="2">
                    <c:v>PR5</c:v>
                  </c:pt>
                  <c:pt idx="3">
                    <c:v>PR5</c:v>
                  </c:pt>
                  <c:pt idx="4">
                    <c:v>PR5</c:v>
                  </c:pt>
                  <c:pt idx="5">
                    <c:v>PR5</c:v>
                  </c:pt>
                  <c:pt idx="6">
                    <c:v>PR5</c:v>
                  </c:pt>
                  <c:pt idx="7">
                    <c:v>PR5</c:v>
                  </c:pt>
                  <c:pt idx="8">
                    <c:v>PR5</c:v>
                  </c:pt>
                  <c:pt idx="9">
                    <c:v>PR5</c:v>
                  </c:pt>
                  <c:pt idx="10">
                    <c:v>PR5</c:v>
                  </c:pt>
                  <c:pt idx="11">
                    <c:v>PR5</c:v>
                  </c:pt>
                  <c:pt idx="12">
                    <c:v>PR5</c:v>
                  </c:pt>
                  <c:pt idx="13">
                    <c:v>PR5</c:v>
                  </c:pt>
                  <c:pt idx="14">
                    <c:v>PR5</c:v>
                  </c:pt>
                </c:lvl>
              </c:multiLvlStrCache>
            </c:multiLvlStrRef>
          </c:cat>
          <c:val>
            <c:numRef>
              <c:f>'Pivot Tables'!$AB$19:$AB$31</c:f>
              <c:numCache>
                <c:formatCode>General</c:formatCode>
                <c:ptCount val="13"/>
                <c:pt idx="0">
                  <c:v>6</c:v>
                </c:pt>
                <c:pt idx="1">
                  <c:v>0</c:v>
                </c:pt>
                <c:pt idx="2">
                  <c:v>0</c:v>
                </c:pt>
                <c:pt idx="3">
                  <c:v>0</c:v>
                </c:pt>
                <c:pt idx="4">
                  <c:v>199</c:v>
                </c:pt>
                <c:pt idx="5">
                  <c:v>15</c:v>
                </c:pt>
                <c:pt idx="6">
                  <c:v>54</c:v>
                </c:pt>
                <c:pt idx="7">
                  <c:v>68</c:v>
                </c:pt>
                <c:pt idx="8">
                  <c:v>12</c:v>
                </c:pt>
                <c:pt idx="9">
                  <c:v>39</c:v>
                </c:pt>
                <c:pt idx="10">
                  <c:v>22</c:v>
                </c:pt>
                <c:pt idx="11">
                  <c:v>77</c:v>
                </c:pt>
                <c:pt idx="12">
                  <c:v>183</c:v>
                </c:pt>
              </c:numCache>
            </c:numRef>
          </c:val>
          <c:extLst>
            <c:ext xmlns:c16="http://schemas.microsoft.com/office/drawing/2014/chart" uri="{C3380CC4-5D6E-409C-BE32-E72D297353CC}">
              <c16:uniqueId val="{00000022-F653-47BA-A660-3F1FAD3A4E2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Distribution of Project Components for Concord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'Pivot Tables'!$AB$1</c:f>
              <c:strCache>
                <c:ptCount val="1"/>
                <c:pt idx="0">
                  <c:v>Frequency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F5-4745-AA7C-F9B3AD2DB1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F5-4745-AA7C-F9B3AD2DB1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5F5-4745-AA7C-F9B3AD2DB1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5F5-4745-AA7C-F9B3AD2DB17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5F5-4745-AA7C-F9B3AD2DB17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5F5-4745-AA7C-F9B3AD2DB17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5F5-4745-AA7C-F9B3AD2DB17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5F5-4745-AA7C-F9B3AD2DB17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5F5-4745-AA7C-F9B3AD2DB17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5F5-4745-AA7C-F9B3AD2DB177}"/>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5F5-4745-AA7C-F9B3AD2DB177}"/>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5F5-4745-AA7C-F9B3AD2DB177}"/>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5F5-4745-AA7C-F9B3AD2DB177}"/>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5F5-4745-AA7C-F9B3AD2DB177}"/>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5F5-4745-AA7C-F9B3AD2DB177}"/>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5F5-4745-AA7C-F9B3AD2DB177}"/>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5F5-4745-AA7C-F9B3AD2DB17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Tables'!$Z$32:$AA$48</c:f>
              <c:multiLvlStrCache>
                <c:ptCount val="17"/>
                <c:lvl>
                  <c:pt idx="0">
                    <c:v>TEST METHOD</c:v>
                  </c:pt>
                  <c:pt idx="1">
                    <c:v>PRODUCT</c:v>
                  </c:pt>
                  <c:pt idx="2">
                    <c:v>INSTRUMENT</c:v>
                  </c:pt>
                  <c:pt idx="3">
                    <c:v>PRODUCT VARIANT</c:v>
                  </c:pt>
                  <c:pt idx="4">
                    <c:v>SAMPLE PLAN</c:v>
                  </c:pt>
                  <c:pt idx="5">
                    <c:v>CALIBRATION</c:v>
                  </c:pt>
                  <c:pt idx="6">
                    <c:v>RAW MATERIAL</c:v>
                  </c:pt>
                  <c:pt idx="7">
                    <c:v>DRUG SUBSTANCE</c:v>
                  </c:pt>
                  <c:pt idx="8">
                    <c:v>MICRO METHOD</c:v>
                  </c:pt>
                  <c:pt idx="9">
                    <c:v>NMP METHOD</c:v>
                  </c:pt>
                  <c:pt idx="10">
                    <c:v>IN PROCESS</c:v>
                  </c:pt>
                  <c:pt idx="11">
                    <c:v>FINISHED PRODUCT</c:v>
                  </c:pt>
                  <c:pt idx="12">
                    <c:v>EMPOWER</c:v>
                  </c:pt>
                  <c:pt idx="13">
                    <c:v>PHASE 2.5</c:v>
                  </c:pt>
                  <c:pt idx="14">
                    <c:v>PHASE 3.0</c:v>
                  </c:pt>
                  <c:pt idx="15">
                    <c:v>FULL BUILD</c:v>
                  </c:pt>
                  <c:pt idx="16">
                    <c:v>SKELETON BUILD</c:v>
                  </c:pt>
                </c:lvl>
                <c:lvl>
                  <c:pt idx="0">
                    <c:v>Concord</c:v>
                  </c:pt>
                  <c:pt idx="1">
                    <c:v>Concord</c:v>
                  </c:pt>
                  <c:pt idx="2">
                    <c:v>Concord</c:v>
                  </c:pt>
                  <c:pt idx="3">
                    <c:v>Concord</c:v>
                  </c:pt>
                  <c:pt idx="4">
                    <c:v>Concord</c:v>
                  </c:pt>
                  <c:pt idx="5">
                    <c:v>Concord</c:v>
                  </c:pt>
                  <c:pt idx="6">
                    <c:v>Concord</c:v>
                  </c:pt>
                  <c:pt idx="7">
                    <c:v>Concord</c:v>
                  </c:pt>
                  <c:pt idx="8">
                    <c:v>Concord</c:v>
                  </c:pt>
                  <c:pt idx="9">
                    <c:v>Concord</c:v>
                  </c:pt>
                  <c:pt idx="10">
                    <c:v>Concord</c:v>
                  </c:pt>
                  <c:pt idx="11">
                    <c:v>Concord</c:v>
                  </c:pt>
                  <c:pt idx="12">
                    <c:v>Concord</c:v>
                  </c:pt>
                  <c:pt idx="13">
                    <c:v>Concord</c:v>
                  </c:pt>
                  <c:pt idx="14">
                    <c:v>Concord</c:v>
                  </c:pt>
                  <c:pt idx="15">
                    <c:v>Concord</c:v>
                  </c:pt>
                  <c:pt idx="16">
                    <c:v>Concord</c:v>
                  </c:pt>
                </c:lvl>
              </c:multiLvlStrCache>
            </c:multiLvlStrRef>
          </c:cat>
          <c:val>
            <c:numRef>
              <c:f>'Pivot Tables'!$AB$32:$AB$48</c:f>
              <c:numCache>
                <c:formatCode>General</c:formatCode>
                <c:ptCount val="17"/>
                <c:pt idx="0">
                  <c:v>85</c:v>
                </c:pt>
                <c:pt idx="1">
                  <c:v>41</c:v>
                </c:pt>
                <c:pt idx="2">
                  <c:v>53</c:v>
                </c:pt>
                <c:pt idx="3">
                  <c:v>0</c:v>
                </c:pt>
                <c:pt idx="4">
                  <c:v>0</c:v>
                </c:pt>
                <c:pt idx="5">
                  <c:v>0</c:v>
                </c:pt>
                <c:pt idx="6">
                  <c:v>0</c:v>
                </c:pt>
                <c:pt idx="7">
                  <c:v>0</c:v>
                </c:pt>
                <c:pt idx="8">
                  <c:v>0</c:v>
                </c:pt>
                <c:pt idx="9">
                  <c:v>0</c:v>
                </c:pt>
                <c:pt idx="10">
                  <c:v>0</c:v>
                </c:pt>
                <c:pt idx="11">
                  <c:v>0</c:v>
                </c:pt>
                <c:pt idx="12">
                  <c:v>0</c:v>
                </c:pt>
                <c:pt idx="13">
                  <c:v>23</c:v>
                </c:pt>
                <c:pt idx="14">
                  <c:v>0</c:v>
                </c:pt>
                <c:pt idx="15">
                  <c:v>24</c:v>
                </c:pt>
                <c:pt idx="16">
                  <c:v>34</c:v>
                </c:pt>
              </c:numCache>
            </c:numRef>
          </c:val>
          <c:extLst>
            <c:ext xmlns:c16="http://schemas.microsoft.com/office/drawing/2014/chart" uri="{C3380CC4-5D6E-409C-BE32-E72D297353CC}">
              <c16:uniqueId val="{00000022-E5F5-4745-AA7C-F9B3AD2DB177}"/>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manualLayout>
          <c:xMode val="edge"/>
          <c:yMode val="edge"/>
          <c:x val="0.7032801342311491"/>
          <c:y val="0.20352323773584255"/>
          <c:w val="0.28282709498698877"/>
          <c:h val="0.7676200604163062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7</xdr:row>
      <xdr:rowOff>66675</xdr:rowOff>
    </xdr:from>
    <xdr:to>
      <xdr:col>2</xdr:col>
      <xdr:colOff>628650</xdr:colOff>
      <xdr:row>17</xdr:row>
      <xdr:rowOff>120650</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EFA47623-F8DF-4233-9CD3-B639ACBC94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0" y="1301750"/>
              <a:ext cx="1844221" cy="1826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161926</xdr:rowOff>
    </xdr:from>
    <xdr:to>
      <xdr:col>2</xdr:col>
      <xdr:colOff>619125</xdr:colOff>
      <xdr:row>43</xdr:row>
      <xdr:rowOff>6351</xdr:rowOff>
    </xdr:to>
    <mc:AlternateContent xmlns:mc="http://schemas.openxmlformats.org/markup-compatibility/2006" xmlns:a14="http://schemas.microsoft.com/office/drawing/2010/main">
      <mc:Choice Requires="a14">
        <xdr:graphicFrame macro="">
          <xdr:nvGraphicFramePr>
            <xdr:cNvPr id="22" name="Bucket Name">
              <a:extLst>
                <a:ext uri="{FF2B5EF4-FFF2-40B4-BE49-F238E27FC236}">
                  <a16:creationId xmlns:a16="http://schemas.microsoft.com/office/drawing/2014/main" id="{F59CDDCA-2611-4AE5-B296-B50FA99AB40E}"/>
                </a:ext>
              </a:extLst>
            </xdr:cNvPr>
            <xdr:cNvGraphicFramePr/>
          </xdr:nvGraphicFramePr>
          <xdr:xfrm>
            <a:off x="0" y="0"/>
            <a:ext cx="0" cy="0"/>
          </xdr:xfrm>
          <a:graphic>
            <a:graphicData uri="http://schemas.microsoft.com/office/drawing/2010/slicer">
              <sle:slicer xmlns:sle="http://schemas.microsoft.com/office/drawing/2010/slicer" name="Bucket Name"/>
            </a:graphicData>
          </a:graphic>
        </xdr:graphicFrame>
      </mc:Choice>
      <mc:Fallback xmlns="">
        <xdr:sp macro="" textlink="">
          <xdr:nvSpPr>
            <xdr:cNvPr id="0" name=""/>
            <xdr:cNvSpPr>
              <a:spLocks noTextEdit="1"/>
            </xdr:cNvSpPr>
          </xdr:nvSpPr>
          <xdr:spPr>
            <a:xfrm>
              <a:off x="63500" y="3165930"/>
              <a:ext cx="1834696" cy="4446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82550</xdr:rowOff>
    </xdr:from>
    <xdr:to>
      <xdr:col>2</xdr:col>
      <xdr:colOff>628650</xdr:colOff>
      <xdr:row>7</xdr:row>
      <xdr:rowOff>34925</xdr:rowOff>
    </xdr:to>
    <mc:AlternateContent xmlns:mc="http://schemas.openxmlformats.org/markup-compatibility/2006" xmlns:a14="http://schemas.microsoft.com/office/drawing/2010/main">
      <mc:Choice Requires="a14">
        <xdr:graphicFrame macro="">
          <xdr:nvGraphicFramePr>
            <xdr:cNvPr id="23" name="Site">
              <a:extLst>
                <a:ext uri="{FF2B5EF4-FFF2-40B4-BE49-F238E27FC236}">
                  <a16:creationId xmlns:a16="http://schemas.microsoft.com/office/drawing/2014/main" id="{14A918C3-0021-4A5A-9874-9DF5EDB46D25}"/>
                </a:ext>
              </a:extLst>
            </xdr:cNvPr>
            <xdr:cNvGraphicFramePr/>
          </xdr:nvGraphicFramePr>
          <xdr:xfrm>
            <a:off x="0" y="0"/>
            <a:ext cx="0" cy="0"/>
          </xdr:xfrm>
          <a:graphic>
            <a:graphicData uri="http://schemas.microsoft.com/office/drawing/2010/slicer">
              <sle:slicer xmlns:sle="http://schemas.microsoft.com/office/drawing/2010/slicer" name="Site"/>
            </a:graphicData>
          </a:graphic>
        </xdr:graphicFrame>
      </mc:Choice>
      <mc:Fallback xmlns="">
        <xdr:sp macro="" textlink="">
          <xdr:nvSpPr>
            <xdr:cNvPr id="0" name=""/>
            <xdr:cNvSpPr>
              <a:spLocks noTextEdit="1"/>
            </xdr:cNvSpPr>
          </xdr:nvSpPr>
          <xdr:spPr>
            <a:xfrm>
              <a:off x="76200" y="85725"/>
              <a:ext cx="1831521"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47622</xdr:colOff>
      <xdr:row>0</xdr:row>
      <xdr:rowOff>76198</xdr:rowOff>
    </xdr:from>
    <xdr:to>
      <xdr:col>7</xdr:col>
      <xdr:colOff>238122</xdr:colOff>
      <xdr:row>13</xdr:row>
      <xdr:rowOff>12698</xdr:rowOff>
    </xdr:to>
    <mc:AlternateContent xmlns:mc="http://schemas.openxmlformats.org/markup-compatibility/2006" xmlns:a14="http://schemas.microsoft.com/office/drawing/2010/main">
      <mc:Choice Requires="a14">
        <xdr:graphicFrame macro="">
          <xdr:nvGraphicFramePr>
            <xdr:cNvPr id="24" name="Effective Configuration Days">
              <a:extLst>
                <a:ext uri="{FF2B5EF4-FFF2-40B4-BE49-F238E27FC236}">
                  <a16:creationId xmlns:a16="http://schemas.microsoft.com/office/drawing/2014/main" id="{98A65946-ABD3-4219-9255-1D063222E050}"/>
                </a:ext>
              </a:extLst>
            </xdr:cNvPr>
            <xdr:cNvGraphicFramePr/>
          </xdr:nvGraphicFramePr>
          <xdr:xfrm>
            <a:off x="0" y="0"/>
            <a:ext cx="0" cy="0"/>
          </xdr:xfrm>
          <a:graphic>
            <a:graphicData uri="http://schemas.microsoft.com/office/drawing/2010/slicer">
              <sle:slicer xmlns:sle="http://schemas.microsoft.com/office/drawing/2010/slicer" name="Effective Configuration Days"/>
            </a:graphicData>
          </a:graphic>
        </xdr:graphicFrame>
      </mc:Choice>
      <mc:Fallback xmlns="">
        <xdr:sp macro="" textlink="">
          <xdr:nvSpPr>
            <xdr:cNvPr id="0" name=""/>
            <xdr:cNvSpPr>
              <a:spLocks noTextEdit="1"/>
            </xdr:cNvSpPr>
          </xdr:nvSpPr>
          <xdr:spPr>
            <a:xfrm>
              <a:off x="1969404" y="76198"/>
              <a:ext cx="2745468" cy="223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xdr:colOff>
      <xdr:row>13</xdr:row>
      <xdr:rowOff>63500</xdr:rowOff>
    </xdr:from>
    <xdr:to>
      <xdr:col>7</xdr:col>
      <xdr:colOff>247650</xdr:colOff>
      <xdr:row>26</xdr:row>
      <xdr:rowOff>0</xdr:rowOff>
    </xdr:to>
    <mc:AlternateContent xmlns:mc="http://schemas.openxmlformats.org/markup-compatibility/2006" xmlns:a14="http://schemas.microsoft.com/office/drawing/2010/main">
      <mc:Choice Requires="a14">
        <xdr:graphicFrame macro="">
          <xdr:nvGraphicFramePr>
            <xdr:cNvPr id="25" name="Peer Review Days">
              <a:extLst>
                <a:ext uri="{FF2B5EF4-FFF2-40B4-BE49-F238E27FC236}">
                  <a16:creationId xmlns:a16="http://schemas.microsoft.com/office/drawing/2014/main" id="{771160D3-9197-4ED6-94F2-F05F822BCD8C}"/>
                </a:ext>
              </a:extLst>
            </xdr:cNvPr>
            <xdr:cNvGraphicFramePr/>
          </xdr:nvGraphicFramePr>
          <xdr:xfrm>
            <a:off x="0" y="0"/>
            <a:ext cx="0" cy="0"/>
          </xdr:xfrm>
          <a:graphic>
            <a:graphicData uri="http://schemas.microsoft.com/office/drawing/2010/slicer">
              <sle:slicer xmlns:sle="http://schemas.microsoft.com/office/drawing/2010/slicer" name="Peer Review Days"/>
            </a:graphicData>
          </a:graphic>
        </xdr:graphicFrame>
      </mc:Choice>
      <mc:Fallback xmlns="">
        <xdr:sp macro="" textlink="">
          <xdr:nvSpPr>
            <xdr:cNvPr id="0" name=""/>
            <xdr:cNvSpPr>
              <a:spLocks noTextEdit="1"/>
            </xdr:cNvSpPr>
          </xdr:nvSpPr>
          <xdr:spPr>
            <a:xfrm>
              <a:off x="1975757" y="2366282"/>
              <a:ext cx="2748643"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53975</xdr:colOff>
      <xdr:row>26</xdr:row>
      <xdr:rowOff>44450</xdr:rowOff>
    </xdr:from>
    <xdr:to>
      <xdr:col>7</xdr:col>
      <xdr:colOff>244475</xdr:colOff>
      <xdr:row>38</xdr:row>
      <xdr:rowOff>158750</xdr:rowOff>
    </xdr:to>
    <mc:AlternateContent xmlns:mc="http://schemas.openxmlformats.org/markup-compatibility/2006" xmlns:a14="http://schemas.microsoft.com/office/drawing/2010/main">
      <mc:Choice Requires="a14">
        <xdr:graphicFrame macro="">
          <xdr:nvGraphicFramePr>
            <xdr:cNvPr id="26" name="Effective Peer Review Rework Days">
              <a:extLst>
                <a:ext uri="{FF2B5EF4-FFF2-40B4-BE49-F238E27FC236}">
                  <a16:creationId xmlns:a16="http://schemas.microsoft.com/office/drawing/2014/main" id="{D7089494-F55E-4032-8DED-973F61C66DC0}"/>
                </a:ext>
              </a:extLst>
            </xdr:cNvPr>
            <xdr:cNvGraphicFramePr/>
          </xdr:nvGraphicFramePr>
          <xdr:xfrm>
            <a:off x="0" y="0"/>
            <a:ext cx="0" cy="0"/>
          </xdr:xfrm>
          <a:graphic>
            <a:graphicData uri="http://schemas.microsoft.com/office/drawing/2010/slicer">
              <sle:slicer xmlns:sle="http://schemas.microsoft.com/office/drawing/2010/slicer" name="Effective Peer Review Rework Days"/>
            </a:graphicData>
          </a:graphic>
        </xdr:graphicFrame>
      </mc:Choice>
      <mc:Fallback xmlns="">
        <xdr:sp macro="" textlink="">
          <xdr:nvSpPr>
            <xdr:cNvPr id="0" name=""/>
            <xdr:cNvSpPr>
              <a:spLocks noTextEdit="1"/>
            </xdr:cNvSpPr>
          </xdr:nvSpPr>
          <xdr:spPr>
            <a:xfrm>
              <a:off x="1972582" y="4646839"/>
              <a:ext cx="2748643" cy="2233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304798</xdr:colOff>
      <xdr:row>13</xdr:row>
      <xdr:rowOff>82550</xdr:rowOff>
    </xdr:from>
    <xdr:to>
      <xdr:col>11</xdr:col>
      <xdr:colOff>495298</xdr:colOff>
      <xdr:row>26</xdr:row>
      <xdr:rowOff>15875</xdr:rowOff>
    </xdr:to>
    <mc:AlternateContent xmlns:mc="http://schemas.openxmlformats.org/markup-compatibility/2006" xmlns:a14="http://schemas.microsoft.com/office/drawing/2010/main">
      <mc:Choice Requires="a14">
        <xdr:graphicFrame macro="">
          <xdr:nvGraphicFramePr>
            <xdr:cNvPr id="27" name="Client Verification Days">
              <a:extLst>
                <a:ext uri="{FF2B5EF4-FFF2-40B4-BE49-F238E27FC236}">
                  <a16:creationId xmlns:a16="http://schemas.microsoft.com/office/drawing/2014/main" id="{2B5AC0FB-4D70-425E-A950-D55CF8CADE05}"/>
                </a:ext>
              </a:extLst>
            </xdr:cNvPr>
            <xdr:cNvGraphicFramePr/>
          </xdr:nvGraphicFramePr>
          <xdr:xfrm>
            <a:off x="0" y="0"/>
            <a:ext cx="0" cy="0"/>
          </xdr:xfrm>
          <a:graphic>
            <a:graphicData uri="http://schemas.microsoft.com/office/drawing/2010/slicer">
              <sle:slicer xmlns:sle="http://schemas.microsoft.com/office/drawing/2010/slicer" name="Client Verification Days"/>
            </a:graphicData>
          </a:graphic>
        </xdr:graphicFrame>
      </mc:Choice>
      <mc:Fallback xmlns="">
        <xdr:sp macro="" textlink="">
          <xdr:nvSpPr>
            <xdr:cNvPr id="0" name=""/>
            <xdr:cNvSpPr>
              <a:spLocks noTextEdit="1"/>
            </xdr:cNvSpPr>
          </xdr:nvSpPr>
          <xdr:spPr>
            <a:xfrm>
              <a:off x="4781548" y="2385332"/>
              <a:ext cx="2748643"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301625</xdr:colOff>
      <xdr:row>26</xdr:row>
      <xdr:rowOff>63500</xdr:rowOff>
    </xdr:from>
    <xdr:to>
      <xdr:col>11</xdr:col>
      <xdr:colOff>495300</xdr:colOff>
      <xdr:row>39</xdr:row>
      <xdr:rowOff>0</xdr:rowOff>
    </xdr:to>
    <mc:AlternateContent xmlns:mc="http://schemas.openxmlformats.org/markup-compatibility/2006" xmlns:a14="http://schemas.microsoft.com/office/drawing/2010/main">
      <mc:Choice Requires="a14">
        <xdr:graphicFrame macro="">
          <xdr:nvGraphicFramePr>
            <xdr:cNvPr id="28" name="Effective Rework Client Verification Days">
              <a:extLst>
                <a:ext uri="{FF2B5EF4-FFF2-40B4-BE49-F238E27FC236}">
                  <a16:creationId xmlns:a16="http://schemas.microsoft.com/office/drawing/2014/main" id="{E1D1BB73-A078-48EB-8CCE-6C6B316B7224}"/>
                </a:ext>
              </a:extLst>
            </xdr:cNvPr>
            <xdr:cNvGraphicFramePr/>
          </xdr:nvGraphicFramePr>
          <xdr:xfrm>
            <a:off x="0" y="0"/>
            <a:ext cx="0" cy="0"/>
          </xdr:xfrm>
          <a:graphic>
            <a:graphicData uri="http://schemas.microsoft.com/office/drawing/2010/slicer">
              <sle:slicer xmlns:sle="http://schemas.microsoft.com/office/drawing/2010/slicer" name="Effective Rework Client Verification Days"/>
            </a:graphicData>
          </a:graphic>
        </xdr:graphicFrame>
      </mc:Choice>
      <mc:Fallback xmlns="">
        <xdr:sp macro="" textlink="">
          <xdr:nvSpPr>
            <xdr:cNvPr id="0" name=""/>
            <xdr:cNvSpPr>
              <a:spLocks noTextEdit="1"/>
            </xdr:cNvSpPr>
          </xdr:nvSpPr>
          <xdr:spPr>
            <a:xfrm>
              <a:off x="4778375" y="4665889"/>
              <a:ext cx="2751818" cy="22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295274</xdr:colOff>
      <xdr:row>0</xdr:row>
      <xdr:rowOff>76200</xdr:rowOff>
    </xdr:from>
    <xdr:to>
      <xdr:col>11</xdr:col>
      <xdr:colOff>485774</xdr:colOff>
      <xdr:row>13</xdr:row>
      <xdr:rowOff>6350</xdr:rowOff>
    </xdr:to>
    <mc:AlternateContent xmlns:mc="http://schemas.openxmlformats.org/markup-compatibility/2006" xmlns:a14="http://schemas.microsoft.com/office/drawing/2010/main">
      <mc:Choice Requires="a14">
        <xdr:graphicFrame macro="">
          <xdr:nvGraphicFramePr>
            <xdr:cNvPr id="29" name="Effective Demo Rework Days">
              <a:extLst>
                <a:ext uri="{FF2B5EF4-FFF2-40B4-BE49-F238E27FC236}">
                  <a16:creationId xmlns:a16="http://schemas.microsoft.com/office/drawing/2014/main" id="{E555EF38-91DF-41D1-B4AE-23E62069A876}"/>
                </a:ext>
              </a:extLst>
            </xdr:cNvPr>
            <xdr:cNvGraphicFramePr/>
          </xdr:nvGraphicFramePr>
          <xdr:xfrm>
            <a:off x="0" y="0"/>
            <a:ext cx="0" cy="0"/>
          </xdr:xfrm>
          <a:graphic>
            <a:graphicData uri="http://schemas.microsoft.com/office/drawing/2010/slicer">
              <sle:slicer xmlns:sle="http://schemas.microsoft.com/office/drawing/2010/slicer" name="Effective Demo Rework Days"/>
            </a:graphicData>
          </a:graphic>
        </xdr:graphicFrame>
      </mc:Choice>
      <mc:Fallback xmlns="">
        <xdr:sp macro="" textlink="">
          <xdr:nvSpPr>
            <xdr:cNvPr id="0" name=""/>
            <xdr:cNvSpPr>
              <a:spLocks noTextEdit="1"/>
            </xdr:cNvSpPr>
          </xdr:nvSpPr>
          <xdr:spPr>
            <a:xfrm>
              <a:off x="4775199" y="76200"/>
              <a:ext cx="2745468" cy="2229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628654</xdr:colOff>
      <xdr:row>1</xdr:row>
      <xdr:rowOff>123825</xdr:rowOff>
    </xdr:from>
    <xdr:to>
      <xdr:col>12</xdr:col>
      <xdr:colOff>8216904</xdr:colOff>
      <xdr:row>26</xdr:row>
      <xdr:rowOff>171450</xdr:rowOff>
    </xdr:to>
    <xdr:graphicFrame macro="">
      <xdr:nvGraphicFramePr>
        <xdr:cNvPr id="30" name="Chart 29">
          <a:extLst>
            <a:ext uri="{FF2B5EF4-FFF2-40B4-BE49-F238E27FC236}">
              <a16:creationId xmlns:a16="http://schemas.microsoft.com/office/drawing/2014/main" id="{E007AE6E-E556-46B3-B37A-ADEE08BF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619124</xdr:colOff>
      <xdr:row>27</xdr:row>
      <xdr:rowOff>82550</xdr:rowOff>
    </xdr:from>
    <xdr:to>
      <xdr:col>21</xdr:col>
      <xdr:colOff>2528455</xdr:colOff>
      <xdr:row>68</xdr:row>
      <xdr:rowOff>38100</xdr:rowOff>
    </xdr:to>
    <xdr:graphicFrame macro="">
      <xdr:nvGraphicFramePr>
        <xdr:cNvPr id="31" name="Chart 30">
          <a:extLst>
            <a:ext uri="{FF2B5EF4-FFF2-40B4-BE49-F238E27FC236}">
              <a16:creationId xmlns:a16="http://schemas.microsoft.com/office/drawing/2014/main" id="{4259127C-0C27-4D4C-91E8-8F48431AC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299829</xdr:colOff>
      <xdr:row>39</xdr:row>
      <xdr:rowOff>49838</xdr:rowOff>
    </xdr:from>
    <xdr:to>
      <xdr:col>11</xdr:col>
      <xdr:colOff>493260</xdr:colOff>
      <xdr:row>51</xdr:row>
      <xdr:rowOff>144111</xdr:rowOff>
    </xdr:to>
    <mc:AlternateContent xmlns:mc="http://schemas.openxmlformats.org/markup-compatibility/2006" xmlns:a14="http://schemas.microsoft.com/office/drawing/2010/main">
      <mc:Choice Requires="a14">
        <xdr:graphicFrame macro="">
          <xdr:nvGraphicFramePr>
            <xdr:cNvPr id="2" name="Complete Bucket Time">
              <a:extLst>
                <a:ext uri="{FF2B5EF4-FFF2-40B4-BE49-F238E27FC236}">
                  <a16:creationId xmlns:a16="http://schemas.microsoft.com/office/drawing/2014/main" id="{78CA33C1-7971-D26C-9E75-B247FB6FB303}"/>
                </a:ext>
              </a:extLst>
            </xdr:cNvPr>
            <xdr:cNvGraphicFramePr/>
          </xdr:nvGraphicFramePr>
          <xdr:xfrm>
            <a:off x="0" y="0"/>
            <a:ext cx="0" cy="0"/>
          </xdr:xfrm>
          <a:graphic>
            <a:graphicData uri="http://schemas.microsoft.com/office/drawing/2010/slicer">
              <sle:slicer xmlns:sle="http://schemas.microsoft.com/office/drawing/2010/slicer" name="Complete Bucket Time"/>
            </a:graphicData>
          </a:graphic>
        </xdr:graphicFrame>
      </mc:Choice>
      <mc:Fallback xmlns="">
        <xdr:sp macro="" textlink="">
          <xdr:nvSpPr>
            <xdr:cNvPr id="0" name=""/>
            <xdr:cNvSpPr>
              <a:spLocks noTextEdit="1"/>
            </xdr:cNvSpPr>
          </xdr:nvSpPr>
          <xdr:spPr>
            <a:xfrm>
              <a:off x="4767801" y="7039134"/>
              <a:ext cx="275154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288810</xdr:colOff>
      <xdr:row>64</xdr:row>
      <xdr:rowOff>171864</xdr:rowOff>
    </xdr:from>
    <xdr:to>
      <xdr:col>11</xdr:col>
      <xdr:colOff>485416</xdr:colOff>
      <xdr:row>77</xdr:row>
      <xdr:rowOff>76614</xdr:rowOff>
    </xdr:to>
    <mc:AlternateContent xmlns:mc="http://schemas.openxmlformats.org/markup-compatibility/2006" xmlns:a14="http://schemas.microsoft.com/office/drawing/2010/main">
      <mc:Choice Requires="a14">
        <xdr:graphicFrame macro="">
          <xdr:nvGraphicFramePr>
            <xdr:cNvPr id="3" name="Peer Review Rework Bucket Time">
              <a:extLst>
                <a:ext uri="{FF2B5EF4-FFF2-40B4-BE49-F238E27FC236}">
                  <a16:creationId xmlns:a16="http://schemas.microsoft.com/office/drawing/2014/main" id="{3811ABF6-5F57-FA9C-653D-9033863FFDF7}"/>
                </a:ext>
              </a:extLst>
            </xdr:cNvPr>
            <xdr:cNvGraphicFramePr/>
          </xdr:nvGraphicFramePr>
          <xdr:xfrm>
            <a:off x="0" y="0"/>
            <a:ext cx="0" cy="0"/>
          </xdr:xfrm>
          <a:graphic>
            <a:graphicData uri="http://schemas.microsoft.com/office/drawing/2010/slicer">
              <sle:slicer xmlns:sle="http://schemas.microsoft.com/office/drawing/2010/slicer" name="Peer Review Rework Bucket Time"/>
            </a:graphicData>
          </a:graphic>
        </xdr:graphicFrame>
      </mc:Choice>
      <mc:Fallback xmlns="">
        <xdr:sp macro="" textlink="">
          <xdr:nvSpPr>
            <xdr:cNvPr id="0" name=""/>
            <xdr:cNvSpPr>
              <a:spLocks noTextEdit="1"/>
            </xdr:cNvSpPr>
          </xdr:nvSpPr>
          <xdr:spPr>
            <a:xfrm>
              <a:off x="4759957" y="11646688"/>
              <a:ext cx="275472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34335</xdr:colOff>
      <xdr:row>39</xdr:row>
      <xdr:rowOff>50785</xdr:rowOff>
    </xdr:from>
    <xdr:to>
      <xdr:col>7</xdr:col>
      <xdr:colOff>218241</xdr:colOff>
      <xdr:row>51</xdr:row>
      <xdr:rowOff>145058</xdr:rowOff>
    </xdr:to>
    <mc:AlternateContent xmlns:mc="http://schemas.openxmlformats.org/markup-compatibility/2006" xmlns:a14="http://schemas.microsoft.com/office/drawing/2010/main">
      <mc:Choice Requires="a14">
        <xdr:graphicFrame macro="">
          <xdr:nvGraphicFramePr>
            <xdr:cNvPr id="4" name="Ready for Demo Bucket Time">
              <a:extLst>
                <a:ext uri="{FF2B5EF4-FFF2-40B4-BE49-F238E27FC236}">
                  <a16:creationId xmlns:a16="http://schemas.microsoft.com/office/drawing/2014/main" id="{D7808104-6B35-B4D0-BF99-FE68AA65A6ED}"/>
                </a:ext>
              </a:extLst>
            </xdr:cNvPr>
            <xdr:cNvGraphicFramePr/>
          </xdr:nvGraphicFramePr>
          <xdr:xfrm>
            <a:off x="0" y="0"/>
            <a:ext cx="0" cy="0"/>
          </xdr:xfrm>
          <a:graphic>
            <a:graphicData uri="http://schemas.microsoft.com/office/drawing/2010/slicer">
              <sle:slicer xmlns:sle="http://schemas.microsoft.com/office/drawing/2010/slicer" name="Ready for Demo Bucket Time"/>
            </a:graphicData>
          </a:graphic>
        </xdr:graphicFrame>
      </mc:Choice>
      <mc:Fallback xmlns="">
        <xdr:sp macro="" textlink="">
          <xdr:nvSpPr>
            <xdr:cNvPr id="0" name=""/>
            <xdr:cNvSpPr>
              <a:spLocks noTextEdit="1"/>
            </xdr:cNvSpPr>
          </xdr:nvSpPr>
          <xdr:spPr>
            <a:xfrm>
              <a:off x="1947366" y="7040081"/>
              <a:ext cx="2745197" cy="2245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30372</xdr:colOff>
      <xdr:row>64</xdr:row>
      <xdr:rowOff>177874</xdr:rowOff>
    </xdr:from>
    <xdr:to>
      <xdr:col>7</xdr:col>
      <xdr:colOff>217453</xdr:colOff>
      <xdr:row>77</xdr:row>
      <xdr:rowOff>82624</xdr:rowOff>
    </xdr:to>
    <mc:AlternateContent xmlns:mc="http://schemas.openxmlformats.org/markup-compatibility/2006" xmlns:a14="http://schemas.microsoft.com/office/drawing/2010/main">
      <mc:Choice Requires="a14">
        <xdr:graphicFrame macro="">
          <xdr:nvGraphicFramePr>
            <xdr:cNvPr id="5" name="Demo Bucket Time">
              <a:extLst>
                <a:ext uri="{FF2B5EF4-FFF2-40B4-BE49-F238E27FC236}">
                  <a16:creationId xmlns:a16="http://schemas.microsoft.com/office/drawing/2014/main" id="{8620E942-2CA1-F11E-80DC-8CEB1F3AE6A0}"/>
                </a:ext>
              </a:extLst>
            </xdr:cNvPr>
            <xdr:cNvGraphicFramePr/>
          </xdr:nvGraphicFramePr>
          <xdr:xfrm>
            <a:off x="0" y="0"/>
            <a:ext cx="0" cy="0"/>
          </xdr:xfrm>
          <a:graphic>
            <a:graphicData uri="http://schemas.microsoft.com/office/drawing/2010/slicer">
              <sle:slicer xmlns:sle="http://schemas.microsoft.com/office/drawing/2010/slicer" name="Demo Bucket Time"/>
            </a:graphicData>
          </a:graphic>
        </xdr:graphicFrame>
      </mc:Choice>
      <mc:Fallback xmlns="">
        <xdr:sp macro="" textlink="">
          <xdr:nvSpPr>
            <xdr:cNvPr id="0" name=""/>
            <xdr:cNvSpPr>
              <a:spLocks noTextEdit="1"/>
            </xdr:cNvSpPr>
          </xdr:nvSpPr>
          <xdr:spPr>
            <a:xfrm>
              <a:off x="1943403" y="11655873"/>
              <a:ext cx="2748372" cy="2235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30872</xdr:colOff>
      <xdr:row>52</xdr:row>
      <xdr:rowOff>21264</xdr:rowOff>
    </xdr:from>
    <xdr:to>
      <xdr:col>7</xdr:col>
      <xdr:colOff>217953</xdr:colOff>
      <xdr:row>64</xdr:row>
      <xdr:rowOff>102837</xdr:rowOff>
    </xdr:to>
    <mc:AlternateContent xmlns:mc="http://schemas.openxmlformats.org/markup-compatibility/2006" xmlns:a14="http://schemas.microsoft.com/office/drawing/2010/main">
      <mc:Choice Requires="a14">
        <xdr:graphicFrame macro="">
          <xdr:nvGraphicFramePr>
            <xdr:cNvPr id="6" name="Ready for Client Verification Bucket Time">
              <a:extLst>
                <a:ext uri="{FF2B5EF4-FFF2-40B4-BE49-F238E27FC236}">
                  <a16:creationId xmlns:a16="http://schemas.microsoft.com/office/drawing/2014/main" id="{A1968051-2975-F6AB-A306-453E44827730}"/>
                </a:ext>
              </a:extLst>
            </xdr:cNvPr>
            <xdr:cNvGraphicFramePr/>
          </xdr:nvGraphicFramePr>
          <xdr:xfrm>
            <a:off x="0" y="0"/>
            <a:ext cx="0" cy="0"/>
          </xdr:xfrm>
          <a:graphic>
            <a:graphicData uri="http://schemas.microsoft.com/office/drawing/2010/slicer">
              <sle:slicer xmlns:sle="http://schemas.microsoft.com/office/drawing/2010/slicer" name="Ready for Client Verification Bucket Time"/>
            </a:graphicData>
          </a:graphic>
        </xdr:graphicFrame>
      </mc:Choice>
      <mc:Fallback xmlns="">
        <xdr:sp macro="" textlink="">
          <xdr:nvSpPr>
            <xdr:cNvPr id="0" name=""/>
            <xdr:cNvSpPr>
              <a:spLocks noTextEdit="1"/>
            </xdr:cNvSpPr>
          </xdr:nvSpPr>
          <xdr:spPr>
            <a:xfrm>
              <a:off x="1943903" y="9344558"/>
              <a:ext cx="2748372"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287256</xdr:colOff>
      <xdr:row>52</xdr:row>
      <xdr:rowOff>22183</xdr:rowOff>
    </xdr:from>
    <xdr:to>
      <xdr:col>11</xdr:col>
      <xdr:colOff>477512</xdr:colOff>
      <xdr:row>64</xdr:row>
      <xdr:rowOff>103756</xdr:rowOff>
    </xdr:to>
    <mc:AlternateContent xmlns:mc="http://schemas.openxmlformats.org/markup-compatibility/2006" xmlns:a14="http://schemas.microsoft.com/office/drawing/2010/main">
      <mc:Choice Requires="a14">
        <xdr:graphicFrame macro="">
          <xdr:nvGraphicFramePr>
            <xdr:cNvPr id="7" name="Verification Complete Bucket Time">
              <a:extLst>
                <a:ext uri="{FF2B5EF4-FFF2-40B4-BE49-F238E27FC236}">
                  <a16:creationId xmlns:a16="http://schemas.microsoft.com/office/drawing/2014/main" id="{6CAC5EE1-7EA9-FD3B-97E8-F7FF86F49733}"/>
                </a:ext>
              </a:extLst>
            </xdr:cNvPr>
            <xdr:cNvGraphicFramePr/>
          </xdr:nvGraphicFramePr>
          <xdr:xfrm>
            <a:off x="0" y="0"/>
            <a:ext cx="0" cy="0"/>
          </xdr:xfrm>
          <a:graphic>
            <a:graphicData uri="http://schemas.microsoft.com/office/drawing/2010/slicer">
              <sle:slicer xmlns:sle="http://schemas.microsoft.com/office/drawing/2010/slicer" name="Verification Complete Bucket Time"/>
            </a:graphicData>
          </a:graphic>
        </xdr:graphicFrame>
      </mc:Choice>
      <mc:Fallback xmlns="">
        <xdr:sp macro="" textlink="">
          <xdr:nvSpPr>
            <xdr:cNvPr id="0" name=""/>
            <xdr:cNvSpPr>
              <a:spLocks noTextEdit="1"/>
            </xdr:cNvSpPr>
          </xdr:nvSpPr>
          <xdr:spPr>
            <a:xfrm>
              <a:off x="4758403" y="9345477"/>
              <a:ext cx="2745197" cy="2236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8353611</xdr:colOff>
      <xdr:row>1</xdr:row>
      <xdr:rowOff>122890</xdr:rowOff>
    </xdr:from>
    <xdr:to>
      <xdr:col>13</xdr:col>
      <xdr:colOff>2124261</xdr:colOff>
      <xdr:row>26</xdr:row>
      <xdr:rowOff>170515</xdr:rowOff>
    </xdr:to>
    <xdr:graphicFrame macro="">
      <xdr:nvGraphicFramePr>
        <xdr:cNvPr id="10" name="Chart 9">
          <a:extLst>
            <a:ext uri="{FF2B5EF4-FFF2-40B4-BE49-F238E27FC236}">
              <a16:creationId xmlns:a16="http://schemas.microsoft.com/office/drawing/2014/main" id="{C7EAB3D9-318E-4DFD-B7B3-C9565666C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37809</xdr:colOff>
      <xdr:row>1</xdr:row>
      <xdr:rowOff>122086</xdr:rowOff>
    </xdr:from>
    <xdr:to>
      <xdr:col>16</xdr:col>
      <xdr:colOff>2174584</xdr:colOff>
      <xdr:row>26</xdr:row>
      <xdr:rowOff>169711</xdr:rowOff>
    </xdr:to>
    <xdr:graphicFrame macro="">
      <xdr:nvGraphicFramePr>
        <xdr:cNvPr id="8" name="Chart 7">
          <a:extLst>
            <a:ext uri="{FF2B5EF4-FFF2-40B4-BE49-F238E27FC236}">
              <a16:creationId xmlns:a16="http://schemas.microsoft.com/office/drawing/2014/main" id="{EE1C853E-C668-4FB5-AC7E-B423993D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2293259</xdr:colOff>
      <xdr:row>1</xdr:row>
      <xdr:rowOff>122340</xdr:rowOff>
    </xdr:from>
    <xdr:to>
      <xdr:col>19</xdr:col>
      <xdr:colOff>626384</xdr:colOff>
      <xdr:row>26</xdr:row>
      <xdr:rowOff>169965</xdr:rowOff>
    </xdr:to>
    <xdr:graphicFrame macro="">
      <xdr:nvGraphicFramePr>
        <xdr:cNvPr id="9" name="Chart 8">
          <a:extLst>
            <a:ext uri="{FF2B5EF4-FFF2-40B4-BE49-F238E27FC236}">
              <a16:creationId xmlns:a16="http://schemas.microsoft.com/office/drawing/2014/main" id="{89362C77-9047-4D4C-AF89-F1207D5BD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764411</xdr:colOff>
      <xdr:row>1</xdr:row>
      <xdr:rowOff>124522</xdr:rowOff>
    </xdr:from>
    <xdr:to>
      <xdr:col>21</xdr:col>
      <xdr:colOff>2488436</xdr:colOff>
      <xdr:row>26</xdr:row>
      <xdr:rowOff>172147</xdr:rowOff>
    </xdr:to>
    <xdr:graphicFrame macro="">
      <xdr:nvGraphicFramePr>
        <xdr:cNvPr id="12" name="Chart 11">
          <a:extLst>
            <a:ext uri="{FF2B5EF4-FFF2-40B4-BE49-F238E27FC236}">
              <a16:creationId xmlns:a16="http://schemas.microsoft.com/office/drawing/2014/main" id="{41F8B06C-CECC-4AE0-AD91-0313580C2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 Blanco" refreshedDate="45509.557649884257" createdVersion="8" refreshedVersion="8" minRefreshableVersion="3" recordCount="805" xr:uid="{1EF02A92-806E-4BA4-A890-448397DD3D28}">
  <cacheSource type="worksheet">
    <worksheetSource name="Tasks"/>
  </cacheSource>
  <cacheFields count="52">
    <cacheField name="Task ID" numFmtId="0">
      <sharedItems/>
    </cacheField>
    <cacheField name="Task Name" numFmtId="0">
      <sharedItems count="876">
        <s v="Instrument Type: Gauge Block Set"/>
        <s v="Instrument Type: BioSafety Cabinet"/>
        <s v="Product, Product Variant, Sample Plan Leaflet PPM"/>
        <s v="Product, Product Variant, Sample Plan Carton PPM"/>
        <s v="Product, Product Variant, Sample Plan Label PPM"/>
        <s v="Product, Product Variant, Sampling plan for Corrugated PPM"/>
        <s v="Micro Equipment Generic Cleaning Method"/>
        <s v="PPM General Information"/>
        <s v="Leaflet PPM Dimensional Inspection"/>
        <s v="Carton PPM Dimensional Inspection"/>
        <s v="   EZ-Fit Manifold 6-place Millipore EZFITSAM6"/>
        <s v="   TE-0055AA Incubator Darwin Chambers TE-0055AA"/>
        <s v="   PH-084AA Reach-In Stability Chamber Darwin Chambers PH-084AA"/>
        <s v="   Glove Integrity Tester (GIT) MK"/>
        <s v="   Isolator Skan Spectra"/>
        <s v="   Turbidimeter Hach TL2350"/>
        <s v="   Polarimeter Rudolph Autopol III"/>
        <s v="   Osmometer Tech Pro Advanced Instrument Tech Pro / Model #10513"/>
        <s v="   Cary UV/Vis Spectrophotometer Agilent G9871A"/>
        <s v="   HIAC Particle Counter Beckman Coulter 9703+"/>
        <s v="   My Spin 12 mini Centrifuge Fisher Scientific Catalog # 80863018"/>
        <s v="   Research Grade Stereo Zoom Microscope Fisher Scientific Vendor Catalog # 3000014"/>
        <s v="   Advanced Research Grade Upright Microscope Fisher Scientific Vendor Catalog # 3000108"/>
        <s v="   Colony Counter Cole Parmer Catalog # 1421204"/>
        <s v="Calibration Method - Isolator Skan Spectra"/>
        <s v="Calibration Method - Turbidimeter Hach TL2350"/>
        <s v="Calibration Method - Polarimeter Rudolph Autopol III"/>
        <s v="   Calibration Method - Osmometer Tech Pro Advanced Instrument Tech Pro / Model #10513"/>
        <s v=" Calibration Method - Cary UV/Vis Spectrophotometer Agilent G9871A"/>
        <s v="Calibration Method - HIAC Particle Counter Beckman Coulter 9703+"/>
        <s v="   Chloride Identification for Hydrochloric Acid (ID B - EP)"/>
        <s v="   Stage 2 Testing by LC/MS for Unspecified Impurity Testing of Tirzepatide"/>
        <s v="   Sodium Hydroxide Concentration by Titration"/>
        <s v="   Identification pH for Sodium Hydroxide"/>
        <s v="   Identification pH for Hydrochloric Acid (ID A - EP)"/>
        <s v="   Hydrochloric Acid Concentration by Titration (ID C - EP)"/>
        <s v="   Microbial Enumeration Tests for Specified Organisms (Water Soluble Items)"/>
        <s v="   Sulfate Determination in Dibasic Sodium Phosphate (EP)"/>
        <s v="   Determination of Insoluble Substances in Sodium Phosphate Dibasic (JP)"/>
        <s v="   Determination of Insoluble Substances in Sodium Phosphate Dibasic (USP)"/>
        <s v="   Determination of Reducing Substances in Dibasic Sodium Phosphate (EP)"/>
        <s v="   Appearance of Solution - Color and Clarity for Dibasic Sodium Phosphate Crystal (EP)"/>
        <s v="   ID by Alkalinity (JP)"/>
        <s v="   pH determination of Dibasic Sodium Phosphate (JP)"/>
        <s v="   Volatiles for Loss on Drying for Dibasic Sodium Phosphate (USP)"/>
        <s v="   Iron Determination in Dibasic Sodium Phosphate (EP)"/>
        <s v="   Determination of Heavy Metals"/>
        <s v="   Determination of Sodium Phosphate in Dibasic Sodium Phosphate (USP)"/>
        <s v="   Chloride Determination in Dibasic Sodium Phosphate"/>
        <s v="   Determination of Carbonate in Dibasic Sodium Phosphate"/>
        <s v="   Bacterial Endotoxin Test by Kinetic Chromogenic Method"/>
        <s v="   B10539: Arsenic Determination in Raw Materials"/>
        <s v="   JP 4.05: Total Aerobic Microbial CountTotal Combined Yeasts and Mold Counts"/>
        <s v="   JP 2.48: Determination of Water Content"/>
        <s v="   G2255: Determination of Residual Solvents in Tirzepatide"/>
        <s v="   G1907: Dye Ingress Container Closure Integrity Method for Liquid Drug Products"/>
        <s v="   CON-CC00114**: Conductivity Analysis of the Water by USP method"/>
        <s v="TBD - Sodium Identification for Sodium Hydroxide"/>
        <s v="TBD - Sodium Identification for Dibasic Sodium Phosphate (JP)"/>
        <s v="TBD - Sodium Identification for Dibasic Sodium Phosphate (USP)"/>
        <s v="TBD - Identification of Phosphate in Dibasic Sodium Phosphate (EP)"/>
        <s v="TBD - Sodium Identification for Sodium Chloride (JP)"/>
        <s v="TBD - Sodium Identification for Sodium Chloride (EP)"/>
        <s v="TBD - Chloride Identification for Sodium Chloride (JP)"/>
        <s v="TBD - Chloride Identification for Sodium Chloride (EP)"/>
        <s v="PS1506 (Full Item Code TBD) - Placeholder for R8Wet PV Semi-Finished"/>
        <s v="PS1495 (Full Item Code TBD) - Placeholder for R8Wet PV Semi-Finished"/>
        <s v="PS1484 (Full Item Code TBD) - Placeholder for R8Wet PV Semi-Finished"/>
        <s v="PS1471 (Full Item Code TBD) - Placeholder for R8Wet PV Semi-Finished"/>
        <s v="PS1462 (Full Item Code TBD) - Placeholder for R8Wet PV Semi-Finished"/>
        <s v="PS1457 (Full Item Code TBD) - Placeholder for R8Wet PV Semi-Finished"/>
        <s v="PS4170 (Full Item Code TBD) - Tirzepatide Syringe (2.5 mg/0.5 mL) Finished Goods"/>
        <s v="PS4043 (Full Item Code TBD) - Tirzepatide Syringe (5 mg/0.5 mL) Finished Goods"/>
        <s v="PS3837 (Full Item Code TBD) - Tirzepatide Syringe (7.5 mg/0.5 mL) Finished Goods"/>
        <s v="PS3681 (Full Item Code TBD) - Tirzepatide Syringe (10 mg/0.5 mL) Finished Goods"/>
        <s v="PS3516 (Full Item Code TBD) - Tirzepatide Syringe (12.5 mg/0.5 mL) Finished Goods"/>
        <s v="PS3325 (Full Item Code TBD) - Tirzepatide Syringe (15 mg/0.5 mL) Finished Goods"/>
        <s v="QA057S - Sodium Hydroxide Incoming Material"/>
        <s v="QA029M - Hydrochloric Acid Incoming Material"/>
        <s v="QA048G - Disodium Phosphate Incoming Material"/>
        <s v="QA0698Q - Tirzepatide Drug Substance Incoming Material"/>
        <s v="QA048GV1E - Disodium Phosphate Incoming Material"/>
        <s v="TBD - Placeholder for R8Wet PQ Semi-Finished"/>
        <s v="B11081 - Genetic Microbial Identification"/>
        <s v="Update Instrument Master Data to link updated worksheet"/>
        <s v="A00158 - Physical Inspection"/>
        <s v="B13167 - Filled Syringe Glide Force Test Method"/>
        <s v="B02786 - Residual TOC for Swabs"/>
        <s v="CC00001 - Volume in Container of Parenteral Preparations"/>
        <s v="CC00331 - Visible and Physical Appearance"/>
        <s v="B06909 - Sterility Testing"/>
        <s v="CC00141 - pH Determination for monoclonal antibody (MAB) Drug Product"/>
        <s v="B10827 - Examination by Particulate Matter"/>
        <s v="G2132 - High Molecular Weight Species of Tirzepatide Drug Substance and Drug Product by Size Exclusion HPLC"/>
        <s v="A00147 - Degree of Coloration in Liquids"/>
        <s v="CC00156 - Determination of Clarity by Ratio Turbidimeter"/>
        <s v="CC00007 - Microbial Enumeration Tests - Before Filtration Bioburden"/>
        <s v="G2125 - Determination of Tirzepatide peptide concentration by UV-Vis Spectrophotometry"/>
        <s v="CC00138 - Osmolality"/>
        <s v="G1362 - Raw Material Verification by Raman Spectroscopy"/>
        <s v="G2425 - HPLC Fingerprint Analysis of Enzymatic Digestion Fragments of Tirzepatide"/>
        <s v="ID TBD - Evaluation of Total Viable Spore Count and Purity of Biological Indicator for Steam Sterilization"/>
        <s v="ID TBD - Growth Promotion Test Method"/>
        <s v="CON-CM00012 - Nitrates Testing"/>
        <s v="CON-CC00113 - TOC of Water (USP)"/>
        <s v="G1515 -Safety Test for the Detection of Bacterial Endotoxins in Various Products by Endpoint Fluorescence"/>
        <s v="G2133 - Determination of Identity, Assay and Purity of Tirzepatide using Reversed Phase Liquid Chromatography with UV Detection"/>
        <s v="Product PS1506 - TZP PEN 2.5MG/0.5ML 400L HYB BD - Normal Sampling Plan"/>
        <s v="Product PS1495 - TZP PEN 5MG/0.5ML 400L HYB BD - Normal Sampling Plan"/>
        <s v="Product PS1484 - TZP PEN 7.5MG/0.5ML 400L HYB BD - Normal Sampling Plan"/>
        <s v="Product PS1471 - TZP PEN 10MG/0.5ML 400L HYB BD - Normal Sampling Plan"/>
        <s v="Product PS1462 - TZP PEN 12.5MG/0.5ML 400L HYB BD - Normal Sampling Plan"/>
        <s v="Product PS1457 - TZP PEN 15MG/0.5ML 400L HYB BD - Normal Sampling Plan"/>
        <s v="Product PS1506004AM - MOUNJARO 2.5MG/0.5ML X4PEND AM"/>
        <s v="Product PS1495004AM - MOUNJARO 5MG/0.5ML X4PEND AM"/>
        <s v="Product PS1471004AM - MOUNJARO 10MG/0.5ML X4PEND AM"/>
        <s v="Product PS1460004AM - MOUNJARO 12.5MG/0.5ML X4PEND AM"/>
        <s v="Product, Product Variant, Sampling Plan for BioIndicator"/>
        <s v="Sample Type, Sample Template, Batch Template BioIndicator"/>
        <s v="Product and Product Variant and sampling plan for BioIndicators"/>
        <s v="PPM-Caliper-Calibration-Daily"/>
        <s v="PPM-Micrometer-Calibration-Daily"/>
        <s v="Leaflet PPM Defect Inspection"/>
        <s v="Label PPM Defect Inspection"/>
        <s v="Corrugated PPM Defect Inspection"/>
        <s v="Carton PPM Defect Inspection"/>
        <s v="PPM Physical Inspection"/>
        <s v="PPM COA Conformity Verification"/>
        <s v="PPM Text Inspection"/>
        <s v="PPM CON-MTH-36583-Inspection Method of PPM-Cartons"/>
        <s v="PPM Visual Inspection - NOT FOR CONCORD"/>
        <s v="Label PPM Dimensional Inspection"/>
        <s v="Pad PPM Inspection Method"/>
        <s v="Build Calibration method  AB 3500 XL Genetic Analyzer-Monthly / VeritiPro Thermal Cycler (Phase 3)"/>
        <s v="Product PS1484004AM - MOUNJARO 7.5MG/0.5ML X4PEND AM"/>
        <s v="Product PS1457004AM - MOUNJARO 15MG/0.5ML X4PEND AM"/>
        <s v="Instrument Types added to DEV3"/>
        <s v="Media Acceptance Testing Sterility Check"/>
        <s v="PRD-Biological Indicators Testing"/>
        <s v="Media Acceptance Testing-ResultsOnly"/>
        <s v="Building: 1, Area: Bioburden Test, Room: 184"/>
        <s v="Building: 1, Area: Micro Bio ID, Room: 183"/>
        <s v="Building: 1, Area: Endotoxin Test, Room: 185"/>
        <s v="Building: 1, Area: Micro ID PCR Testing, Room: 182"/>
        <s v="Building: 1, Area: Bioassay Lab, Room: 188"/>
        <s v="Building: 1, Area: Bio Waste and Non-Bio Waste, Room: 179"/>
        <s v="Building: 1, Area: High Density Storage, Room: 178"/>
        <s v="Building: 1, Area: RCRA Waste Solvent Storage, Room: 177"/>
        <s v="Building: 1, Area: Particulate Lab, Room: 176"/>
        <s v="Building: 1, Area: Lab Loading Dock, Room: 174"/>
        <s v="Building: 1, Area: Sterility Lab, Room: 173"/>
        <s v="Building: 1, Area: Material Airlock - Sterility Storage, Room: 171A"/>
        <s v="Building: 1, Area: Sterility Storage, Room: 171"/>
        <s v="Building: 1, Area: Environment Monitoring, Room: 169"/>
        <s v="Building: 1, Area: Reference Standards, Room: 168A"/>
        <s v="Building: 1, Area: Weigh Room, Room: 168"/>
        <s v="Building: 1, Area: Stability Chambers 5 C, Room: 166"/>
        <s v="Building: 1, Area: Device, Room: 165"/>
        <s v="Building: 1, Area: Sample Mgmt and Stability, Room: 163"/>
        <s v="Building: 1, Area: RM/Chemical Space, Room: 162"/>
        <s v="Building: 1, Area: Sample &amp; Material Receipt CNC, Room: 161"/>
        <s v="Build Calibration method  AB 3500 XL Genetic Analyzer-Weekly / VeritiPro Thermal Cycler"/>
        <s v="Build calibration method PH and Conductivity Meter: Seven Excellence  S470"/>
        <s v="Build Zwick calibration method Zwick Tensile Testing Machine"/>
        <s v="Build Calibration method TOC M9 - Concord"/>
        <s v="Build Calibration Methods Plate Reader - Endotoxin  - pyrowave"/>
        <s v="TopLoader-XPR8002S-Daily"/>
        <s v="MicroAnalytical-XPR2U-Daily"/>
        <s v="CON-Analytical-XPR204-Daily"/>
        <s v="Incoming Syringe Placeholder (item code TBD) - PS3837"/>
        <s v="Positive-displacement pipette, 10-100 μL - MR-100"/>
        <s v="Positive-displacement pipette, 100-1000 μL - MR-1000"/>
        <s v="Zwick Tensile Testing Machine - Z2.5 TN"/>
        <s v="Instrument Type: Raman "/>
        <s v="Instrument Type: Top Loading (Top Loader Balance - XPR8002S - thermo fisher)"/>
        <s v="Instrument Type: Incubator (Instrument Model Heratherm Incubator 750L - thermo fisher)"/>
        <s v="Instrument Type: Incubator (Heratherm Incubator 180L - thermo Fisher)"/>
        <s v="Instrument Type: pH Conductivity (SevenExcellence s470-Bio pH/Conductivity Meter)"/>
        <s v="GramPro 1 gram stain - Quick Slide "/>
        <s v="Instrument Type: Plate Reader (Pyrowave XM Reader - Lonza)"/>
        <s v="Instrument Type: TOC (Sievers Total Organic Carbon (TOC) Analyzer M9)"/>
        <s v="Instrument Type: Thermal Cycler (Thermo Fisher Scientific VeritiPro Thermal Cycler)"/>
        <s v="Instrument Type: Analyzer (Thermo Fisher Scientific AB 3500 XL Genetic Analyzer AB 3500 XL)"/>
        <s v="Instrument Type: Micro (Mettler Toledo Micro-Analytical Balance XPR2U)"/>
        <s v="Instrument Type: HPLC (HPLC Agilent 1260)"/>
        <s v="Instrument Type: Thermometer (ThermoProbe Thermometer TL3-8)"/>
        <s v="Instrument Type: Light Box (Apollo II Liquid Viewer -Adelphi QTXUS2214059MDW)"/>
        <s v="Instrument type: Micrometer (Mitutoyo Micrometer 293-335-30CAL)"/>
        <s v="Instrument Type: Caliper (Mitutoyo Caliper 500-173-30Cal)"/>
        <s v="B02121-ResultsOnly Strips &amp; B02121-ResultsOnly Discs"/>
        <s v="RTP-CARTON PPM"/>
        <s v="RTP-LEAFLET PPM"/>
        <s v="B10827: Particulate Matter Method"/>
        <s v="G1515: Endotoxin Rinse Method"/>
        <s v="RTP-LABEL PPM -"/>
        <s v="B10236: Bioburden Method Swab and Rinse"/>
        <s v="B02786: Residual Organic Substances in Swabs by Total Organic Carbon Analysis"/>
        <s v="B06295: Total Organic Carbon Analysis of Water by the USP Method"/>
        <s v="Pipette Calibry System Calibration Check Method"/>
        <s v="LIM-LAB-PRD-124869"/>
        <s v="QA118Y Product"/>
        <s v="QA379Z Product"/>
        <s v="QA223X Product"/>
        <s v="QA119A Product"/>
        <s v="KIN-22801: TSA Pre Poured Testing"/>
        <s v="KIN-22801: TSA Pour Plates Testing"/>
        <s v="KIN-22801: SDA RODAC Testing"/>
        <s v="KIN-22801: SDA Pour Plate Testing"/>
        <s v="SingleDispense200mL (Monthly)"/>
        <s v="SingleDispense0.5mL (Monthly)"/>
        <s v="SingleDispense0.2mL (Monthly)"/>
        <s v="SingleDispense0.1mL (Monthly)"/>
        <s v="SingleDispense0.05mL (Monthly)"/>
        <s v="SingleDispense0.02mL (Monthly)"/>
        <s v="SingleDispense0.01mL (Monthly)"/>
        <s v="Type A-D1 2mL Multi (Monthly)"/>
        <s v="Type A-D1 50uL Multi (Monthly)"/>
        <s v="Type A-D1 20uL Multi (Monthly)"/>
        <s v="Type A-D1 10uL Multi (Monthly)"/>
        <s v="Type A-D1 5uL Multi (Monthly)"/>
        <s v="Type A-D1 2uL Multi (Monthly)"/>
        <s v="Type D2 1mL Single (Monthly)"/>
        <s v="Type D2 100uL Single (Monthly)"/>
        <s v="Type D2 20uL Single (Monthly)"/>
        <s v="Type D2 10uL Single (Monthly)"/>
        <s v="Type D2 5uL Single (Monthly)"/>
        <s v="Type A-D1 20mL Mono (Monthly)"/>
        <s v="Type A-D1 5mL Mono (Monthly)"/>
        <s v="Pipette Model- SingleDispense200mL"/>
        <s v="Pipette Model- SingleDispense0.5mL"/>
        <s v="Pipette Model- SingleDispense0.2mL"/>
        <s v="Pipette Model- SingleDispense0.1mL"/>
        <s v="Pipette Model- SingleDispense0.05mL"/>
        <s v="Pipette Model- SingleDispense0.02mL"/>
        <s v="Pipette Model- SingleDispense0.01mL"/>
        <s v="Pipette Model- Type A-D1 2mL Multi"/>
        <s v="Pipette Model- Type A-D1 50µL Multi"/>
        <s v="Pipette Model- Type A-D1 20µL Multi"/>
        <s v="Pipette Model- Type A-D1 10µL Multi"/>
        <s v="Pipette Model- Type A-D1 2µL Multi"/>
        <s v="Pipette Model- Type D2 1mL Single"/>
        <s v="Pipette Model- Type D2 100µL Single"/>
        <s v="Pipette Model- Type D2 20µL Single"/>
        <s v="Pipette Model- Type D2 10µL Single"/>
        <s v="Pipette Model- Type D2 5µL Single"/>
        <s v="Pipette Model- Type A-D1 20mL Mono"/>
        <s v="Pipette Model- Type A-D1 5mL Mono"/>
        <s v="Pipette Model- Type A-D1 50uL Mono"/>
        <s v="Pipette Model- Type A-D1 10uL Mono"/>
        <s v="Pipette Model- Type A-D1 5uL Mono"/>
        <s v="Pipette Model- Type A-D1 3uL Mono"/>
        <s v="Mettler-Toledo balance: XPR205 (daily)"/>
        <s v="KIN-22801: R2A Cassette Testing"/>
        <s v="KIN-22801: FTM Bottle Testing"/>
        <s v="KIN-22801: BHIG Bottle Testing"/>
        <s v="KIN-22801: M-Endo Broth Gel Testing"/>
        <s v="KIN-22801: SDB Bottle Testing"/>
        <s v="KIN-22801: TSB Bottle Testing"/>
        <s v="KIN-22801: SDA Bottle Testing"/>
        <s v="KIN-22801: SDA Cassettes Testing"/>
        <s v="KIN-22801: TSA Cassettes Testing"/>
        <s v="KIN-22801: TSA Bottle Testing"/>
        <s v="Limerick Generic Cleaning Method"/>
        <s v="Type A-D1 5uL Mono (Monthly)"/>
        <s v="Type A-D1 50uL Mono (Monthly)"/>
        <s v="Type A-D1 10uL Mono (Monthly)"/>
        <s v="Type A-D1 3uL Mono (Monthly)"/>
        <s v="Mass Spectrometer: Brunker  Maldi-Tof"/>
        <s v="Incubator - Non-CO2  - Single-door tall:Thermo Scientific  Heratherm IMH400S-SS"/>
        <s v="TOC Analyser:Sievers M9"/>
        <s v="Timer:Traceable Four Channel Traceable Alarm Timer 5004"/>
        <s v="Temperature Probe / Digital Thermometer:VWR  Traceable™ Platinum Ultra-Accurate Digital Thermometer"/>
        <s v="Refrigerator - Single Door:Thermo Scientific TSX3005SV"/>
        <s v="Refrigerator - Double Door:Thermo Scientific TSX5005SV"/>
        <s v="Plate Reader - Endotoxin  - rFC:Lonza  Pyrowave"/>
        <s v="Plate Reader - Endotoxin  - rFC:Lonza  Nebula Multi-Mode Reader"/>
        <s v="PH and Conductivity Meter: Mettler Toledo Seven Excellence  S470"/>
        <s v="Microscope :Nikon eclipse Ci-L"/>
        <s v="Lab Filtration System -milliflex:Merck Millipore Milliflex Oasis"/>
        <s v="Incubator - Non-CO2 - Double-door:Thermo Scientific Heratherm IMH750S-SS"/>
        <s v="Incubator - Non-CO2  - Single-door: Thermo Scientific Heratherm IMH180S-SS"/>
        <s v="Fume Hood: Burdinnola BST"/>
        <s v="Colony Counter:Cole Palmer Stuart SC6 plus"/>
        <s v="Membrane Filtrations System : Merck Millipore Milliflex Quantum"/>
        <s v="Blockheater/ heat block: Stuart SBH130D/3"/>
        <s v="Biosafety Cabinet: Thermo Scientific Herasafe 2030i 1.8 class II A2"/>
        <s v="Bath - Water : Thermo Scientific Precision GP20"/>
        <s v="Bath - Ultrasonic: Fisherbrand Elmasonic Select 40"/>
        <s v="Analytical Balance: Mettler-Toledo XPR205"/>
        <s v="Conductivity Maintenance of the S470-Bio pH/Conductivity Meter"/>
        <s v="KIN-42052 (v3.0): Operation, Calibration and Maintenance of the Pyrowave Plate Reader"/>
        <s v="KIN-41969 (v5.0): Operation, Calibration and Maintenance of the M9 TOC Analyser"/>
        <s v="KIN-30191: Testing of Biological Indicators"/>
        <s v="KIN-19245-007-Water-007: TOC Testing of Utility Water and Cleaning Samples"/>
        <s v="KIN-G1515-ATT-Water: Bacterial Endotoxin Testing of Utility Water"/>
        <s v="KIN-19245-007-Water-004: Nitrates Testing of Utility Water"/>
        <s v="KIN-19245-007-Water-005: Conductivity Testing of Utility Water"/>
        <s v="PR5-HPLC-PM-CAL-NMP"/>
        <s v="ID Color/Chem Template"/>
        <s v="A09426: Identification of Tetracycline Hydrochloride by IR USP Method"/>
        <s v="Top-Loading Balance Daily Calibration"/>
        <s v="Analytical Balance Daily Calibration"/>
        <s v="FTIR Mineral Oil Technique Template"/>
        <s v="Titration Template"/>
        <s v="FTIR Weekly Calibration"/>
        <s v="LOD Option 2 Template"/>
        <s v="API-G1153-LOCAL: ELISA FOR PROCESS SPECIFIC E. COLI POLYPEPTIDES IN KPB INTERMEDIATES"/>
        <s v="API-G1155-LOCAL: DETERMINATION OF RESIDUAL UREA IN INSULIN API"/>
        <s v="API-G1983-LOCAL: ELISA for Human Proinsulin in Lyspro"/>
        <s v="API-G2067-LOCAL: ELISA for Proinsulin and C-peptide Related Materials in Lispro"/>
        <s v="API-G2009-LOCAL: Quantitation of Residual E. Coli DNA in Insulin and Insulin Analog Drug Substance and Manufacture Intermediates by qPCR"/>
        <s v="API-G1936-LOCAL: DETERMINATION OF RESIDUAL TRIS IN INSULIN API BY ION CHROMATOGRAPHY"/>
        <s v="API-G1287-LOCAL: ELISA FOR HUMAN PROINSULIN LYSPRO INTERMEDIATES AND DRUG SUBSTANCE"/>
        <s v="API-G1149-LOCAL: DETERMINATION OF CYSTEINE AND CYSTINE IN KPB API BY ION CHROMATOGRAPHY METHOD"/>
        <s v="API-G1148-LOCAL: DETERMINATION OF ACETATE AND CHLORIDE IONS IN INSULIN API BY ION CHROMATOGRAPHY"/>
        <s v="API-B13000-LOCAL: TETRACYCLINE DETERMINATION INTERMEDIATES BY LIQUID CHROMATOGRAPHY/MASS SPECTROMETRY"/>
        <s v="API-B10389-LOCAL: ELISA FOR HOST YEAST CELL PROTEIN RELATED IMPURITIES IN LISPRO HUMAN INSULIN AND BIOSYNTHETIC HUMAN INSULIN INTERMEDIATES AND FINAL BULK DRUG SUBSTANCES"/>
        <s v="API-B08917-LOCAL: ELISA FOR CARBOXYPEPTIDASE B RELATED IMPURITIES IN BIOSYNTHETIC PROCESS INTERMEDIATES AND ACTIVE PHARAMACEUTICAL SUBSTANCES"/>
        <s v="API-B08916-LOCAL: TRYPSIN RELATED IMPURITIES IN BIOSYNTHETIC INSULIN PROCESS INTERMEDIATES AND ACTIVE PHARMACEUTICAL SUBSTANCES"/>
        <s v="LOD Template"/>
        <s v="GC Template"/>
        <s v="HPLC Template "/>
        <s v="AA Template"/>
        <s v="ELISA Template"/>
        <s v="B00370: 4-Epianhydrotetracycline Hydrochloride, Tetracycline Hydrochloride, and  Identification of Tetracycline by HPLC - USP Method"/>
        <s v="PREPARATION VESPHENE II, VESPHENE III AND HYPO-CHLOR"/>
        <s v="SODIUM THIOSULFATE 10% SOLUTION PREPARATION"/>
        <s v="Sample Weights Registration for the Microbiology Laboratory"/>
        <s v="RAW MATERIALS FINISHED PRODUCTS RAW DATA REGISTRATION"/>
        <s v="Reference Standards Inventory"/>
        <s v="PRIMUS AUTOCLAVES STERILIZATION CYCLES REGISTRATION"/>
        <s v="PLASMID SOLUTIONS PREPARATION PROCEDURE, Non-Method Procedure: MICRO-PR-PLASMID-SOLN-PREP-NMP"/>
        <s v="Bacteriophage Analysis Raw Data Daily Registration"/>
        <s v="AB 15 pH METER CALIBRATION PROCEDURE"/>
        <s v="ORGANISMS REHYDRATATION"/>
        <s v="Non-Method Procedure for the Microbiology Laboratory Organism Profile in SmartLab"/>
        <s v="MICROORGANISMS CULTURES RECEIVING"/>
        <s v="MICRO-PR-MILLI Q-DAILY-CHECK-NMP - MILLI-Q DAILY CHECK PROCEDURE "/>
        <s v="MELTED MEDIA TEMPERING REGISTRATION"/>
        <s v="Culture Media Preparation Laboratory Non-Method Procedure, MICRO-PR-MEDIA-PREP-NMP"/>
        <s v="MATERIAL AND MEDIA REGISTRATION PROCEDURE"/>
        <s v="Non-Method Procedure for Diluting Fuid H Solution Preparation into the Laboratory in SmartLab"/>
        <s v="E COLI 31608 ABSORBANCE READING FOR BACTERIOPHAGE TESTING AND COMPLY WITH THE ACCEPTANCE CRITERIA FOR CP-1 BACTERIOPHAGE"/>
        <s v="DAILY RAW DATA REGISTRATION, MICRO-PR-DAILY-RAW-DATA-REG-NMP"/>
        <s v="Compressed Air Filtration Unit Preparation, MICRO-PR-COMP-AIR-FILTER-PREP-NMP"/>
        <s v="Preventive Maintenance / Correction Maintenance Registration"/>
        <s v="CLEANING / SANITIZATION REGISTRATION"/>
        <s v="MICRO-PR-BALANCE-REQ-NMP"/>
        <s v="Daily Balance Calibration Check Procedure"/>
        <s v="MICRO-PR ATC PROBE MONTHLY VERIFICATION PROCEDURE"/>
        <s v="ALPHA-AMILASE SOLUTION  PREPARATION"/>
        <s v="MICROSEQ ABORTED SEQUENCE REGISTRATION PROCEDURE"/>
        <s v="PLASMID STABILITY ASSAY FOR MR-HPI FERMENTATION BROTH BY GEL ELECTROPHORESIS (QS6240)"/>
        <s v="Violet Red Bile Clucose Growth Promotion"/>
        <s v="XLD Agar Growth Promotion"/>
        <s v="Tryptic Soy Broth Growth Promotion"/>
        <s v="Tryptic Soy Agar Growth Promotion"/>
        <s v="Sabouraud Dextrose Agar Growth Promotion"/>
        <s v="Rappaport Vassiliadis Salmonella Enrichment Broth Growth Promotion"/>
        <s v="Mannitol Salt Agar Growth Promotion"/>
        <s v="Mac Conkey Broth Growth Promotion"/>
        <s v="Mac Conkey Agar Growth Promotion"/>
        <s v="Enterobacteria Enrichment Broth Mossel Growth Promotion"/>
        <s v="Cetrimide Agar Base Growth Promotion"/>
        <s v="Plasmid Stability Assay for Methionyl Aspartyl HGH Fermentation Broth (QS3600) By Gel Electrophoresis"/>
        <s v="Bioburden Testing for sKPB Intermediaries"/>
        <s v="MICRO-B10891-LOCAL, Plasmid Stability for PTH Fusion Protein Frozen Inoculum (QS5300) and Fermentation Broth (QS5303) by Gel Electrophoresis"/>
        <s v="MICRO-B10524-LOCAL, Plasmid Stability Assay for KPB Pro Insulin by Gel Electrophoresis"/>
        <s v="SuperBroth Dehydrated (QA460N) Growth Promotion Test"/>
        <s v="Plate Assay for the Detection of Bacteriophage MICRO-B03888-LOCAL"/>
        <s v="BIOBURDEN TESTING FOR LYSPRO INSULIN ZINC CRYSTALS"/>
        <s v="Growth Promotion Properties of Media"/>
        <s v="PLASMID STABILITY ASSAY FOR LISPRO PROINSULIN FERMENTATION BROTH SAMPLES"/>
        <s v="EMB + 1% DEXTROSE AGAR GROWTH PROMOTION, Method MICRO-000335-LOCAL"/>
        <s v="Phenol Red with Dextrose Growth Promotion, Method MICRO-000334-LOCAL"/>
        <s v="PLASMID STABILITY ASSAY FOR MR-BIV FERMENTATION BROTH BY GEL ELECTROPHORESIS"/>
        <s v="Bioburden Testing for washed Granules Concentrate"/>
        <s v="Microbiological Examination for Bacterial Contamination of Cleaning Water Samples MICRO-000206-LOCAL"/>
        <s v="VEGETABLE CONTACT AGAR+LTHTH-ICPR+GROWTH PROMOTION"/>
        <s v="Sample Weights Registration for the Laboratory"/>
        <s v="SULFATE BUFFER PREPARATION FOR METHOD B09143, B00781 AND B00834 IN SMARTLAB"/>
        <s v="Standard Preparation Procedure in SmartLab"/>
        <s v="PR5-Standardization-NMP"/>
        <s v="PR5-SOLN-PREP-NMP"/>
        <s v="PR5-SOLN-9.6N HCl-NMP"/>
        <s v="CEM Smart System 5 Calibration NMP"/>
        <s v="Total Solids Procedure"/>
        <s v="Specific Rotation Procedure [PR5-A02936-LOCAL]"/>
        <s v="Serine Determination Procedure"/>
        <s v="MELTING POINT DETERMINATION PROCEDURE"/>
        <s v="Karl Fischer Factor Determination Procedure"/>
        <s v="IRON DETERMINATION PROCEDURE"/>
        <s v="Drying Material NMP for Raw MAterial Lab"/>
        <s v="PI54K REFERENCE STANDARD REGISTRATION PROCEDURE IN SMARTLAB"/>
        <s v="PI54K Reagents Registration Procedure in SmartLab"/>
        <s v="Plate Reader Calibration NMP"/>
        <s v="Pipette Preventive and/or Corrective Maintenance Procedure"/>
        <s v="PI54K pH METER OPERATION PROCEDURE IN SMARTLAB"/>
        <s v="PR5-PH-DETERMINATION-NMP"/>
        <s v="Loss on Drying test for 1-Octanesulfonic Acid (OSA) Procedure in SmartLab"/>
        <s v="Water Purification System (MILLI-Q) Daily Calibration"/>
        <s v="PI54K MATERIAL REGISTRATION PROCEDURE IN SMARTLAB"/>
        <s v="GLASSWARE CLEANING PROCEDURE FOR ATOMIC ABSORPTION METHODS"/>
        <s v="CALIBRATION CURVE PROCEDURE FOR ANALYTICAL TEST METHOD PR5-G2141-LOCAL"/>
        <s v="STANDARD PREPARATION PROCEDURE FOR ANALYTICAL METHOD PR5-G2141-LOCAL"/>
        <s v="SOLUTIONS PREPARATION PROCEDURE FOR ANALYTICAL METHOD PR5-G2141-LOCAL"/>
        <s v="PI54K COLUMN REGISTRATION PROCEDURE IN SMARTLAB"/>
        <s v="PI54K Plate Coating Buffer Preparation Procedure"/>
        <s v="PREVENTIVE MAINTENANCE/ CORRECTIVE MAINTENANCE REGISTRATION PROCEDURE IN SMARTLAB"/>
        <s v="PR5-BLOTTO-PREP-NMP"/>
        <s v="PR05 BASIC STATISTICS CALCULATIONS PROCEDURE IN SMARTLAB"/>
        <s v="WEIGHT SET ACCEPTANCE PROCEDURE IN SMARTLAB"/>
        <s v="BALANCE REQUIREMENTS TEST PROCEDURE"/>
        <s v="Microbalance Daily Calibration"/>
        <s v="Standard Preparation Procedure for Analytical Method PR5-B13269-LOCAL"/>
        <s v="SOLUTIONS PREPARATION PROCEDURE FOR ANALYTICAL METHOD PR5-B13269-LOCAL IN SMARTLAB"/>
        <s v="CALIBRATION CURVE PROCEDURE FOR ANALYTICAL METHOD PR5-B13269-LOCAL"/>
        <s v="Calculation of BIV and MR-BHI Concentration Procedure using Microplate BCA assay"/>
        <s v="STANDARD PREPARATION FOR B10042 IN SMARTLAB"/>
        <s v="2.0% NITRIC ACID PREPARATION IN SMARTLAB FOR ANALYTICAL METHOD B09997"/>
        <s v="0.1 % NITRIC ACID PREPARATION IN SMARTLAB FOR ANALYTICAL METHOD B09997"/>
        <s v="STANDARD PEPARATION FOR METHOD B09143 IN SMARTLAB"/>
        <s v="STANDARDS PREPARATION PROCEDURE FOR ANALYTICAL METHOD PR5-B05054-LOCAL"/>
        <s v="SOLUTIONS PREPARATION PROCEDURE FOR ANALYTICAL METHOD PR5-B05054-LOCAL"/>
        <s v="STANDARD PREPARATION PROCEDURE FOR ANALYTICAL METHOD PR5-B03884-LOCAL IN SMARTLAB"/>
        <s v="SOLUTIONS PREPARATION PROCEDURE FOR ANALYTICAL METHOD PR5-B03884-LOCAL IN  SMARTLAB"/>
        <s v="L-Arginine, Mobile Phase, and Suitability Standard Preps for B03622 in SmartLab"/>
        <s v="Reference Standard and System Suitability Standard Preps for B00834 in SmartLab"/>
        <s v="ELUENT PREPARATION FOR METHOD B00834 IN SMARTLAB"/>
        <s v="Solutions and Suitability Standard Preparation Procedure for Method B00782 in SmartLab"/>
        <s v="PR5-B00781-ELUENTS-SS-PREP-NMP"/>
        <s v="PI54K ATC PROBE MONTHLY VERIFICATION PROCEDURE IN SMARTLAB"/>
        <s v="PR5-A13454-GENERAL ASSAY-NMP"/>
        <s v="0.1N HCL ACID PREPARATION IN SMARTLAB"/>
        <s v="PR5-ABORTED-SEQ-LOG-NMP"/>
        <s v="STANDARD PREPARATION PROCEDURE FOR ANALYTICAL METHOD 000346"/>
        <s v="PR5-000346-SOLN-PREP-NMP"/>
        <s v="CALIBRATION CURVE PROCEDURE FOR ANALYTICAL METHOD PR5-000346-LOCAL"/>
        <s v="STANDARD PREPARATION PROCEDURE FOR ANALYTICAL METHOD PR5-000342-LOCAL IN SMARTLAB"/>
        <s v="SOLUTIONS PREPARATION PROCEDURE FOR ANALYTICAL METHOD PR5-000342-LOCAL IN SMARTLAB"/>
        <s v="PR5-000231-STD-PREP-NMP"/>
        <s v="SOLUTIONS PREPARATION PROCEDURE FOR ANALYTICAL METHOD PR5-000231-LOCAL IN SMARTLAB"/>
        <s v="PREVENTIVE MAINTENANCE AND CALIBRATION FOR AGILENT LIQUID CHROMATOGRAPH"/>
        <s v="MICRO-PR-WEIGHT-SET-REG-NMP"/>
        <s v="B04338: Determination of Specific Activity "/>
        <s v="B04331: Determination of water content (LOD or Dry Weight) In E. coli Fermantation broth using a moisture % solids analyzer"/>
        <s v="B04261: The Identification of Antifoam 471 by Visual Comparison"/>
        <s v="B03884: MR KPB HPI FERMENTATION BROTH AND GRANULES CONCENTRATES BY REVERSE PHASE HPLC"/>
        <s v="B02744: Calcium, Iron, Lead, Magnesium, Potassium, and Sodium in Zinc Chloride by ACS Atomic Absorption Method"/>
        <s v="B01949:  Potassium in Sodium Hydroxide by ACS Atomic Absorption Method"/>
        <s v="B01796:  Incoming Inspections for Package Components"/>
        <s v="B01619:  ORGANIC VOLATILE IMPURITIES BY EXAMINATION OF LOT DOCUMENTATION"/>
        <s v="B00834: HPLC ASSAY AND IDENTITY DETERMINATION FOR LISPRO DRUG SUBSTANCE AND DRUG PRODUCT FOR ANALYTICAL METHOD B00834 IN SMARTLAB"/>
        <s v="B05054: Determination of Ethanol and Methanol in Zinc Insulin and Insulin Analog AND METHANOL Crystals by Headspaces Gas Chromatography"/>
        <s v="A03886: Acidity (as acetic acid)"/>
        <s v="000364: IDENTIFICATION AND PH DETERMINATION"/>
        <s v="000363: Iron-PH EUR"/>
        <s v="B06267: IPTG by HPLC"/>
        <s v="B06403: Leucine by Titration with Perchloric Acid - USP"/>
        <s v="000362:  Chloride Identification-Ph Eur"/>
        <s v="000321: Identification of Hydrogen Ion"/>
        <s v="B06444: Isoleucine by Titration with Perchloric Acid - USP"/>
        <s v="B06479: HPLC LIMIT TEST FOR OXIDIZERS IN ACETIC ACID"/>
        <s v="B09942: SAP - Weight Percent as is Activity"/>
        <s v="B09980: DETERMINATION OF ZINC IN HUMAN INSULIN AND INSULIN LISPRO"/>
        <s v="B10041: Acetonitrile and Methanol in Biosynthetic Drug Substances"/>
        <s v="B10602: Determination of Sulfated Ash in Insulin Drug Substances by the European Pharmacopeia Method"/>
        <s v="B11181: Spectrophotometric Assay of Total Protein in HGH Granule Concentrates"/>
        <s v="B11760: CALCULATION OF POTENCY AND SOLIDS PERCENT FOR ENTRY INTO LIMS SYSTEM"/>
        <s v="G2141: DETERMINATION OF POTENCY AND PURITY OF LYSPRO BYOSYNTHETIC HUMAN INSULIN (KPB-BHI) BY UPLC"/>
        <s v="000260: Identification EDTA Disodium-USP"/>
        <s v="000231: MR BIV HPI Determination of Potency in Fermentation Broth and Granule Concentrates by Reversed Phase HPLC"/>
        <s v="QA232SV1E: MANGANESE SULFATE MONOHYDRATE GM"/>
        <s v="QA503S: M-R-KPB-HPI WCB E. COLI ELKPB-3"/>
        <s v="QA243V: TRIS REAGENT"/>
        <s v="QA264Q: MAGNESIUM SULFATE FOR FER"/>
        <s v="SC9915: 25 MM SCREW CAP WITH PTFE COATED LINER"/>
        <s v="QA347Y: NZ AMINE L LIQUID"/>
        <s v="QA436Y: BIOSYNTH CARBOXYPEPTIDASE B FINAL PREP"/>
        <s v="CB8475: Shipping box folding 4 bottles"/>
        <s v="SC9914: 80 MM SCREW CAP WITH PTFE COATED LINER"/>
        <s v="QA510D: PTH WCB E. COLI ELPTH-2"/>
        <s v="QA224D: FERROUS AMMONIUM SULFATE"/>
        <s v="QA524Y: ACETONITRILE"/>
        <s v="QA363H: SP SEPHAROSE BIG BEAD"/>
        <s v="QA104V: PHOSPHORIC ACID 75%"/>
        <s v="QA011S: CALCIUM CHLORIDE"/>
        <s v="QA596E: Urea Industrial Grade Bulk"/>
        <s v="QA018L: DEXTROSE"/>
        <s v="QA268VV1E: TETRACYCLINE HYDROCHLORIDE GM"/>
        <s v="BT5990: 25 ML AMBER GLASS BOTTLE"/>
        <s v="QA266K: CITRIC ACID FOR FERMENTATION"/>
        <s v="QA460N: SUPERBROTH DEHYDRATED"/>
        <s v="MX0034: PLASTIC DRUM"/>
        <s v="QA014N: ALCOHOL S D NO. 3A ABSOLUTE"/>
        <s v="QA539C: L-CYSTINE DIHYDROCHLORIDE"/>
        <s v="QA074Y: ZINC CHLORIDE GRANULAR REAGENT"/>
        <s v="QA267V: SODIUM SULFITE ANHYDROUS"/>
        <s v="QA004N: POTASSIUM HYDROXIDE LIQUID"/>
        <s v="QA010R: CALCIUM CHLORIDE TECH"/>
        <s v="QA419Z: SODIUM CHLORIDE - HIGH PURITY"/>
        <s v="QA143Z: HYDROGEN PEROXIDE SOLUTION 3%"/>
        <s v="QA305P: ACETONITRILE RP"/>
        <s v="QA451V: L-CYSTEINE HYDROCHLORIDE-SYNTHETIC"/>
        <s v="MX6414: GP-35 Closed Head Top Plastic Drum, Gal 35"/>
        <s v="QA509Z: HGH WCB E. COLI ELHGH-7"/>
        <s v="QA135H: POTASSIUM PHOSPHATE DIBASIC TECH"/>
        <s v="QA257A: AMMONIUM HYDROXIDE REAGENT 130"/>
        <s v="QA479V: AMISOY"/>
        <s v="BT5992_x0009_: 2 LITER AMBER GLASS BOTTLE"/>
        <s v="QA127R: DEXTROSE SOLUTION"/>
        <s v="QA458J: GLYCERIN SYNTHETIC"/>
        <s v="QA270Z: HYDROCHLORIC ACID REAGENT"/>
        <s v="QA442U01: RECOMBINANT TRYPSIN PURIFIED"/>
        <s v="QA310K: AMMONIUM PHOSPHATE MONOBASIC"/>
        <s v="QA524Q: MR BIV PROINSULIN WCB E. COLI ELHIP-11"/>
        <s v="CB8258: Box Corrugated 8 3/16 X 8 3/16 X 16 5/16"/>
        <s v="QA128D: AMMONIA ANHYDROUS BULK"/>
        <s v="QA022SV1E: CUPRIC SULFATE CRYSTALS GM"/>
        <s v="QA309F: 10 MICRON,C-8,LIQUID CHROMATOGRAPHY PACK"/>
        <s v="QA044L: POTASSIUM PHOSPHATE MONOBASIC TECH"/>
        <s v="QA138C: L-LEUCINE"/>
        <s v="QA609F: 10 MICRON, C-8, LIQUID CHROMATOGRAPHY PACK-DAISO"/>
        <s v="QA205H: LIQUEFIED PHENOL DISTILLED"/>
        <s v="QA065TV1E: THIAMINE HYDROCHLORIDE GM"/>
        <s v="QA006F: GLACIAL ACETIC ACID REAGENT"/>
        <s v="QA116W: METHIONINE FEED GRADE"/>
        <s v="QA163E: ANTIFOAM-471"/>
        <s v="QA058T: SODIUM HYDROXIDE REAGENT"/>
        <s v="QA458V: AMMONIUM CHLORIDE TECH PALM OIL TREATED"/>
        <s v="QA233TV1E: ZINC SULFATE HEPTAHYDRATE GM"/>
        <s v="QA175C: SERINE"/>
        <s v="QA139Y: POTASSIUM SULFATE TECH"/>
        <s v="QA264S: SODIUM PHOSPHATE DIBASIC  TECH"/>
        <s v="QA454J: IPTG FOR FERMENTATION"/>
        <s v="QA308W: S-SEPHAROSE FAST FLOW"/>
        <s v="QA426P: REVERSE PHASE AROMATIC TEST SOLUTION"/>
        <s v="QA442U: RECOMBINANT TRYPSIN PURIFIED"/>
        <s v="QA596G: Urea Industrial Grade Tank Truck"/>
        <s v="QA479V01: AMISOY"/>
        <s v="QA565F: T7-MR-DESK64-KPB-HPI WCB ELKPB-10"/>
        <s v="QA188KPUR: SODIUM HYPOCHLORITE SOLN"/>
        <s v="QA445U: L – ISOLEUCINE"/>
        <s v="QS5420: MR-SKPB-HPI CAPTURE"/>
        <s v="QS6540: TRANSVERSION  MR-D64-KPB-HPI TO KPB-BHI"/>
        <s v="QS5400: MR-KPB-HPI WASHED GRANULE CONCENTRATE"/>
        <s v="QS2695: M-R-KPB-HPI VEG FLASK INOCULUM"/>
        <s v="QS3600: M-D-HGH FERMENTATION BROTH"/>
        <s v="QS3602: M-D-hGH FLASK INOCULUM"/>
        <s v="QS5440: SKPB-BHI TRANSVERSION"/>
        <s v="QS6570: KPB-BHI REVERSED PHASE INTERMEDIATE"/>
        <s v="QS5430: MR-SKPB-HPI ULTRAFILTRATION"/>
        <s v="QS6501: MR-D64-KPB-HPI FLASK INOCULUM"/>
        <s v="QS7130: MR-BIV-HPI-FERMENTATION BROTH"/>
        <s v="QS5301: PTH FUSION PROTEIN FLASK INOC."/>
        <s v="QA103L: HYDROCHLORIC ACID SOLUTION 10%"/>
        <s v="QS6520: MR-D64-KPB-HPI CAPTURE"/>
        <s v="QS6529: MRD64-KPB-HPI WASHED GRANULE CONCENTRATE"/>
        <s v="QS7110: MR-BIV-HPI SHAKE FLASK EXPANSION"/>
        <s v="QS2693: M-R-KPB-HPI FROZEN VEG"/>
        <s v="QS6550: KPB-BHI FFS CATION EXCHANGED"/>
        <s v="QS6500: MR-D64-KPB-HPI SOLUBILIZATION"/>
        <s v="QS5303: PTH FUSION PROTEIN FERM BROTH"/>
        <s v="QS2697: M-R-KPB-HPI FERMENTATION BROTH"/>
        <s v="QS5450: SKPB-BHI FFS CATION EXCHANGED"/>
        <s v="QS5415: MR-SKPB-HPI MICROFILTRATION"/>
        <s v="QS5304: PTH FUSION PROTEIN WASHEDGRANULE CONC"/>
        <s v="QS7140: MR-BIV-WASHED GRANULE CONCENTRATE"/>
        <s v="QS3601V1E: MET-ASP HGH GRANULES V1E"/>
        <s v="QS5140: MR-KPB-HPI WASHED GRANULE CONCENTRATE"/>
        <s v="QS6515: MR-D64-KPB-HPI MICROFILTRATION"/>
        <s v="QS6513: MR-D64-KPBHPI FERMENTATION BROTH"/>
        <s v="QA535Z: LISPRO INSULIN CRYSTALS (STREAMLINE)"/>
        <s v="QA524X: BIV Insulin Crystals"/>
        <s v="QS5410: MR-SKPB-HPI FOLDED"/>
        <s v="QA571X: LISPRO INSULIN CRYSTALS"/>
        <s v="QA541J: SKPB-BHI INSULIN LISPRO ZINC CRYSTALS (STREAMLINE)"/>
        <s v="QS6530: MR-D64-KPB-HPI ULTRAFILTRATION"/>
        <s v="QS6510: FOLDING OF MR-D64-KPB-HPI INTERMEDIATE"/>
        <s v="QS5470: SKPB-BHI REVERSED PHASE INTERMEDIATE"/>
        <s v="QA485U: ZN-INSULIN CRYSTALS HUMAN MR-HPI DER"/>
        <s v="QS6319: MR-HPI FROZED WASHED GRANULE CONCENTRATE"/>
        <s v="QS6240: MR-HPI FERMENTATION BROTH"/>
        <s v="A07933: Identification of Sulfate by USP"/>
        <s v="A07932:  Identification of Zinc by USP"/>
        <s v="A07918: Ferrous Salts Identification by reaction with Potassium Ferricyanide- USP"/>
        <s v="A07917: Sulfate Identification by Reaction with Barium Chloride – USP"/>
        <s v="A07500:  Water- USP"/>
        <s v="A07499: CHLORIDE IDENTIFICATION - USP"/>
        <s v="A07278:  ID Calcium Chloride-USP"/>
        <s v="A06928: Citric Acid Assay-USP"/>
        <s v="A06927:  Water-USP"/>
        <s v="A06925: Sodium Sulfite Assay"/>
        <s v="A06302: Iron, Aluminum and Phosphate - USP"/>
        <s v="A06301: Magnesium and Alkali Salt - USP"/>
        <s v="A06299:  Calcium Chloride - USP"/>
        <s v="A06298: pH-USP"/>
        <s v="A06297:  CHLORIDE IDENTIFICATION -USP"/>
        <s v="A06296: Calcium Identification -USP"/>
        <s v="A05926: Identification of Phosphate"/>
        <s v="A05919:  Residue After Ignition by ACS Method"/>
        <s v="A05918: Iron in Ammonium Hydroxide by ACS Method"/>
        <s v="A05916: Ammonia by ACS Method"/>
        <s v="A04964:  Chloride Identification-USP"/>
        <s v="A04963:  IDENTIFICATION OF SODIUM"/>
        <s v="A04918:  Chloride Identification by Reaction with Silver Nitrate (USP Test B)"/>
        <s v="A04917: Ammonium Identification by Reaction with Litmus Paper (USP Test A)"/>
        <s v="A04839: PHENOL BY TITRTION WITH SODIUM THIOSULFATE -USP"/>
        <s v="A04837: Clarity of Solution and Reaction to Litmus by USP/JP"/>
        <s v="A04835: Phenol Identification by Reaction with Bromine - USP/JP"/>
        <s v="A04374: L-Serine by Titration with Perchloric Acid - USP"/>
        <s v="A03893:  Water by Karl Fischer"/>
        <s v="A03891: Residue on Evaporation"/>
        <s v="A03890: Methanol by Gas Chromatography"/>
        <s v="A03889: Ethyl Alcohol Identification by Gas Chromatography"/>
        <s v="A03887: Aldehydes and other Foreign Organic Substances"/>
        <s v="A03885: Acetone and Isopropyl Alcohol by USP"/>
        <s v="A03871: Alkalinity"/>
        <s v="A03870: Acidity"/>
        <s v="A03869:  Water by Karl Fischer"/>
        <s v="A03868: Absorbance"/>
        <s v="A03867:  ID Acetonitrile"/>
        <s v="A03865: Color"/>
        <s v="A03253: pH of a 1% Solution"/>
        <s v="A03252: Identification of Phosphate by USP Method"/>
        <s v="A03251:  Identification of Potassium by USP Flame Test"/>
        <s v="A03158: Sodium Chloride"/>
        <s v="A03108: Alkali Phosphate - USPNF"/>
        <s v="A03106: Sulfate - USP/NF"/>
        <s v="A03105: Phosphorous or Hypophosphorous - USP/NF"/>
        <s v="A03104: Nitrate - USP/NF"/>
        <s v="A03103: Phosphoric Acid – USP/NF"/>
        <s v="A03100: Zinc Chloride Assay by ACS Titration"/>
        <s v="A03094: Nitrate in Zinc Chloride by ACS Method"/>
        <s v="A03093: Oxychloride in Zinc Chloride by ACS Method"/>
        <s v="A03090: Chloride Identification by Reaction with Silver Nitrate – USP"/>
        <s v="A03089: Zinc Identification by Reaction with Hydrogen Sulfate"/>
        <s v="A03023: Titratable Base by Reaction with Perchloric Acid-ACS"/>
        <s v="A03020: Substances Reducing Permanganate - ACS"/>
        <s v="A03019: Substances Reducing Dichromate by Titration with Thiosulfate – ACS"/>
        <s v="A03018:  Iron by Color Differentiation – ACS Method 1"/>
        <s v="A03017: Sulfate by Precipitation with Barium Chloride (ACS Procedure A, Method 3)"/>
        <s v="A03016: Chloride by Reaction with Silver Nitrate – ACS"/>
        <s v="A03014: Acetic Acid by Titration with 1N Sodium Hydroxide – USP"/>
        <s v="A03013: Residue after Evaporation – ACS"/>
        <s v="A03012: Acetate Identification by Reaction with Ferric Chloride- USP"/>
        <s v="A03008: Dilution Test by Standard Comparison – ACS"/>
        <s v="A03005: Color by Standard Comparison – ACS"/>
        <s v="A02942: Cysteine Hydrochloride by Titration with Sodium Thiosulfate - USP"/>
        <s v="A02941:  Iron by Color Differentiation - USP"/>
        <s v="G1897: Propionitrile In Recovered Acetonitrile and Virgin Acetonitrile By GC-NC"/>
        <s v="G1864: Aldehydes in Recovered Acetonitrile and In Acetonitrile By Reversed Phase HPLC"/>
        <s v="A02939: Sulfate by Visual Comparison of Turbidity - USP"/>
        <s v="B13269: Determination of Concentration of Methionine-Arginine Lys-Pro Human Proinsulin (MR-KPB-HPI) and Related Substances Profile By Semi-Micro Configured High Performance Liquid Chromatography"/>
        <s v="A02936: Specific Rotation by Polarimetry – USP"/>
        <s v="B13110: Determination of the Purity of Lyspro Drug Substance By Capillary Electrophoresis Isoelectric Focusing"/>
        <s v="A02935: Volatiles by Loss on Drying - USP"/>
        <s v="B12203: Identification of Ammonium - USP - NF"/>
        <s v="B11327: Identification of Amisoy By TLC"/>
        <s v="A02637: Physical Appearance by Comparison to Specification"/>
        <s v="A01254: Identification of Solids by Infrared Spectroscopy Halide, Pellet Technique"/>
        <s v="B10865: Thiamine Hydrochloride Assay and Related Substances"/>
        <s v="B10705: Distilling Range and Boiling Point By USP/JP Method I"/>
        <s v="A01157: Mercury in Sodium Hydroxide by Atomic Absorption- ACS"/>
        <s v="B10570: Identification Phosphate - USP/NF"/>
        <s v="B10561: Chloride Identification - USP"/>
        <s v="B10539: Arsenic (Method 1, Apparatus B) - JP"/>
        <s v="B10527: Determination of Residual Protein on Polyester Sampling SWABS Using Microplate BCA Assay"/>
        <s v="A01152: Determination of Solids in Dextrose Solution"/>
        <s v="B10448: Nonvolatiles Residue in Cleaning Rinse Samples"/>
        <s v="B10406: Citric Acid Anhydrous ID By IR - PhEur"/>
        <s v="A01150: Identification of Dextrose by Enzymatic Glucose Test Strip"/>
        <s v="B10334: Residual Testing of Rinse Water for CIP-100"/>
        <s v="B10246: Identification of Methyl Benzoate and Uracil in Reverse Phase Aromatic Solution"/>
        <s v="B10146: Extraneous Material and Magnetically - Attracted Particles in Cleaning Rinse Samples"/>
        <s v="B10042: Determination of Ethanol in Lispro Bulk Drug Material By Headspace Gas Chromatography"/>
        <s v="B09999: Conductivity Analysis of Steam for Operations"/>
        <s v="B09997: Determination of Iron in Lispro Active Pharmaceutical Ingredient By Graphite Furnace Atomic Absorption Spectroscopy"/>
        <s v="A01145:  Sodium Hydroxide, Sodium Carbonate, and Total Alkali In Sodium Hydroxide Reagent by ACS Titration"/>
        <s v="B09912: ELISA for Lyspro Human Proinsulin in Lyspro Insulin"/>
        <s v="B09754: Dextrose By HPLC"/>
        <s v="B09651: Gas Chromatography Method for the Assay of Morpholine"/>
        <s v="A00660: Iron"/>
        <s v="A00658:  Residue on Ignition"/>
        <s v="B09073: Sulphated Ash - PhEur"/>
        <s v="B08929: Acetonitrile Identification By GC"/>
        <s v="B08131: Chromatographic Purity By TLC - USP"/>
        <s v="B07494: Acetic Acid and Acetic Anhydride By GC - ACS"/>
        <s v="A00657:  Melting Point for Urea Chemical Grade"/>
        <s v="B07285: Impurity A and Related Substances By PhEur"/>
        <s v="B07284: Aldehydes By PhEur Method"/>
        <s v="B07036: Identity B - PhEur"/>
        <s v="B06988: Appearance of Solution (Color and Clarity) By PhEur"/>
        <s v="A00158: Physical Inspection"/>
        <s v="A00123: Physical Examination of Bulk drug Substances for Stability"/>
        <s v="B06522: Determination of the % Solids Content of Washed Granule Concentrates and Cell Paste Through the Use of a Microwave Moisture Analyzer"/>
        <s v="A00011: Residue on Ignition by USP"/>
        <s v="B06490: Appearance of Prepared Medium (Clarity)"/>
        <s v="B06489: Appearance of Prepared Medium (Color)"/>
        <s v="B06488: pH of Prepared Medium"/>
        <s v="B06445: Identification By IR Spectroscopy - USP"/>
        <s v="B06405: Identification By IR Spectroscopy - USP"/>
        <s v="B06001: MET-ASP-HGH in Fermentation Broth and Granule Concentrates By Reversed Phase HPLC"/>
        <s v="B05872: HPLC Potency of PTH Fusion Protein in Fermentation Broth and Washed Granule Concentrates"/>
        <s v="B04988: Specific Gravity of Glycerin By JP"/>
        <s v="B04827: Glycerin By USP Titration"/>
        <s v="B04781: Infrared Identification"/>
        <s v="000346: Determination of Concentration of Methionine-Arginine Lispro DES64K Human Proinsulin (MR-D64-KPB-HPI) and Related Substances Profile by Semi-Micro Configured High Performance Liquid Chromatography"/>
        <s v="B04704: Determination of Anions in Cleaning Solutions and Ammonium Hydroxide By Iron Chromatography (IC)"/>
        <s v="B04529: Identification of Hydrogen Peroxide in Hydrogen Peroxide Solution 3% - USP/NF"/>
        <s v="B04488: Identification By IR Spectroscopy - USP"/>
        <s v="B04470: Determination of Hydrogen Peroxide - USP/NF"/>
        <s v="B04385: Identification of Sulfate in Magnesium Sulfate for Fermentation"/>
        <s v="000342: MR-des64-KPB-HPI Determination of Potency in Fermentation Broth and Granule Concentrates by Reversed Phase HPLC"/>
        <s v="B03944: Sodium Identification - USP"/>
        <s v="B03837: Readily Carbonizable Substances (Modified JP)"/>
        <s v="B03836: Arsenic in Glycerin By Color Differentiation - JP"/>
        <s v="B03832: Ammonium By JP"/>
        <s v="B03831: Calcium By JP"/>
        <s v="B03830: Acrolein, Glucose, and Other Reducing Substances By JP"/>
        <s v="B03828: Fatty Acids and Esters By JP"/>
        <s v="B03784: Identification of Antifoam By USP IR Method"/>
        <s v="B03622: High Molecular Weight Protein (HMWP) Content of Insulin Drug Substance and Drug Product by Size Exclusion HPLC"/>
        <s v="000293: SPECIFIC ROTATION"/>
        <s v="000292:  L-Cystine Dihydrochloride Titration"/>
        <s v="B03096: Determination of Iron in MET-ARG Lispro Proinsulin S-Sulfonate Granules By Atomic Absorption (AA)"/>
        <s v="B03002 - Total Solids"/>
        <s v="B03001: Identification By TLC-USP"/>
        <s v="000291:  Identification of Ammonium"/>
        <s v="B02300: Sodium Identification Test - USP"/>
        <s v="B02117: Reporting Results By Examination of Manufacturer(s) or External Laboratory Documentation"/>
        <s v="B01943: Nitrates - PhEur"/>
        <s v="B01819: Nonvolatile Residue in Phenol By USP/JP/PhEur"/>
        <s v="B01674: Total Alkalinity as Potassium Hydroxide and Potassium Carbonate By Titration with Sulfuric Acid - USP"/>
        <s v="B01673: Potassium Identification By USP Flame Test"/>
        <s v="B01086: Siloxane Leachate in LC Packing By GC"/>
        <s v="B00975: Potassium Phosphate By ACS Method"/>
        <s v="B00953: Determination of Sulfated ASH By BP"/>
        <s v="B00790: Reducing Sugars By PhEur"/>
        <s v="B00788: Refractive Index By PhEur/JP"/>
        <s v="B00786: Appearance of Solution (Color) By PhEur"/>
        <s v="B00785: Appearance of Solution (Clarity) By PhEur"/>
        <s v="B00782: HPLC Fingerprint Analysis of Enzymatic Digestion Fragments of Lispro"/>
        <s v="B00781: Determination of the Purity and Identity of Lispro Drug Substance and Drug Product"/>
        <s v="B00780: Acidity or Alkalinity By PhEur"/>
        <s v="B00687: pH of 1:10,000 Sodium Hydroxide Solution (PhEur Sodium Hydroxide Identification A)"/>
        <s v="B00686: Clarity of Solution By PhEur Method"/>
        <s v="B00685: Color of Solution By PhEur Method II"/>
        <s v="B00261: Loss On Drying For Lispro Human Insulin Bulk Drug Substance"/>
        <s v="A11268: Substances Reducing Permanganate in Ammonium Hydroxide By ACS Method (Subs: Oxidizable)"/>
        <s v="A11265: Carbon Dioxide in Ammonium Hydroxide By ACS Method"/>
        <s v="A11264: Appearance of Clear and Colorless Liquid By ACS Method (Solution Characteristics)"/>
        <s v="A11092: Chloride By USP"/>
        <s v="A11088: Glycerin Identification By IR-USP/PhEur"/>
        <s v="A10828: Phosphate Identification By USP"/>
        <s v="A10827: Potassium Identification By USP"/>
        <s v="A10617: Identification of Sulfate-USP"/>
        <s v="A10615: Identification of Manganese-USP"/>
        <s v="A10604: Assay (Manganese Sulfate) - USP"/>
        <s v="A10296: ID Sulfate"/>
        <s v="A10295: ID Cupric"/>
        <s v="A10015: Tris By Titration With Hydrochloric Acid"/>
        <s v="A10013: Iron"/>
        <s v="A10011: Insoluble Matter By ACS"/>
        <s v="A09431-Volatiles (Loss In Drying) By USP Method"/>
        <s v="000259: Heavy Metals (Method I) ACS"/>
        <s v="000258: Heavy Metals (Method I) ACS"/>
        <s v="000255:  Identification pH Determination USP-NF"/>
        <s v="000253: Heavy Metals by ACS"/>
        <s v="000252:Raw Material Verification by Raman Spectroscopy"/>
        <s v="000251: WATER DETERMINATION"/>
        <s v="000250: Dextrose Identification B- USP/NF"/>
        <s v="000249: Dextrose Identification A- USP/NF"/>
        <s v="000248: Urea Chemical Grade Identification A-USP-NF"/>
        <s v="000247: Urea Chemical Grade/ Urea Industrial Grade Identification B- USP/NF"/>
        <s v="000236: Identification of Zinc Sulfate Heptahydrate by Infrared Spectroscopy Mineral Oil Technique"/>
        <s v="000233:  Identification Sodium Hypochlorite Solution – USP/NF"/>
        <s v="000224: ID of Solids by Infrared Spectroscopy Halide Pellet Technique- USPNF"/>
        <s v="A08879: Potassium Sulfate by Reaction with Barium Chloride"/>
        <s v="A08877: Sulfate Identity (USP B)"/>
        <s v="A08875: Potassium Identity (USP A)"/>
        <s v="A08339: Assay (Magnesium Sulfate) - USP"/>
        <s v="A08337: Volatiles by Loss On Ignition"/>
        <s v="A08335: Magnesium Identification - USP"/>
        <s v="B13140: Process Specific ELISA for Immunoreactive E. Coli Polypeptides in BHI API"/>
        <s v="A00137: Desthreonine (B30) Insulin in Biosynthetic Human Insulin Drug Substance"/>
        <s v="B10166: ELISA for E.coli Polypeptides in Insulin Intermediates"/>
        <s v="B09143: Determination Of Residual Phenol In Lispro Bulk Drug Substance"/>
        <s v="B05416: Iron Content Of Zinc-Insulin Crystals By Atomic Absorption"/>
        <s v="000309: Process Specific Elisa for E. Coli Polypeptides in KPB API"/>
        <s v="G1324 (000323): ELISA for Process Specific E. Coli Polypeptides in Insulin Analog Drug Substance"/>
        <s v="000349: Process Specific ELISA for E. coli Polypetptides in KPB API"/>
        <s v="B12977: ELISA for Human Proinsulin and Human Proinsulin Related Impurities in BIV-BHI Bulk Drug Substance"/>
        <s v="B06538: ELISA for Human Proinsulin in Lyspro Intermediates"/>
        <s v="G1982: ELISA for Human Proinsulin in Lyspro"/>
        <s v="B06093: HPLC Fingerprint Analysis of Enzymatic Digestion Fragments of BHI"/>
        <s v="A13454: Bacterial Endotoxin Test by Kinetic Chromogenic Method"/>
        <s v="000310: Process Specific ELISA for E.coli Polypeptides in KPB Intermediates"/>
        <s v="B05385: ELISA for Human Proinsulin in Biosynthetic Human Insulin"/>
        <s v="A09426: Identification of Tetracycline Hydrochloride by IT USP Method" u="1"/>
        <s v="Kanban Update" u="1"/>
        <s v="BioAssay Driver" u="1"/>
        <s v="All AA Test Methods added to the Standardization sheet" u="1"/>
        <s v="Appearance Parameter Standardization" u="1"/>
        <s v="AA Parameter Standardization" u="1"/>
        <s v="All PR5 Methods Files Update  " u="1"/>
        <s v="TEMPERATURE RECORDING" u="1"/>
        <s v="SELF TEST VERIFICATION FOR UV/VISIBLE SPECTROPHOTOMETER AGILENT MODEL 8453 PROCEDURE" u="1"/>
        <s v="Raw Material Standard Preparation Procedure" u="1"/>
        <s v="Specific Rotation Procedure" u="1"/>
        <s v="Raw Material Solutions Preparation Procedure" u="1"/>
        <s v="SOLIDS DETERMINATION IN DEXTROSE PROCEDURE" u="1"/>
        <s v="Potassium Identification Procedure" u="1"/>
        <s v="Color by Standard Comparison Procedure" u="1"/>
        <s v="Potassium Tetrathionate Assay" u="1"/>
        <s v="PR5-RM-ACIDITY-OLDD-NMP" u="1"/>
        <s v="Absorbance Determination Procedure" u="1"/>
        <s v="PI54K PLATE COATING PROCEDURE" u="1"/>
        <s v="PI54K Phosphate Buffered Saline (PBS) Preparation Procedure" u="1"/>
        <s v="PR5-H3PO4-PREP-NMP" u="1"/>
        <s v="STANDARDS PREPARATION PROCEDURE FOR ANALYTICAL METHOD PR5-B10041-LOCAL" u="1"/>
        <s v="ZINC Linearity Standard Registration Procedure in SmartLab for Analytical Method B09980" u="1"/>
        <s v="Eluents A &amp; B preparations for method B09143 in SmartLab" u="1"/>
        <s v="Standard Preparation NMP for PR5-B03096 Local method" u="1"/>
        <s v="Mobile Phases (Eluents A &amp; B) Preparations for Method B00834 in SmartLab." u="1"/>
        <s v="PI54K ELUENTS AND SYSTEM SUITABILITY PREPARATION FOR LOCAL METHOD B00781 IN SMARTLAB" u="1"/>
        <s v="0.01N HCL Acid Preparation in SMARTLAB" u="1"/>
        <s v="B11222: HPLC TEST FOR ALDEHYDES IN GLYCERIN" u="1"/>
        <s v="CC00045-QA044L: Potassium Identification By USP-NF Potassium Phosphate Monobasic Tech" u="1"/>
        <s v="A01254: Identification of Solids by Infrared Spectroscopy Halide, Pellet Techique" u="1"/>
        <s v="Product PS1506004AM" u="1"/>
        <s v="Product PS1495004AM Mounjaro 5mg/0.5mL x4pend AM" u="1"/>
        <s v="Product PS1471004AM" u="1"/>
        <s v="Product PS14600004AM Mounjaro 12.5mg/0.5mL X4pend am" u="1"/>
        <s v="Product PS1506 - TZP PEN 2.5MG/0.5ML 400L HYB BD" u="1"/>
        <s v="Product PS1495 - TZP PEN 5MG/0.5ML 400L HYB BD" u="1"/>
        <s v="Product PS1484 - TZP PEN 7.5MG/0.5ML 400L HYB BD" u="1"/>
        <s v="Product PS1471 - TZP PEN 10MG/0.5ML 400L HYB BD" u="1"/>
        <s v="Product PS1462 - TZP PEN 12.5MG/0.5ML 400L HYB BD" u="1"/>
        <s v="Product PS1457 - TZP PEN 15MG/0.5ML 400L HYB BD" u="1"/>
        <s v="Sampling Plan for BioIndicator" u="1"/>
        <s v="Sample Type, Sample Template, Batch Template" u="1"/>
        <s v="Product and Product Variant for BioIndicators" u="1"/>
        <s v="Build Calibration method Caliper" u="1"/>
        <s v="Build Calibration method Micrometer" u="1"/>
        <s v="PPM Conformity Verification" u="1"/>
        <s v="PPM Visual Inspection" u="1"/>
        <s v="PPM Dimensional Inspection" u="1"/>
        <s v="Build Calibration method  AB 3500 XL Genetic Analyzer-Monthly / VeritiPro Thermal Cycler" u="1"/>
        <s v="Preparation, Tracking and Incubation of Biological Indicators" u="1"/>
        <s v="Media Acceptance Testing" u="1"/>
        <s v="Build Calibration method Top Loader Balance - XPR8002S - thermo fisher" u="1"/>
        <s v="Build Calibration method Mettler Toledo Micro-Analytical Balance XPR2U" u="1"/>
        <s v="Build Calibration method Mettler-Toledo XPR204" u="1"/>
        <s v="Incoming Syringe Placeholder (item code TBD) - PS4043" u="1"/>
        <s v="Incoming Syringe Placeholder (item code TBD) - PS3681" u="1"/>
        <s v="Incoming Syringe Placeholder (item code TBD) - PS3516" u="1"/>
        <s v="Instrument Model for Spectrum Instrument Type (Raman Spectrometer)" u="1"/>
        <s v="Top Loader Balance - XPR8002S - thermo fisher" u="1"/>
        <s v="Instrument Model Heratherm Incubator 750L - thermo fisher" u="1"/>
        <s v="Heratherm Incubator 180L - thermo Fisher" u="1"/>
        <s v="SevenExcellence s470-Bio pH/Conductivity Meter" u="1"/>
        <s v="Pyrowave XM Reader - Lonza" u="1"/>
        <s v="Sievers Total Organic Carbon (TOC) Analyzer M9" u="1"/>
        <s v="Thermo Fisher Scientific VeritiPro Thermal Cycler" u="1"/>
        <s v="Thermo Fisher Scientific AB 3500 XL Genetic Analyzer AB 3500 XL " u="1"/>
        <s v="Mettler Toledo Micro-Analytical Balance XPR2U" u="1"/>
        <s v="HPLC Agilent 1260" u="1"/>
        <s v="ThermoProbe Thermometer TL3-8" u="1"/>
        <s v="Apollo II Liquid Viewer -Adelphi QTXUS2214059MDW" u="1"/>
        <s v="Mitutoyo Micrometer 293-335-30CAL" u="1"/>
        <s v="Mitutoyo Caliper 500-173-30Cal" u="1"/>
        <s v="B02121-Results Only for D-Value" u="1"/>
        <s v="KIN-30528 (v19.0): Sanitisation of the Milliflex Oasis" u="1"/>
        <s v="KIN-30528 (v19.0): Operation, Calibration and Maintenance of the Milliflex Oasis" u="1"/>
        <s v="KIN-22801: Test Media Growth Promotion TEMPLATE" u="1"/>
      </sharedItems>
    </cacheField>
    <cacheField name="Bucket Name" numFmtId="0">
      <sharedItems count="31">
        <s v="Do Not Delete"/>
        <s v="13.Verification In Progress"/>
        <s v="Added to Package"/>
        <s v="12.Ready For Client Verification"/>
        <s v="1.Backlog"/>
        <s v="4.Blocked"/>
        <s v="5.Configuration Complete"/>
        <s v="3.Configuration In Progress"/>
        <s v="7.Peer Review - Rework Req."/>
        <s v="8.Ready For Demo"/>
        <s v="15.Ready To Migrate"/>
        <s v="11.Client Rework In Progress"/>
        <s v="2.Out Of Scope"/>
        <s v="14.Verification Complete"/>
        <s v="6.Peer Review In Progress"/>
        <s v="Unit Test Complete"/>
        <s v="To Be Deleted"/>
        <s v="10.Client Rework Required"/>
        <s v="Blocked" u="1"/>
        <s v="Peer Review In Progress" u="1"/>
        <s v="Verification Complete" u="1"/>
        <s v="Configuration" u="1"/>
        <s v="Ready for Client Verification" u="1"/>
        <s v="Client Rework Required" u="1"/>
        <s v="Verification In Progress" u="1"/>
        <s v="Configuration Complete" u="1"/>
        <s v="Backlog" u="1"/>
        <s v="Out of Scope" u="1"/>
        <s v="Client Rework In Progress" u="1"/>
        <s v="Ready to Migrate" u="1"/>
        <s v="Ready For Demo" u="1"/>
      </sharedItems>
    </cacheField>
    <cacheField name="Assigned To" numFmtId="0">
      <sharedItems containsBlank="1"/>
    </cacheField>
    <cacheField name="Labels" numFmtId="0">
      <sharedItems containsBlank="1"/>
    </cacheField>
    <cacheField name="Description" numFmtId="0">
      <sharedItems longText="1"/>
    </cacheField>
    <cacheField name="Site" numFmtId="0">
      <sharedItems count="3">
        <s v="Concord"/>
        <s v="Limerick"/>
        <s v="PR5"/>
      </sharedItems>
    </cacheField>
    <cacheField name="Category" numFmtId="0">
      <sharedItems count="10">
        <s v="1. Out of Scope"/>
        <s v="4. Lilly in progress methods"/>
        <s v="5. Complete methods"/>
        <s v="2. Not started methods"/>
        <s v="3. Astrix in progress methods"/>
        <s v="Astrix in progress methods" u="1"/>
        <s v="Lilly in progress methods" u="1"/>
        <s v="Out of Scope" u="1"/>
        <s v="Not started methods" u="1"/>
        <s v="Complete methods" u="1"/>
      </sharedItems>
    </cacheField>
    <cacheField name="Configuration Days" numFmtId="0">
      <sharedItems containsMixedTypes="1" containsNumber="1" containsInteger="1" minValue="0" maxValue="0"/>
    </cacheField>
    <cacheField name="Blocked Configuration Days" numFmtId="0">
      <sharedItems containsMixedTypes="1" containsNumber="1" containsInteger="1" minValue="0" maxValue="0"/>
    </cacheField>
    <cacheField name="Effective Configuration Days" numFmtId="0">
      <sharedItems containsString="0" containsBlank="1" containsNumber="1" containsInteger="1" minValue="0" maxValue="25" count="15">
        <n v="0"/>
        <m/>
        <n v="15" u="1"/>
        <n v="16" u="1"/>
        <n v="17" u="1"/>
        <n v="18" u="1"/>
        <n v="20" u="1"/>
        <n v="21" u="1"/>
        <n v="24" u="1"/>
        <n v="25" u="1"/>
        <n v="9" u="1"/>
        <n v="6" u="1"/>
        <n v="7" u="1"/>
        <n v="11" u="1"/>
        <n v="5" u="1"/>
      </sharedItems>
    </cacheField>
    <cacheField name="Number of Peer Reviews" numFmtId="0">
      <sharedItems containsSemiMixedTypes="0" containsString="0" containsNumber="1" containsInteger="1" minValue="0" maxValue="1"/>
    </cacheField>
    <cacheField name="Peer Review Days" numFmtId="0">
      <sharedItems containsMixedTypes="1" containsNumber="1" containsInteger="1" minValue="0" maxValue="6" count="7">
        <n v="0"/>
        <e v="#VALUE!"/>
        <n v="2" u="1"/>
        <n v="3" u="1"/>
        <n v="4" u="1"/>
        <n v="5" u="1"/>
        <n v="6" u="1"/>
      </sharedItems>
    </cacheField>
    <cacheField name="Peer Review Rework Days" numFmtId="0">
      <sharedItems containsMixedTypes="1" containsNumber="1" containsInteger="1" minValue="0" maxValue="0"/>
    </cacheField>
    <cacheField name="Blocked Peer Review Rework Days" numFmtId="0">
      <sharedItems containsSemiMixedTypes="0" containsString="0" containsNumber="1" containsInteger="1" minValue="0" maxValue="0"/>
    </cacheField>
    <cacheField name="Effective Peer Review Rework Days" numFmtId="0">
      <sharedItems containsString="0" containsBlank="1" containsNumber="1" containsInteger="1" minValue="0" maxValue="1" count="3">
        <n v="0"/>
        <m/>
        <n v="1" u="1"/>
      </sharedItems>
    </cacheField>
    <cacheField name="Number of Ready for Demo" numFmtId="0">
      <sharedItems containsSemiMixedTypes="0" containsString="0" containsNumber="1" containsInteger="1" minValue="0" maxValue="4"/>
    </cacheField>
    <cacheField name="Number of Demos" numFmtId="0">
      <sharedItems containsSemiMixedTypes="0" containsString="0" containsNumber="1" containsInteger="1" minValue="0" maxValue="5"/>
    </cacheField>
    <cacheField name="Demo Rework Days" numFmtId="0">
      <sharedItems containsMixedTypes="1" containsNumber="1" containsInteger="1" minValue="0" maxValue="0"/>
    </cacheField>
    <cacheField name="Blocked Demo Rework Days" numFmtId="0">
      <sharedItems containsMixedTypes="1" containsNumber="1" containsInteger="1" minValue="0" maxValue="0"/>
    </cacheField>
    <cacheField name="Effective Demo Rework Days" numFmtId="0">
      <sharedItems containsString="0" containsBlank="1" containsNumber="1" containsInteger="1" minValue="0" maxValue="1" count="3">
        <n v="0"/>
        <m/>
        <n v="1" u="1"/>
      </sharedItems>
    </cacheField>
    <cacheField name="Number of Ready for Client Verification" numFmtId="0">
      <sharedItems containsSemiMixedTypes="0" containsString="0" containsNumber="1" containsInteger="1" minValue="0" maxValue="4"/>
    </cacheField>
    <cacheField name="Number of Client Verification" numFmtId="0">
      <sharedItems containsSemiMixedTypes="0" containsString="0" containsNumber="1" containsInteger="1" minValue="0" maxValue="3"/>
    </cacheField>
    <cacheField name="Client Verification Days" numFmtId="0">
      <sharedItems containsMixedTypes="1" containsNumber="1" containsInteger="1" minValue="0" maxValue="3" count="5">
        <n v="0"/>
        <e v="#VALUE!"/>
        <n v="1" u="1"/>
        <n v="2" u="1"/>
        <n v="3" u="1"/>
      </sharedItems>
    </cacheField>
    <cacheField name="Rework Client Verification Days" numFmtId="0">
      <sharedItems containsMixedTypes="1" containsNumber="1" containsInteger="1" minValue="0" maxValue="0"/>
    </cacheField>
    <cacheField name="Blocked Rework Client Verification Days" numFmtId="0">
      <sharedItems containsMixedTypes="1" containsNumber="1" containsInteger="1" minValue="0" maxValue="0"/>
    </cacheField>
    <cacheField name="Effective Rework Client Verification Days" numFmtId="0">
      <sharedItems containsString="0" containsBlank="1" containsNumber="1" containsInteger="1" minValue="0" maxValue="1" count="3">
        <n v="0"/>
        <m/>
        <n v="1" u="1"/>
      </sharedItems>
    </cacheField>
    <cacheField name="Verification Complete Date" numFmtId="14">
      <sharedItems containsNonDate="0" containsDate="1" containsString="0" containsBlank="1" minDate="2024-04-19T00:00:00" maxDate="2024-07-30T00:00:00"/>
    </cacheField>
    <cacheField name="Ready To Migrate Date" numFmtId="0">
      <sharedItems containsNonDate="0" containsDate="1" containsString="0" containsBlank="1" minDate="2024-05-20T00:00:00" maxDate="2024-08-01T00:00:00"/>
    </cacheField>
    <cacheField name="Complete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Peer Review Rework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Ready for Demo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Demo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Ready for Client Verification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Verification Complete Bucket Time" numFmtId="0">
      <sharedItems containsMixedTypes="1" containsNumber="1" containsInteger="1" minValue="0" maxValue="30" count="32">
        <n v="0"/>
        <e v="#VALUE!"/>
        <n v="1" u="1"/>
        <n v="2" u="1"/>
        <n v="3" u="1"/>
        <n v="4" u="1"/>
        <n v="5" u="1"/>
        <n v="6" u="1"/>
        <n v="7" u="1"/>
        <n v="8" u="1"/>
        <n v="9" u="1"/>
        <n v="10" u="1"/>
        <n v="11" u="1"/>
        <n v="12" u="1"/>
        <n v="13" u="1"/>
        <n v="14" u="1"/>
        <n v="15" u="1"/>
        <n v="16" u="1"/>
        <n v="17" u="1"/>
        <n v="18" u="1"/>
        <n v="19" u="1"/>
        <n v="20" u="1"/>
        <n v="21" u="1"/>
        <n v="22" u="1"/>
        <n v="23" u="1"/>
        <n v="24" u="1"/>
        <n v="25" u="1"/>
        <n v="26" u="1"/>
        <n v="27" u="1"/>
        <n v="28" u="1"/>
        <n v="29" u="1"/>
        <n v="30" u="1"/>
      </sharedItems>
    </cacheField>
    <cacheField name="TEST METHOD" numFmtId="0">
      <sharedItems containsBlank="1"/>
    </cacheField>
    <cacheField name="PRODUCT" numFmtId="0">
      <sharedItems containsBlank="1"/>
    </cacheField>
    <cacheField name="INSTRUMENT" numFmtId="0">
      <sharedItems containsBlank="1"/>
    </cacheField>
    <cacheField name="PRODUCT VARIANT" numFmtId="0">
      <sharedItems containsBlank="1"/>
    </cacheField>
    <cacheField name="SAMPLE PLAN" numFmtId="0">
      <sharedItems containsBlank="1"/>
    </cacheField>
    <cacheField name="CALIBRATION" numFmtId="0">
      <sharedItems containsNonDate="0" containsString="0" containsBlank="1"/>
    </cacheField>
    <cacheField name="RAW MATERIAL" numFmtId="0">
      <sharedItems containsBlank="1"/>
    </cacheField>
    <cacheField name="DRUG SUBSTANCE" numFmtId="0">
      <sharedItems containsBlank="1"/>
    </cacheField>
    <cacheField name="MICRO METHOD" numFmtId="0">
      <sharedItems containsBlank="1"/>
    </cacheField>
    <cacheField name="NMP METHOD" numFmtId="0">
      <sharedItems containsBlank="1"/>
    </cacheField>
    <cacheField name="IN PROCESS" numFmtId="0">
      <sharedItems containsBlank="1"/>
    </cacheField>
    <cacheField name="FINISHED PRODUCT" numFmtId="0">
      <sharedItems containsBlank="1"/>
    </cacheField>
    <cacheField name="EMPOWER" numFmtId="0">
      <sharedItems containsBlank="1"/>
    </cacheField>
    <cacheField name="PHASE 2.5" numFmtId="0">
      <sharedItems containsBlank="1"/>
    </cacheField>
    <cacheField name="PHASE 3.0" numFmtId="0">
      <sharedItems containsNonDate="0" containsString="0" containsBlank="1"/>
    </cacheField>
    <cacheField name="FULL BUILD" numFmtId="0">
      <sharedItems containsBlank="1"/>
    </cacheField>
    <cacheField name="SKELETON BUILD" numFmtId="0">
      <sharedItems containsBlank="1"/>
    </cacheField>
  </cacheFields>
  <extLst>
    <ext xmlns:x14="http://schemas.microsoft.com/office/spreadsheetml/2009/9/main" uri="{725AE2AE-9491-48be-B2B4-4EB974FC3084}">
      <x14:pivotCacheDefinition pivotCacheId="1722682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s v="Dvfusr1fiECCGTyTMNhgO2UAEy3-"/>
    <x v="0"/>
    <x v="0"/>
    <s v="Rhoda Gill - Network;Michael S Mckinney"/>
    <s v="Instrument Types"/>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this instrument type is used in the caliper and micrometer calibrations."/>
    <x v="0"/>
    <x v="0"/>
    <n v="0"/>
    <n v="0"/>
    <x v="0"/>
    <n v="0"/>
    <x v="0"/>
    <n v="0"/>
    <n v="0"/>
    <x v="0"/>
    <n v="0"/>
    <n v="0"/>
    <n v="0"/>
    <n v="0"/>
    <x v="0"/>
    <n v="0"/>
    <n v="0"/>
    <x v="0"/>
    <n v="0"/>
    <n v="0"/>
    <x v="0"/>
    <m/>
    <m/>
    <x v="0"/>
    <x v="0"/>
    <x v="0"/>
    <x v="0"/>
    <x v="0"/>
    <x v="0"/>
    <m/>
    <m/>
    <m/>
    <m/>
    <m/>
    <m/>
    <m/>
    <m/>
    <m/>
    <m/>
    <m/>
    <m/>
    <m/>
    <m/>
    <m/>
    <m/>
    <m/>
  </r>
  <r>
    <s v="XWafAGJD-UOBHQdATsZhymUAEDEu"/>
    <x v="1"/>
    <x v="0"/>
    <s v="Michael S Mckinney;Jeffrey Halim"/>
    <s v="Instrument;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manufacturer = labconco _x000a_ _x000a_equipment name, line 1 = biological safety cabinet _x000a_equipment name, line 2 = 6' logic+ class ii, type a2 _x000a_ _x000a_comments = 10&quot; sash opening; model # = 30261000133281a"/>
    <x v="0"/>
    <x v="0"/>
    <n v="0"/>
    <n v="0"/>
    <x v="1"/>
    <n v="0"/>
    <x v="0"/>
    <n v="0"/>
    <n v="0"/>
    <x v="1"/>
    <n v="0"/>
    <n v="0"/>
    <n v="0"/>
    <n v="0"/>
    <x v="1"/>
    <n v="0"/>
    <n v="0"/>
    <x v="0"/>
    <n v="0"/>
    <n v="0"/>
    <x v="1"/>
    <m/>
    <m/>
    <x v="0"/>
    <x v="0"/>
    <x v="0"/>
    <x v="0"/>
    <x v="0"/>
    <x v="0"/>
    <m/>
    <m/>
    <b v="1"/>
    <m/>
    <m/>
    <m/>
    <m/>
    <m/>
    <m/>
    <m/>
    <m/>
    <m/>
    <m/>
    <m/>
    <m/>
    <m/>
    <m/>
  </r>
  <r>
    <s v="tRDpyQkUNEC9BicUoNySLGUAPbvo"/>
    <x v="2"/>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e v="#VALUE!"/>
    <n v="0"/>
    <x v="1"/>
    <n v="1"/>
    <x v="1"/>
    <n v="0"/>
    <n v="0"/>
    <x v="1"/>
    <n v="1"/>
    <n v="0"/>
    <n v="0"/>
    <n v="0"/>
    <x v="1"/>
    <n v="1"/>
    <n v="1"/>
    <x v="1"/>
    <n v="0"/>
    <n v="0"/>
    <x v="1"/>
    <m/>
    <m/>
    <x v="1"/>
    <x v="0"/>
    <x v="0"/>
    <x v="1"/>
    <x v="1"/>
    <x v="0"/>
    <m/>
    <b v="1"/>
    <m/>
    <m/>
    <m/>
    <m/>
    <m/>
    <m/>
    <m/>
    <m/>
    <m/>
    <m/>
    <m/>
    <m/>
    <m/>
    <m/>
    <m/>
  </r>
  <r>
    <s v="TDJrRdshSE6TJT1v-F1oeWUAGaGM"/>
    <x v="3"/>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e v="#VALUE!"/>
    <n v="0"/>
    <x v="1"/>
    <n v="1"/>
    <x v="1"/>
    <n v="0"/>
    <n v="0"/>
    <x v="1"/>
    <n v="1"/>
    <n v="0"/>
    <n v="0"/>
    <n v="0"/>
    <x v="1"/>
    <n v="1"/>
    <n v="1"/>
    <x v="1"/>
    <n v="0"/>
    <n v="0"/>
    <x v="1"/>
    <m/>
    <m/>
    <x v="1"/>
    <x v="0"/>
    <x v="0"/>
    <x v="1"/>
    <x v="1"/>
    <x v="0"/>
    <m/>
    <b v="1"/>
    <m/>
    <m/>
    <m/>
    <m/>
    <m/>
    <m/>
    <m/>
    <m/>
    <m/>
    <m/>
    <m/>
    <m/>
    <m/>
    <m/>
    <m/>
  </r>
  <r>
    <s v="zTAmgNjWV0C5YniHaTllVWUAJ-cO"/>
    <x v="4"/>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e v="#VALUE!"/>
    <n v="0"/>
    <x v="1"/>
    <n v="1"/>
    <x v="1"/>
    <n v="0"/>
    <n v="0"/>
    <x v="1"/>
    <n v="1"/>
    <n v="0"/>
    <n v="0"/>
    <n v="0"/>
    <x v="1"/>
    <n v="1"/>
    <n v="1"/>
    <x v="1"/>
    <n v="0"/>
    <n v="0"/>
    <x v="1"/>
    <m/>
    <m/>
    <x v="1"/>
    <x v="0"/>
    <x v="0"/>
    <x v="1"/>
    <x v="1"/>
    <x v="0"/>
    <m/>
    <b v="1"/>
    <m/>
    <m/>
    <m/>
    <m/>
    <m/>
    <m/>
    <m/>
    <m/>
    <m/>
    <m/>
    <m/>
    <m/>
    <m/>
    <m/>
    <m/>
  </r>
  <r>
    <s v="kVEAknnFLkGQWR6Feeb27GUAKHPF"/>
    <x v="5"/>
    <x v="1"/>
    <s v="Rhoda Gill - Network;Michael S Mckinney;Nicole Simpson;Jeffrey Halim"/>
    <s v="Product"/>
    <s v="config start date: 07/18/2024 _x000a_all config blocked start date: _x000a_all config blocked end date: _x000a_config end date:7/15/2024 _x000a_ -------------------------------------------------------------------------------------------- _x000a_all peer review start date:07/18/2024 _x000a_all peer review end date: 07/18/2024 _x000a_ _x000a_all peer review rework required start date: _x000a_all pr rework blocked start date: _x000a_all pr rework blocked end date: _x000a_all peer review rework required end date: _x000a_-------------------------------------------------------------------------------------------- _x000a_all ready for demo date: 07/18/2024 _x000a_all demo date: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07/18/2024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1"/>
    <e v="#VALUE!"/>
    <n v="0"/>
    <x v="1"/>
    <n v="1"/>
    <x v="1"/>
    <n v="0"/>
    <n v="0"/>
    <x v="1"/>
    <n v="1"/>
    <n v="0"/>
    <n v="0"/>
    <n v="0"/>
    <x v="1"/>
    <n v="1"/>
    <n v="1"/>
    <x v="1"/>
    <n v="0"/>
    <n v="0"/>
    <x v="1"/>
    <m/>
    <m/>
    <x v="1"/>
    <x v="0"/>
    <x v="0"/>
    <x v="1"/>
    <x v="1"/>
    <x v="0"/>
    <m/>
    <b v="1"/>
    <m/>
    <m/>
    <m/>
    <m/>
    <m/>
    <m/>
    <m/>
    <m/>
    <m/>
    <m/>
    <m/>
    <m/>
    <m/>
    <m/>
    <m/>
  </r>
  <r>
    <s v="C5Xcb__x9UKpZ_fPX7B5rGUAN-RD"/>
    <x v="6"/>
    <x v="2"/>
    <s v="Douglas R Sims;Tessa Merryman - Network;Rhoda Gill - Network;Michael S Mckinney;Jeffrey Halim"/>
    <s v="Test Method"/>
    <s v="config start date:07/18/24 _x000a_all config blocked start date: _x000a_ _x000a_all config blocked end date: _x000a_ _x000a_config end date:07/15/24 _x000a_ _x000a_ -------------------------------------------------------------------------------------------- _x000a_all peer review start date:07/18/24 _x000a_all peer review end date:07/18/24 _x000a_ _x000a_all peer review rework required start date: _x000a_all pr rework blocked start date: _x000a_all pr rework blocked end date: _x000a_all peer review rework required end date: _x000a_-------------------------------------------------------------------------------------------- _x000a_all ready for demo date:07/18/24 _x000a_all demo date: _x000a_all demo rework required start date: _x000a_all demo blocked start date: _x000a_all demo blocked end date: _x000a_all demo rework required end date: _x000a_-------------------------------------------------------------------------------------------- _x000a_all ready for client verification date:07/18/24 _x000a_ _x000a_verification assigned to: _x000a_all client verification start date:07/22/24 _x000a_all client verification end date:07/22/24 _x000a_ _x000a_all client rework required start date: _x000a_all client blocked start date: _x000a_all client blocked end date: _x000a_all client rework required end date: _x000a_-------------------------------------------------------------------------------------------- _x000a_verification complete date:07/22/24 _x000a_ready to migrate date: 07/25/2024 _x000a_--------------------------------------------------------------------------------------------- _x000a_additional information:"/>
    <x v="0"/>
    <x v="2"/>
    <e v="#VALUE!"/>
    <n v="0"/>
    <x v="1"/>
    <n v="1"/>
    <x v="1"/>
    <n v="0"/>
    <n v="0"/>
    <x v="1"/>
    <n v="1"/>
    <n v="0"/>
    <n v="0"/>
    <n v="0"/>
    <x v="1"/>
    <n v="1"/>
    <n v="1"/>
    <x v="1"/>
    <n v="0"/>
    <n v="0"/>
    <x v="1"/>
    <d v="2024-07-22T00:00:00"/>
    <d v="2024-07-25T00:00:00"/>
    <x v="1"/>
    <x v="0"/>
    <x v="0"/>
    <x v="1"/>
    <x v="1"/>
    <x v="1"/>
    <b v="1"/>
    <m/>
    <m/>
    <m/>
    <m/>
    <m/>
    <m/>
    <m/>
    <m/>
    <m/>
    <m/>
    <m/>
    <m/>
    <m/>
    <m/>
    <m/>
    <m/>
  </r>
  <r>
    <s v="AXp8Qmqcx0WtVt9rjJ5eCWUAOA_E"/>
    <x v="7"/>
    <x v="3"/>
    <s v="Rhoda Gill - Network;Michael S Mckinney;Nicole Simpson;Jeffrey Halim"/>
    <s v="Test Method;Phase 2.5"/>
    <s v="config start date:07/17/24 _x000a_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8/20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TBPtpsI6UEqbuk3iHxWzy2UAALx-"/>
    <x v="8"/>
    <x v="3"/>
    <s v="Rhoda Gill - Network;Michael S Mckinney;Nicole Simpson;Jeffrey Halim"/>
    <s v="Test Method;Phase 2.5"/>
    <s v="sop #con-mtd-36582;con-mexf-prd-122883 _x000a_ _x000a_config start date:07/17/24 _x000a_all config blocked start date:na _x000a_all config blocked end date:na _x000a_config end date:07/17/24 _x000a_ -------------------------------------------------------------------------------------------- _x000a_all peer review start date:07/17/24 _x000a_all peer review end date:07/17/24 _x000a_ _x000a_all peer review rework required start date: _x000a_all pr rework blocked start date: _x000a_all pr rework blocked end date: _x000a_all peer review rework required end date: _x000a_-------------------------------------------------------------------------------------------- _x000a_all ready for demo date:07/17/24 _x000a_ _x000a_all demo date:07/17/24 _x000a_ _x000a_all demo rework required start date:07/18/24 _x000a_all demo blocked start date: _x000a_all demo blocked end date: _x000a_all demo rework required end date:07/19/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Dww-Jv7ga0SgcGcI-11fKGUAO3LF"/>
    <x v="9"/>
    <x v="3"/>
    <s v="Rhoda Gill - Network;Michael S Mckinney;Nicole Simpson;Jeffrey Halim"/>
    <s v="Test Method;Phase 2.5"/>
    <s v="sop # con-mth-36583;con-mexf-122883 _x000a_ _x000a_config start date:06/10/24 _x000a_all config blocked start date:na _x000a_all config blocked end date:na _x000a_config end date:06/30/24 _x000a_ -------------------------------------------------------------------------------------------- _x000a_all peer review start date:07/12/24 _x000a_all peer review end date:07/15/24 _x000a_ _x000a_all peer review rework required start date: _x000a_all pr rework blocked start date: _x000a_all pr rework blocked end date: _x000a_all peer review rework required end date: _x000a_-------------------------------------------------------------------------------------------- _x000a_all ready for demo date:07/17/24 _x000a_ _x000a_all demo date:07/18/24 _x000a_ _x000a_all demo rework required start date: _x000a_all demo blocked start date: _x000a_all demo blocked end date: _x000a_all demo rework required end date: _x000a_-------------------------------------------------------------------------------------------- _x000a_all ready for client verification date: 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n v="0"/>
    <n v="0"/>
    <x v="1"/>
    <n v="1"/>
    <n v="0"/>
    <x v="0"/>
    <n v="0"/>
    <n v="0"/>
    <x v="1"/>
    <m/>
    <m/>
    <x v="1"/>
    <x v="0"/>
    <x v="1"/>
    <x v="1"/>
    <x v="0"/>
    <x v="0"/>
    <b v="1"/>
    <m/>
    <m/>
    <m/>
    <m/>
    <m/>
    <m/>
    <m/>
    <m/>
    <m/>
    <m/>
    <m/>
    <m/>
    <b v="1"/>
    <m/>
    <m/>
    <m/>
  </r>
  <r>
    <s v="P0pQkoo5QEOWP9rKOciivWUAB1jH"/>
    <x v="1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xQAik7DLg0aIww6pDVs6DWUAKzSQ"/>
    <x v="1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lFS3uA9Oo0aqo1ej_aJZNWUACLTR"/>
    <x v="12"/>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igwHPLmUoEaQDxIn1Szd9mUAERDH"/>
    <x v="1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T779VFN2k24_svSszdKe2UAOMQA"/>
    <x v="14"/>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5C8nJzb1eE-C4fsuU-bwZWUAPYTY"/>
    <x v="15"/>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3Lc0DoG_fEmxdE7nWrgfomUAJulu"/>
    <x v="16"/>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rA1iyz7Yi02japyE6gl_HmUAAPNA"/>
    <x v="17"/>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unLlbJa9d0-q-MafXW8bfmUAB8wN"/>
    <x v="18"/>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gAVroFe0Q0C45gzCRQvpcGUADZi0"/>
    <x v="19"/>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y4hhX540W7udbBVdhx_mUAAXKT"/>
    <x v="20"/>
    <x v="4"/>
    <m/>
    <s v="Instrument;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8AOFRhgeUUSw3lzDPgMnSGUAKgdl"/>
    <x v="21"/>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1xVDoLS70kqTfR7YcEvXm2UAAisI"/>
    <x v="22"/>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zoV_4yfaRUWemreREElZD2UAEmC9"/>
    <x v="23"/>
    <x v="4"/>
    <m/>
    <s v="Instrumen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qFkdl95oGUqy9WWlY9a_omUAOsuI"/>
    <x v="24"/>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epzoX3KcbkanUM6QpFelxWUAKTN_"/>
    <x v="25"/>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onfQBvC4NEuLPOZyVyX_1GUAGyK_"/>
    <x v="26"/>
    <x v="4"/>
    <m/>
    <s v="Instrument;Calibration Metho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PPLkGtaSHUqeSPTVbard1mUAMALi"/>
    <x v="27"/>
    <x v="5"/>
    <s v="Gregory Barrantes - Network"/>
    <s v="Instrument;Calibration Method;blocked;Phase 3;New"/>
    <s v="config start date:7/24/2024 _x000a_ _x000a_all config blocked start date: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waiting on response from john wrights or josh about reflex rules and instruments"/>
    <x v="0"/>
    <x v="4"/>
    <e v="#VALUE!"/>
    <e v="#VALUE!"/>
    <x v="1"/>
    <n v="0"/>
    <x v="0"/>
    <n v="0"/>
    <n v="0"/>
    <x v="1"/>
    <n v="0"/>
    <n v="0"/>
    <n v="0"/>
    <n v="0"/>
    <x v="1"/>
    <n v="0"/>
    <n v="0"/>
    <x v="0"/>
    <n v="0"/>
    <n v="0"/>
    <x v="1"/>
    <m/>
    <m/>
    <x v="0"/>
    <x v="0"/>
    <x v="0"/>
    <x v="0"/>
    <x v="0"/>
    <x v="0"/>
    <m/>
    <m/>
    <b v="1"/>
    <m/>
    <m/>
    <m/>
    <m/>
    <m/>
    <m/>
    <m/>
    <m/>
    <m/>
    <m/>
    <m/>
    <m/>
    <m/>
    <m/>
  </r>
  <r>
    <s v="CpIO_boXX0aQRw4D7FSPzGUAGB4w"/>
    <x v="28"/>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tKQJjz2CC0iXcW1PQ8bqfmUAJhZH"/>
    <x v="29"/>
    <x v="4"/>
    <m/>
    <s v="Instrument;Calibration Metho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D-mY6V6MMEurrcNDODNFPGUANEZw"/>
    <x v="3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l-6UwcumU-9PALFzNyfVWUAK_hE"/>
    <x v="3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A5whQvHpkeVdbS2Six83WUAKxzo"/>
    <x v="3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YIQToN3Mk2jjYekiyXgimUAHuj9"/>
    <x v="3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l68-K1xb0KjviCcoFctkWUAOq6L"/>
    <x v="3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08JQ7RJWYk2GOPz7cetWuWUAKQvh"/>
    <x v="3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a3NZS6ZkxU6dpdzuapvhpGUALe72"/>
    <x v="3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69OcTSRdxEK6DF2RLxe5VmUACWgS"/>
    <x v="3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s9BJ79Pps0aLwjQOmlZUnmUAEoQh"/>
    <x v="3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GCMoHt6V5UGnvwFsSGBj8GUAAWSB"/>
    <x v="3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V2eplJ4Ok20Kzhw9ZcYimUAMxm8"/>
    <x v="4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ew81NSikmrCjcEiw-3eWUAMO-r"/>
    <x v="41"/>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1CGCLjbNf0Kgr7z9ghXiA2UABUEr"/>
    <x v="4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qqE56lIQeUykSjWn6FfW6GUAID2H"/>
    <x v="4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DGpDpYJaK0-IGA9QBxvrHmUAJRrt"/>
    <x v="4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UmYi0yzw80GRQf72ESXtTGUAIb6x"/>
    <x v="45"/>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xtArLmeAR0OYSq7tT1Cq7WUAHVa6"/>
    <x v="46"/>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JqTX2gSbk2iiNSTI321LmUAC3Yi"/>
    <x v="4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YCM1yv42xkeNJcrpNgiI7mUANz_m"/>
    <x v="4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9cW_yzMSmEqW-tDUOhCnKmUAPBmV"/>
    <x v="4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5KxuWw1kedDM4585x-PGUABV6X"/>
    <x v="50"/>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ML5atoOckOrBrC2mh4elGUAJuo9"/>
    <x v="5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IoAIUjPII0a-yYqzJZaW4WUAAycA"/>
    <x v="52"/>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cpLz6t2fQEyMdZKWmnbGJGUADS-u"/>
    <x v="53"/>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BzbrWX9Lpk2uvR7THgMpUmUAIFRY"/>
    <x v="5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jf412EMhBU2Nu7i6DfcCs2UAMEFy"/>
    <x v="55"/>
    <x v="4"/>
    <m/>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I6mL00zgD06kSfvVQrILS2UAPBmh"/>
    <x v="56"/>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9oSTUtFFj0iL2B6Eceh8aGUAFdOq"/>
    <x v="57"/>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fFfrAE76c0OSnd3IK5z0ImUACbxC"/>
    <x v="58"/>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V-D0pKZGUkmWAKIrOfyJTGUAAyzk"/>
    <x v="59"/>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dcNdQYD3k6licB269OXXmUAC7O4"/>
    <x v="60"/>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8rc4bfy3Tk-MaoL1TCm5SmUAOXHd"/>
    <x v="61"/>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5XiX5fnr5kGxBEmawQo1XWUAAar8"/>
    <x v="62"/>
    <x v="4"/>
    <m/>
    <s v="Test Method;Skeleton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mZOS_MqgWEubCbbJLO4OgGUAL7bt"/>
    <x v="63"/>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K0omJUIRlkis-r2TOcgsr2UADerK"/>
    <x v="64"/>
    <x v="4"/>
    <m/>
    <s v="Test Metho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m/>
    <b v="1"/>
  </r>
  <r>
    <s v="LXIUi3QwFkGg76MzZCf_FGUABWYP"/>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ARnXVDIokytbhsp0pmPDGUAEvnS"/>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gHcSgfeKEi7IvE4x2EC7WUAMTX1"/>
    <x v="6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OCnmf8DgXkGxLwlbWPP19mUABTAu"/>
    <x v="6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EL-hezVtkGHuGyEQVdQLmUAJtdZ"/>
    <x v="6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JXiOtGN20md0jpEAZc30WUAEbJ5"/>
    <x v="7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CdcwN1qvzE6x-P9UpOulF2UAENO6"/>
    <x v="7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YHrs6-S0lEq_crKJdIORH2UAIgfx"/>
    <x v="72"/>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mdHNIGDHkWokM8HfCEIDGUABlri"/>
    <x v="73"/>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022eH50Kl0KfAF_u7qZi8GUAEPyt"/>
    <x v="74"/>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sD3lFckbhEieac7bLPtrT2UAOEXH"/>
    <x v="7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LY_QEhpNZkKRVHs6r8q9HGUAEK8k"/>
    <x v="7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dmmJtdYyI0uDeDaDqma4XWUADC0h"/>
    <x v="65"/>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P3aBg6-rxUaSfb1pDY2TemUADa71"/>
    <x v="66"/>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lSeJNVgK0u52N_ihA9OUWUALkYt"/>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fhRPsyK3rUClFiNL3JfxFWUADxRJ"/>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vqnHO5y_U2_nJm4D6KUI2UAL6u7"/>
    <x v="79"/>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RR3Kjzmr-kWaXR42SvTw5mUAP9BQ"/>
    <x v="80"/>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KoMXvcYc-0-NpaMRRLQhh2UAGtGi"/>
    <x v="77"/>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GC8NjisDakup29ozrcapTGUAGX8G"/>
    <x v="78"/>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zaFYaEIo4E2kRRsVUqnBd2UAHTHd"/>
    <x v="81"/>
    <x v="4"/>
    <m/>
    <s v="Product;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m/>
    <m/>
    <m/>
    <m/>
  </r>
  <r>
    <s v="_4Coi0wpJkqHOnbQB4gvcWUAD0EZ"/>
    <x v="82"/>
    <x v="4"/>
    <s v="Jeffrey Halim"/>
    <s v="Product;Phase 2.5;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b v="1"/>
    <m/>
    <m/>
    <m/>
    <m/>
    <m/>
    <m/>
    <m/>
    <m/>
    <m/>
    <m/>
    <m/>
    <b v="1"/>
    <m/>
    <m/>
    <m/>
  </r>
  <r>
    <s v="a2uKjpElv0aLDN3VvABlS2UALrAC"/>
    <x v="83"/>
    <x v="4"/>
    <s v="Rhoda Gill - Network;Michael S Mckinney"/>
    <s v="Test Method;Full Build;Phase 3"/>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tNH0lmh2kC1W5ryei2LNWUAL_vl"/>
    <x v="84"/>
    <x v="4"/>
    <s v="Michael S Mckinney"/>
    <s v="Instrumen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m/>
    <m/>
    <b v="1"/>
    <m/>
    <m/>
    <m/>
    <m/>
    <m/>
    <m/>
    <m/>
    <m/>
    <m/>
    <m/>
    <m/>
    <m/>
    <m/>
    <m/>
  </r>
  <r>
    <s v="sogqS97kjEK7jiHhFOjycWUAASfL"/>
    <x v="85"/>
    <x v="4"/>
    <m/>
    <s v="Test Method;Full Build;Phase 3;New;am"/>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S8CbKH8X2U-plBLReW5vvmUAMNfR"/>
    <x v="86"/>
    <x v="6"/>
    <s v="Tessa Merryman - Network;Gregory Barrantes - Network"/>
    <s v="Test Method;Full Build;Phase 3;New"/>
    <s v="config start date:07/09/2024 _x000a_ _x000a_all config blocked start date:7/11/2024;7/19/2024 _x000a_all config blocked end date:7/16/2024;7/23/2024 _x000a_config end date:07/23/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 _x000a_-specifications for products still needed _x000a_-specifications for sample still pending to know if they are test method related or product related _x000a_-consumables still needed (shannon already answer this) _x000a_-test method id: b13167"/>
    <x v="0"/>
    <x v="4"/>
    <e v="#VALUE!"/>
    <e v="#VALUE!"/>
    <x v="1"/>
    <n v="0"/>
    <x v="0"/>
    <n v="0"/>
    <n v="0"/>
    <x v="1"/>
    <n v="0"/>
    <n v="0"/>
    <n v="0"/>
    <n v="0"/>
    <x v="1"/>
    <n v="0"/>
    <n v="0"/>
    <x v="0"/>
    <n v="0"/>
    <n v="0"/>
    <x v="1"/>
    <m/>
    <m/>
    <x v="0"/>
    <x v="0"/>
    <x v="0"/>
    <x v="0"/>
    <x v="0"/>
    <x v="0"/>
    <b v="1"/>
    <m/>
    <m/>
    <m/>
    <m/>
    <m/>
    <m/>
    <m/>
    <m/>
    <m/>
    <m/>
    <m/>
    <m/>
    <m/>
    <m/>
    <b v="1"/>
    <m/>
  </r>
  <r>
    <s v="jwP7UU6qS0aXUMOsK7y7amUAKBPS"/>
    <x v="87"/>
    <x v="7"/>
    <s v="Tim Patch - Network"/>
    <s v="Test Method;Full Build;Phase 3;New;am"/>
    <s v="config start date:07/15/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0"/>
    <x v="0"/>
    <n v="0"/>
    <n v="0"/>
    <x v="1"/>
    <n v="0"/>
    <n v="0"/>
    <n v="0"/>
    <n v="0"/>
    <x v="1"/>
    <n v="0"/>
    <n v="0"/>
    <x v="0"/>
    <n v="0"/>
    <n v="0"/>
    <x v="1"/>
    <m/>
    <m/>
    <x v="0"/>
    <x v="0"/>
    <x v="0"/>
    <x v="0"/>
    <x v="0"/>
    <x v="0"/>
    <b v="1"/>
    <m/>
    <m/>
    <m/>
    <m/>
    <m/>
    <m/>
    <m/>
    <m/>
    <m/>
    <m/>
    <m/>
    <m/>
    <m/>
    <m/>
    <b v="1"/>
    <m/>
  </r>
  <r>
    <s v="ofVYebNvN0aojE66fUtduWUABuv_"/>
    <x v="88"/>
    <x v="7"/>
    <s v="Joseph Alexander - Network"/>
    <s v="Test Method;Full Build;Phase 3;New;am"/>
    <s v="config start date: 7/9/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0"/>
    <x v="0"/>
    <n v="0"/>
    <n v="0"/>
    <x v="1"/>
    <n v="0"/>
    <n v="0"/>
    <n v="0"/>
    <n v="0"/>
    <x v="1"/>
    <n v="0"/>
    <n v="0"/>
    <x v="0"/>
    <n v="0"/>
    <n v="0"/>
    <x v="1"/>
    <m/>
    <m/>
    <x v="0"/>
    <x v="0"/>
    <x v="0"/>
    <x v="0"/>
    <x v="0"/>
    <x v="0"/>
    <b v="1"/>
    <m/>
    <m/>
    <m/>
    <m/>
    <m/>
    <m/>
    <m/>
    <m/>
    <m/>
    <m/>
    <m/>
    <m/>
    <m/>
    <m/>
    <b v="1"/>
    <m/>
  </r>
  <r>
    <s v="xUeESUbQ6kSyf0qGKhjkV2UACWpc"/>
    <x v="89"/>
    <x v="6"/>
    <s v="Rhoda Gill - Network;Tim Patch - Network"/>
    <s v="Test Method;Full Build;Phase 3;New"/>
    <s v="config start date:07/08/24 _x000a_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0"/>
    <x v="0"/>
    <n v="0"/>
    <n v="0"/>
    <x v="1"/>
    <n v="0"/>
    <n v="0"/>
    <n v="0"/>
    <n v="0"/>
    <x v="1"/>
    <n v="0"/>
    <n v="0"/>
    <x v="0"/>
    <n v="0"/>
    <n v="0"/>
    <x v="1"/>
    <m/>
    <m/>
    <x v="0"/>
    <x v="0"/>
    <x v="0"/>
    <x v="0"/>
    <x v="0"/>
    <x v="0"/>
    <b v="1"/>
    <m/>
    <m/>
    <m/>
    <m/>
    <m/>
    <m/>
    <m/>
    <m/>
    <m/>
    <m/>
    <m/>
    <m/>
    <m/>
    <m/>
    <b v="1"/>
    <m/>
  </r>
  <r>
    <s v="Jul7b_YQbUGqqEIcCOBW5WUABSny"/>
    <x v="90"/>
    <x v="5"/>
    <s v="Juliana Masis - Network"/>
    <s v="Test Method;Full Build;Phase 3;New"/>
    <s v="config start date: 7/10/24 _x000a_ _x000a_all config blocked start date: 7/12/24; 7/17/24; _x000a_all config blocked end date: 7/15/24; 7/23/24;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e v="#VALUE!"/>
    <x v="1"/>
    <n v="0"/>
    <x v="0"/>
    <n v="0"/>
    <n v="0"/>
    <x v="1"/>
    <n v="0"/>
    <n v="0"/>
    <n v="0"/>
    <n v="0"/>
    <x v="1"/>
    <n v="0"/>
    <n v="0"/>
    <x v="0"/>
    <n v="0"/>
    <n v="0"/>
    <x v="1"/>
    <m/>
    <m/>
    <x v="0"/>
    <x v="0"/>
    <x v="0"/>
    <x v="0"/>
    <x v="0"/>
    <x v="0"/>
    <b v="1"/>
    <m/>
    <m/>
    <m/>
    <m/>
    <m/>
    <m/>
    <m/>
    <m/>
    <m/>
    <m/>
    <m/>
    <m/>
    <m/>
    <m/>
    <b v="1"/>
    <m/>
  </r>
  <r>
    <s v="RsnvB2l1zUypcPUujsNgemUABjVU"/>
    <x v="91"/>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1MxrVpbJJU-2j03Tjjs1MmUAF-E7"/>
    <x v="92"/>
    <x v="5"/>
    <s v="Joseph Alexander - Network"/>
    <s v="Test Method;Full Build;Phase 3;New"/>
    <s v="config start date: 07/24/2024 _x000a_ _x000a_all config blocked start date: 07/29/2024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e v="#VALUE!"/>
    <x v="1"/>
    <n v="0"/>
    <x v="0"/>
    <n v="0"/>
    <n v="0"/>
    <x v="1"/>
    <n v="0"/>
    <n v="0"/>
    <n v="0"/>
    <n v="0"/>
    <x v="1"/>
    <n v="0"/>
    <n v="0"/>
    <x v="0"/>
    <n v="0"/>
    <n v="0"/>
    <x v="1"/>
    <m/>
    <m/>
    <x v="0"/>
    <x v="0"/>
    <x v="0"/>
    <x v="0"/>
    <x v="0"/>
    <x v="0"/>
    <b v="1"/>
    <m/>
    <m/>
    <m/>
    <m/>
    <m/>
    <m/>
    <m/>
    <m/>
    <m/>
    <m/>
    <m/>
    <m/>
    <m/>
    <m/>
    <b v="1"/>
    <m/>
  </r>
  <r>
    <s v="wcgxJdrTu06K2T4QNc27CmUADuLx"/>
    <x v="93"/>
    <x v="4"/>
    <m/>
    <s v="Test Metho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QM06rJbsSEeQC96JTjxjRWUAJpiA"/>
    <x v="94"/>
    <x v="7"/>
    <s v="Caroline Morice - Network"/>
    <s v="Test Method;Full Build;Phase 3;New"/>
    <s v="config start date: 0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0"/>
    <x v="0"/>
    <n v="0"/>
    <n v="0"/>
    <x v="1"/>
    <n v="0"/>
    <n v="0"/>
    <n v="0"/>
    <n v="0"/>
    <x v="1"/>
    <n v="0"/>
    <n v="0"/>
    <x v="0"/>
    <n v="0"/>
    <n v="0"/>
    <x v="1"/>
    <m/>
    <m/>
    <x v="0"/>
    <x v="0"/>
    <x v="0"/>
    <x v="0"/>
    <x v="0"/>
    <x v="0"/>
    <b v="1"/>
    <m/>
    <m/>
    <m/>
    <m/>
    <m/>
    <m/>
    <m/>
    <m/>
    <m/>
    <m/>
    <m/>
    <m/>
    <m/>
    <m/>
    <b v="1"/>
    <m/>
  </r>
  <r>
    <s v="xJbUgc3Z-UiLwRjJsIvSGmUAMtHh"/>
    <x v="95"/>
    <x v="4"/>
    <m/>
    <s v="Test Method;Global Overlap Build;Full Build;Phase 3;New"/>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branchburg also*"/>
    <x v="0"/>
    <x v="3"/>
    <n v="0"/>
    <n v="0"/>
    <x v="1"/>
    <n v="0"/>
    <x v="0"/>
    <n v="0"/>
    <n v="0"/>
    <x v="1"/>
    <n v="0"/>
    <n v="0"/>
    <n v="0"/>
    <n v="0"/>
    <x v="1"/>
    <n v="0"/>
    <n v="0"/>
    <x v="0"/>
    <n v="0"/>
    <n v="0"/>
    <x v="1"/>
    <m/>
    <m/>
    <x v="0"/>
    <x v="0"/>
    <x v="0"/>
    <x v="0"/>
    <x v="0"/>
    <x v="0"/>
    <b v="1"/>
    <m/>
    <m/>
    <m/>
    <m/>
    <m/>
    <m/>
    <m/>
    <m/>
    <m/>
    <m/>
    <m/>
    <m/>
    <m/>
    <m/>
    <b v="1"/>
    <m/>
  </r>
  <r>
    <s v="CK49J6vnV0OqjU9WJ4UEkmUALKas"/>
    <x v="96"/>
    <x v="7"/>
    <s v="Mariana Torres - Network"/>
    <s v="Test Method;Full Build;Phase 3;New"/>
    <s v="config start date: 7/23/ 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n v="0"/>
    <n v="0"/>
    <x v="1"/>
    <n v="0"/>
    <x v="0"/>
    <n v="0"/>
    <n v="0"/>
    <x v="1"/>
    <n v="0"/>
    <n v="0"/>
    <n v="0"/>
    <n v="0"/>
    <x v="1"/>
    <n v="0"/>
    <n v="0"/>
    <x v="0"/>
    <n v="0"/>
    <n v="0"/>
    <x v="1"/>
    <m/>
    <m/>
    <x v="0"/>
    <x v="0"/>
    <x v="0"/>
    <x v="0"/>
    <x v="0"/>
    <x v="0"/>
    <b v="1"/>
    <m/>
    <m/>
    <m/>
    <m/>
    <m/>
    <m/>
    <m/>
    <m/>
    <m/>
    <m/>
    <m/>
    <m/>
    <m/>
    <m/>
    <b v="1"/>
    <m/>
  </r>
  <r>
    <s v="OlLAAeLxUEWNuTzz7XJ4wmUAMPty"/>
    <x v="97"/>
    <x v="7"/>
    <s v="Mariana Torres - Network"/>
    <s v="Test Method;Full Build;Phase 3;New;am"/>
    <s v="config start date: 7/15/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0"/>
    <x v="0"/>
    <n v="0"/>
    <n v="0"/>
    <x v="1"/>
    <n v="0"/>
    <n v="0"/>
    <n v="0"/>
    <n v="0"/>
    <x v="1"/>
    <n v="0"/>
    <n v="0"/>
    <x v="0"/>
    <n v="0"/>
    <n v="0"/>
    <x v="1"/>
    <m/>
    <m/>
    <x v="0"/>
    <x v="0"/>
    <x v="0"/>
    <x v="0"/>
    <x v="0"/>
    <x v="0"/>
    <b v="1"/>
    <m/>
    <m/>
    <m/>
    <m/>
    <m/>
    <m/>
    <m/>
    <m/>
    <m/>
    <m/>
    <m/>
    <m/>
    <m/>
    <m/>
    <b v="1"/>
    <m/>
  </r>
  <r>
    <s v="S_fi17z-SESpjM_SSxEzMWUAP9KC"/>
    <x v="98"/>
    <x v="8"/>
    <s v="Tessa Merryman - Network;Gregory Barrantes - Network"/>
    <s v="Test Method;Instrument;Full Build;Phase 3;New;am"/>
    <s v="config start date:7/16/2024 _x000a_ _x000a_all config blocked start date:7/19/2024 _x000a_all config blocked end date:7/24/2024 _x000a_config end date:7/24/2024 _x000a_ -------------------------------------------------------------------------------------------- _x000a_all peer review start date:7/31/2024 _x000a_all peer review end date:7/31/2024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still waiting on michael answer about sampling plan(group 1 doubt) (already answered) _x000a_ _x000a_ask rhoda for instrument calibration and consumables _x000a_instrument calibration in separated test method"/>
    <x v="0"/>
    <x v="0"/>
    <e v="#VALUE!"/>
    <e v="#VALUE!"/>
    <x v="1"/>
    <n v="1"/>
    <x v="1"/>
    <n v="0"/>
    <n v="0"/>
    <x v="1"/>
    <n v="0"/>
    <n v="0"/>
    <n v="0"/>
    <n v="0"/>
    <x v="1"/>
    <n v="0"/>
    <n v="0"/>
    <x v="0"/>
    <n v="0"/>
    <n v="0"/>
    <x v="1"/>
    <m/>
    <m/>
    <x v="1"/>
    <x v="0"/>
    <x v="0"/>
    <x v="0"/>
    <x v="0"/>
    <x v="0"/>
    <b v="1"/>
    <m/>
    <b v="1"/>
    <m/>
    <m/>
    <m/>
    <m/>
    <m/>
    <m/>
    <m/>
    <m/>
    <m/>
    <m/>
    <m/>
    <m/>
    <b v="1"/>
    <m/>
  </r>
  <r>
    <s v="i3nBx0ZSRU6KsFa8t7lA4WUAJBZu"/>
    <x v="99"/>
    <x v="9"/>
    <s v="Gregory Barrantes - Network;Tessa Merryman"/>
    <s v="Test Method;Full Build;Phase 3;New"/>
    <s v="config start date:07/11/2024 _x000a_ _x000a_all config blocked start date: _x000a_all config blocked end date: _x000a_config end date:7/15/2024 _x000a_ -------------------------------------------------------------------------------------------- _x000a_all peer review start date:7/15/2024 _x000a_all peer review end date:7/15/2024 _x000a_ _x000a_all peer review rework required start date:7/15/2024 _x000a_all pr rework blocked start date: _x000a_all pr rework blocked end date: _x000a_all peer review rework required end date:7/15/2024 _x000a_-------------------------------------------------------------------------------------------- _x000a_all ready for demo date:7/15/2024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4"/>
    <e v="#VALUE!"/>
    <n v="0"/>
    <x v="1"/>
    <n v="1"/>
    <x v="1"/>
    <e v="#VALUE!"/>
    <n v="0"/>
    <x v="1"/>
    <n v="1"/>
    <n v="0"/>
    <n v="0"/>
    <n v="0"/>
    <x v="1"/>
    <n v="0"/>
    <n v="0"/>
    <x v="0"/>
    <n v="0"/>
    <n v="0"/>
    <x v="1"/>
    <m/>
    <m/>
    <x v="1"/>
    <x v="1"/>
    <x v="0"/>
    <x v="0"/>
    <x v="0"/>
    <x v="0"/>
    <b v="1"/>
    <m/>
    <m/>
    <m/>
    <m/>
    <m/>
    <m/>
    <m/>
    <m/>
    <m/>
    <m/>
    <m/>
    <m/>
    <m/>
    <m/>
    <b v="1"/>
    <m/>
  </r>
  <r>
    <s v="QIA7OM1sS0OnobVP1ClYOmUAJhv8"/>
    <x v="100"/>
    <x v="4"/>
    <s v="Gregory Barrantes - Network"/>
    <s v="Test Method;Full Build;Phase 3;New"/>
    <s v="config start date:7/31/2024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e v="#VALUE!"/>
    <n v="0"/>
    <x v="1"/>
    <n v="0"/>
    <x v="0"/>
    <n v="0"/>
    <n v="0"/>
    <x v="1"/>
    <n v="0"/>
    <n v="0"/>
    <n v="0"/>
    <n v="0"/>
    <x v="1"/>
    <n v="0"/>
    <n v="0"/>
    <x v="0"/>
    <n v="0"/>
    <n v="0"/>
    <x v="1"/>
    <m/>
    <m/>
    <x v="0"/>
    <x v="0"/>
    <x v="0"/>
    <x v="0"/>
    <x v="0"/>
    <x v="0"/>
    <b v="1"/>
    <m/>
    <m/>
    <m/>
    <m/>
    <m/>
    <m/>
    <m/>
    <m/>
    <m/>
    <m/>
    <m/>
    <m/>
    <m/>
    <m/>
    <b v="1"/>
    <m/>
  </r>
  <r>
    <s v="BxMxdwMjT06REuPMjgdMP2UAIHi1"/>
    <x v="101"/>
    <x v="4"/>
    <s v="Rhoda Gill - Network;Michael S Mckinney"/>
    <s v="Test Method;Full Build;Skeleton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b v="1"/>
  </r>
  <r>
    <s v="YZ8UjItu7UifQCnqfwoPnGUAAYCV"/>
    <x v="102"/>
    <x v="4"/>
    <s v="Rhoda Gill - Network;Michael S Mckinney"/>
    <s v="Test Method;Global Overlap Build;Phase 3"/>
    <s v="config start date: _x000a_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in-progress with lim build. align build progress with doug sims"/>
    <x v="0"/>
    <x v="3"/>
    <n v="0"/>
    <n v="0"/>
    <x v="1"/>
    <n v="0"/>
    <x v="0"/>
    <n v="0"/>
    <n v="0"/>
    <x v="1"/>
    <n v="0"/>
    <n v="0"/>
    <n v="0"/>
    <n v="0"/>
    <x v="1"/>
    <n v="0"/>
    <n v="0"/>
    <x v="0"/>
    <n v="0"/>
    <n v="0"/>
    <x v="1"/>
    <m/>
    <m/>
    <x v="0"/>
    <x v="0"/>
    <x v="0"/>
    <x v="0"/>
    <x v="0"/>
    <x v="0"/>
    <b v="1"/>
    <m/>
    <m/>
    <m/>
    <m/>
    <m/>
    <m/>
    <m/>
    <m/>
    <m/>
    <m/>
    <m/>
    <m/>
    <m/>
    <m/>
    <m/>
    <m/>
  </r>
  <r>
    <s v="1YoYE7DakE-odj9NmK2r_2UADQTt"/>
    <x v="103"/>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V26-ZD9iFUqUicYB-TgzlWUAHvF7"/>
    <x v="104"/>
    <x v="4"/>
    <s v="Rhoda Gill - Network;Michael S Mckinney"/>
    <s v="Test Method;Full Build;Phase 3;New"/>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x v="0"/>
    <x v="3"/>
    <n v="0"/>
    <n v="0"/>
    <x v="1"/>
    <n v="0"/>
    <x v="0"/>
    <n v="0"/>
    <n v="0"/>
    <x v="1"/>
    <n v="0"/>
    <n v="0"/>
    <n v="0"/>
    <n v="0"/>
    <x v="1"/>
    <n v="0"/>
    <n v="0"/>
    <x v="0"/>
    <n v="0"/>
    <n v="0"/>
    <x v="1"/>
    <m/>
    <m/>
    <x v="0"/>
    <x v="0"/>
    <x v="0"/>
    <x v="0"/>
    <x v="0"/>
    <x v="0"/>
    <b v="1"/>
    <m/>
    <m/>
    <m/>
    <m/>
    <m/>
    <m/>
    <m/>
    <m/>
    <m/>
    <m/>
    <m/>
    <m/>
    <m/>
    <m/>
    <b v="1"/>
    <m/>
  </r>
  <r>
    <s v="e2RargUetkOWEDQ1AVUjtGUAMY83"/>
    <x v="105"/>
    <x v="4"/>
    <s v="Rhoda Gill - Network;Michael S Mckinney"/>
    <s v="Test Method;Full Buil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winkqcl interface"/>
    <x v="0"/>
    <x v="3"/>
    <n v="0"/>
    <n v="0"/>
    <x v="1"/>
    <n v="0"/>
    <x v="0"/>
    <n v="0"/>
    <n v="0"/>
    <x v="1"/>
    <n v="0"/>
    <n v="0"/>
    <n v="0"/>
    <n v="0"/>
    <x v="1"/>
    <n v="0"/>
    <n v="0"/>
    <x v="0"/>
    <n v="0"/>
    <n v="0"/>
    <x v="1"/>
    <m/>
    <m/>
    <x v="0"/>
    <x v="0"/>
    <x v="0"/>
    <x v="0"/>
    <x v="0"/>
    <x v="0"/>
    <b v="1"/>
    <m/>
    <m/>
    <m/>
    <m/>
    <m/>
    <m/>
    <m/>
    <m/>
    <m/>
    <m/>
    <m/>
    <m/>
    <m/>
    <m/>
    <b v="1"/>
    <m/>
  </r>
  <r>
    <s v="8IFTHx4sK0ioaOg5ulJagWUADMhC"/>
    <x v="106"/>
    <x v="4"/>
    <s v="Rhoda Gill - Network;Michael S Mckinney"/>
    <s v="Test Method;Phase 3"/>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_x000a_ _x000a_*need empower interface"/>
    <x v="0"/>
    <x v="3"/>
    <n v="0"/>
    <n v="0"/>
    <x v="1"/>
    <n v="0"/>
    <x v="0"/>
    <n v="0"/>
    <n v="0"/>
    <x v="1"/>
    <n v="0"/>
    <n v="0"/>
    <n v="0"/>
    <n v="0"/>
    <x v="1"/>
    <n v="0"/>
    <n v="0"/>
    <x v="0"/>
    <n v="0"/>
    <n v="0"/>
    <x v="1"/>
    <m/>
    <m/>
    <x v="0"/>
    <x v="0"/>
    <x v="0"/>
    <x v="0"/>
    <x v="0"/>
    <x v="0"/>
    <b v="1"/>
    <m/>
    <m/>
    <m/>
    <m/>
    <m/>
    <m/>
    <m/>
    <m/>
    <m/>
    <m/>
    <m/>
    <m/>
    <m/>
    <m/>
    <m/>
    <m/>
  </r>
  <r>
    <s v="hSELM9ZHyEGd_MGdzDF8lmUAEzJH"/>
    <x v="107"/>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GKIcjr4akWyHJZZUXkAiWUAKqmS"/>
    <x v="108"/>
    <x v="4"/>
    <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B60el85D20OarrciST55KWUAAQ53"/>
    <x v="109"/>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DHnt7gyWQEuglac6FcuP1WUAOh0k"/>
    <x v="110"/>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Ua8debIVRUqabf5IVkNtB2UAJrRW"/>
    <x v="111"/>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vYRgTIrV6UmFgoM-f20ufGUAAEuT"/>
    <x v="112"/>
    <x v="4"/>
    <s v="Jeffrey Halim"/>
    <s v="Product;blocked;Phase 2.5"/>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3"/>
    <n v="0"/>
    <n v="0"/>
    <x v="1"/>
    <n v="0"/>
    <x v="0"/>
    <n v="0"/>
    <n v="0"/>
    <x v="1"/>
    <n v="0"/>
    <n v="0"/>
    <n v="0"/>
    <n v="0"/>
    <x v="1"/>
    <n v="0"/>
    <n v="0"/>
    <x v="0"/>
    <n v="0"/>
    <n v="0"/>
    <x v="1"/>
    <m/>
    <m/>
    <x v="0"/>
    <x v="0"/>
    <x v="0"/>
    <x v="0"/>
    <x v="0"/>
    <x v="0"/>
    <m/>
    <b v="1"/>
    <m/>
    <m/>
    <m/>
    <m/>
    <m/>
    <m/>
    <m/>
    <m/>
    <m/>
    <m/>
    <m/>
    <b v="1"/>
    <m/>
    <m/>
    <m/>
  </r>
  <r>
    <s v="T9kY9riI6UO7NhrZKRVl4mUAF22l"/>
    <x v="113"/>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e v="#VALUE!"/>
    <n v="0"/>
    <x v="1"/>
    <n v="0"/>
    <x v="0"/>
    <n v="0"/>
    <n v="0"/>
    <x v="1"/>
    <n v="0"/>
    <n v="0"/>
    <n v="0"/>
    <n v="0"/>
    <x v="1"/>
    <n v="1"/>
    <n v="1"/>
    <x v="1"/>
    <n v="0"/>
    <n v="0"/>
    <x v="1"/>
    <d v="2024-07-01T00:00:00"/>
    <d v="2024-07-25T00:00:00"/>
    <x v="0"/>
    <x v="0"/>
    <x v="0"/>
    <x v="1"/>
    <x v="1"/>
    <x v="1"/>
    <m/>
    <b v="1"/>
    <m/>
    <m/>
    <m/>
    <m/>
    <m/>
    <m/>
    <m/>
    <m/>
    <m/>
    <m/>
    <m/>
    <b v="1"/>
    <m/>
    <m/>
    <m/>
  </r>
  <r>
    <s v="Gy5z7sS6EUaSzUSwV9Ou32UAJ-DQ"/>
    <x v="114"/>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e v="#VALUE!"/>
    <n v="0"/>
    <x v="1"/>
    <n v="0"/>
    <x v="0"/>
    <n v="0"/>
    <n v="0"/>
    <x v="1"/>
    <n v="0"/>
    <n v="0"/>
    <n v="0"/>
    <n v="0"/>
    <x v="1"/>
    <n v="1"/>
    <n v="1"/>
    <x v="1"/>
    <n v="0"/>
    <n v="0"/>
    <x v="1"/>
    <d v="2024-07-01T00:00:00"/>
    <d v="2024-07-25T00:00:00"/>
    <x v="0"/>
    <x v="0"/>
    <x v="0"/>
    <x v="1"/>
    <x v="1"/>
    <x v="1"/>
    <m/>
    <b v="1"/>
    <m/>
    <m/>
    <m/>
    <m/>
    <m/>
    <m/>
    <m/>
    <m/>
    <m/>
    <m/>
    <m/>
    <b v="1"/>
    <m/>
    <m/>
    <m/>
  </r>
  <r>
    <s v="NYi1D4kfd0uFzZN-BzKP3mUAI91a"/>
    <x v="115"/>
    <x v="2"/>
    <s v="Rhoda Gill - Network;Michael S Mckinney;Nicole Simpson"/>
    <s v="Product;Phase 2.5"/>
    <s v="sop #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e v="#VALUE!"/>
    <n v="0"/>
    <x v="1"/>
    <n v="0"/>
    <x v="0"/>
    <n v="0"/>
    <n v="0"/>
    <x v="1"/>
    <n v="0"/>
    <n v="0"/>
    <n v="0"/>
    <n v="0"/>
    <x v="1"/>
    <n v="1"/>
    <n v="1"/>
    <x v="1"/>
    <n v="0"/>
    <n v="0"/>
    <x v="1"/>
    <d v="2024-07-01T00:00:00"/>
    <d v="2024-07-25T00:00:00"/>
    <x v="0"/>
    <x v="0"/>
    <x v="0"/>
    <x v="1"/>
    <x v="1"/>
    <x v="1"/>
    <m/>
    <b v="1"/>
    <m/>
    <m/>
    <m/>
    <m/>
    <m/>
    <m/>
    <m/>
    <m/>
    <m/>
    <m/>
    <m/>
    <b v="1"/>
    <m/>
    <m/>
    <m/>
  </r>
  <r>
    <s v="aP58kJRH60e9fufaXt5t-WUALSEr"/>
    <x v="116"/>
    <x v="2"/>
    <s v="Rhoda Gill - Network;Michael S Mckinney;Nicole Simpson"/>
    <s v="Product;Phase 2.5"/>
    <s v="sop # gql-sop-773 _x000a_ _x000a_config start date:07/01/24 _x000a_all config blocked start date:na _x000a_all config blocked end date:na _x000a_config end date:07/0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7/01/24  _x000a_ _x000a_verification assigned to: tim patch _x000a_all client verification start date: 07/01/24 _x000a_all client verification end date: 07/01/24 _x000a_ _x000a_all client rework required start date:na _x000a_all client blocked start date:na _x000a_all client blocked end date:na _x000a_all client rework required end date:na _x000a_-------------------------------------------------------------------------------------------- _x000a_verification complete date:07/01/24 _x000a_ready to migrate date: 07/25/2024"/>
    <x v="0"/>
    <x v="2"/>
    <e v="#VALUE!"/>
    <n v="0"/>
    <x v="1"/>
    <n v="0"/>
    <x v="0"/>
    <n v="0"/>
    <n v="0"/>
    <x v="1"/>
    <n v="0"/>
    <n v="0"/>
    <n v="0"/>
    <n v="0"/>
    <x v="1"/>
    <n v="1"/>
    <n v="1"/>
    <x v="1"/>
    <n v="0"/>
    <n v="0"/>
    <x v="1"/>
    <d v="2024-07-01T00:00:00"/>
    <d v="2024-07-25T00:00:00"/>
    <x v="0"/>
    <x v="0"/>
    <x v="0"/>
    <x v="1"/>
    <x v="1"/>
    <x v="1"/>
    <m/>
    <b v="1"/>
    <m/>
    <m/>
    <m/>
    <m/>
    <m/>
    <m/>
    <m/>
    <m/>
    <m/>
    <m/>
    <m/>
    <b v="1"/>
    <m/>
    <m/>
    <m/>
  </r>
  <r>
    <s v="y0Isih9MIk2K6Bgs-HepwWUAORtI"/>
    <x v="117"/>
    <x v="2"/>
    <s v="Rhoda Gill - Network;Michael S Mckinney;Jeffrey Halim"/>
    <s v="Product"/>
    <s v="config start date:06/30/2024 _x000a_ _x000a_all config blocked start date:na  _x000a_ _x000a_all config blocked end date:na  _x000a_ _x000a_config end date:04/28/24  _x000a_ _x000a_ --------------------------------------------------------------------------------------------  _x000a_ _x000a_all peer review start date: 06/30/2024 _x000a_ _x000a_all peer review end date: 06/30/2024 _x000a_ _x000a_all peer review rework required start date:  _x000a_ _x000a_all pr rework blocked start date:  _x000a_ _x000a_all pr rework blocked end date:  _x000a_ _x000a_all peer review rework required end date:  _x000a_ _x000a_--------------------------------------------------------------------------------------------  _x000a_ _x000a_all ready for demo date: 07/08/2024 _x000a_ _x000a_all demo date: 07/08/2024 _x000a_ _x000a_all demo rework required start date:  _x000a_ _x000a_all demo blocked start date:  _x000a_ _x000a_all demo blocked end date:  _x000a_ _x000a_all demo rework required end date:  _x000a_ _x000a_--------------------------------------------------------------------------------------------  _x000a_ _x000a_all ready for client verification date: 07/08/20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e v="#VALUE!"/>
    <n v="0"/>
    <x v="1"/>
    <n v="1"/>
    <x v="1"/>
    <n v="0"/>
    <n v="0"/>
    <x v="1"/>
    <n v="1"/>
    <n v="1"/>
    <n v="0"/>
    <n v="0"/>
    <x v="1"/>
    <n v="1"/>
    <n v="1"/>
    <x v="1"/>
    <n v="0"/>
    <n v="0"/>
    <x v="1"/>
    <d v="2024-07-25T00:00:00"/>
    <d v="2024-07-25T00:00:00"/>
    <x v="1"/>
    <x v="0"/>
    <x v="1"/>
    <x v="1"/>
    <x v="1"/>
    <x v="1"/>
    <m/>
    <b v="1"/>
    <m/>
    <m/>
    <m/>
    <m/>
    <m/>
    <m/>
    <m/>
    <m/>
    <m/>
    <m/>
    <m/>
    <m/>
    <m/>
    <m/>
    <m/>
  </r>
  <r>
    <s v="6amlcmICoUWcAjvGBEQOTGUAFh2x"/>
    <x v="118"/>
    <x v="2"/>
    <s v="Douglas R Sims;Rhoda Gill - Network;Michael S Mckinney"/>
    <s v="Sample Template;Sample Type;Batch Template"/>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27/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25/2024 _x000a_ready to migrate date: 0725/2024 _x000a_--------------------------------------------------------------------------------------------- _x000a_additional information: _x000a_added the sample type, sample template and batch template of bioindicator. need to move over to pre-stg so the product and product variant can be added manually."/>
    <x v="0"/>
    <x v="2"/>
    <n v="0"/>
    <n v="0"/>
    <x v="1"/>
    <n v="0"/>
    <x v="0"/>
    <n v="0"/>
    <n v="0"/>
    <x v="1"/>
    <n v="0"/>
    <n v="0"/>
    <n v="0"/>
    <n v="0"/>
    <x v="1"/>
    <n v="1"/>
    <n v="0"/>
    <x v="0"/>
    <n v="0"/>
    <n v="0"/>
    <x v="1"/>
    <d v="2024-07-25T00:00:00"/>
    <m/>
    <x v="0"/>
    <x v="0"/>
    <x v="0"/>
    <x v="1"/>
    <x v="0"/>
    <x v="0"/>
    <m/>
    <m/>
    <m/>
    <m/>
    <m/>
    <m/>
    <m/>
    <m/>
    <m/>
    <m/>
    <m/>
    <m/>
    <m/>
    <m/>
    <m/>
    <m/>
    <m/>
  </r>
  <r>
    <s v="xn-iOjXp-0uLa_DohEy-8GUAIskQ"/>
    <x v="119"/>
    <x v="2"/>
    <s v="Douglas R Sims;Rhoda Gill - Network;Michael S Mckinney"/>
    <s v="Product"/>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7/14/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07/25/2024 _x000a_ready to migrate date: 07/25/2024 only sampling plan, product and product variant have to be manually entered.  _x000a_--------------------------------------------------------------------------------------------- _x000a_additional information: _x000a_will manually create in pre-stg as the product type changed and since batches were already created it will not let us change."/>
    <x v="0"/>
    <x v="2"/>
    <n v="0"/>
    <n v="0"/>
    <x v="1"/>
    <n v="0"/>
    <x v="0"/>
    <n v="0"/>
    <n v="0"/>
    <x v="1"/>
    <n v="0"/>
    <n v="0"/>
    <n v="0"/>
    <n v="0"/>
    <x v="1"/>
    <n v="1"/>
    <n v="0"/>
    <x v="0"/>
    <n v="0"/>
    <n v="0"/>
    <x v="1"/>
    <d v="2024-07-25T00:00:00"/>
    <d v="2024-07-25T00:00:00"/>
    <x v="0"/>
    <x v="0"/>
    <x v="0"/>
    <x v="1"/>
    <x v="0"/>
    <x v="1"/>
    <m/>
    <b v="1"/>
    <m/>
    <m/>
    <m/>
    <m/>
    <m/>
    <m/>
    <m/>
    <m/>
    <m/>
    <m/>
    <m/>
    <m/>
    <m/>
    <m/>
    <m/>
  </r>
  <r>
    <s v="F27eDGmfMUiMIDHGstgkvWUAEwtc"/>
    <x v="120"/>
    <x v="3"/>
    <s v="Michael S Mckinney;Nicole Simpson;Joseph Alexander - Network;Jeffrey Halim;Rhoda Gill"/>
    <s v="Instrument;Calibration Method;Phase 2.5"/>
    <s v="config start date:06/21/24 _x000a_ _x000a_all config blocked start date:na _x000a_all config blocked end date:na _x000a_config end date:06/24/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n v="0"/>
    <n v="0"/>
    <x v="1"/>
    <n v="1"/>
    <n v="0"/>
    <x v="0"/>
    <n v="0"/>
    <n v="0"/>
    <x v="1"/>
    <m/>
    <m/>
    <x v="1"/>
    <x v="0"/>
    <x v="1"/>
    <x v="1"/>
    <x v="0"/>
    <x v="0"/>
    <m/>
    <m/>
    <b v="1"/>
    <m/>
    <m/>
    <m/>
    <m/>
    <m/>
    <m/>
    <m/>
    <m/>
    <m/>
    <m/>
    <b v="1"/>
    <m/>
    <m/>
    <m/>
  </r>
  <r>
    <s v="d4CbLfpQDkeaOUTuLkVOTWUADk5L"/>
    <x v="121"/>
    <x v="3"/>
    <s v="Tim Patch - Network;Michael S Mckinney;Nicole Simpson;Jeffrey Halim;Rhoda Gill"/>
    <s v="Instrument;Calibration Method;Phase 2.5"/>
    <s v="sop # _x000a_ _x000a_config start date:06/21/24 _x000a_all config blocked start date:na _x000a_all config blocked end date:na _x000a_config end date:06/25/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07/18/2024 _x000a_ _x000a_all demo rework required start date: _x000a_all demo blocked start date: _x000a_all demo blocked end date: _x000a_all demo rework required end date: _x000a_-------------------------------------------------------------------------------------------- _x000a_all ready for client verification date: 07/1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n v="0"/>
    <n v="0"/>
    <x v="1"/>
    <n v="1"/>
    <n v="0"/>
    <x v="0"/>
    <n v="0"/>
    <n v="0"/>
    <x v="1"/>
    <m/>
    <m/>
    <x v="1"/>
    <x v="0"/>
    <x v="1"/>
    <x v="1"/>
    <x v="0"/>
    <x v="0"/>
    <m/>
    <m/>
    <b v="1"/>
    <m/>
    <m/>
    <m/>
    <m/>
    <m/>
    <m/>
    <m/>
    <m/>
    <m/>
    <m/>
    <b v="1"/>
    <m/>
    <m/>
    <m/>
  </r>
  <r>
    <s v="WaiMG5CDik295BmVklIIPmUAFN-S"/>
    <x v="122"/>
    <x v="3"/>
    <s v="Tim Patch - Network;Michael S Mckinney;Joseph Alexander - Network;Jeffrey Halim;Rhoda Gill"/>
    <s v="Test Method;Phase 2.5"/>
    <s v="sop # con-mth-36582, con-mexf-32327, con-mth-prd-123525 _x000a_ _x000a_config start date:03/27/24 _x000a_all config blocked start date:05/06/24 _x000a_all config blocked end date:06/17/19 _x000a_config end date:06/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7/2024 _x000a_ready for re-demo: 07/17/2024 _x000a_-------------------------------------------------------------------------------------------- _x000a_all ready for client verification date:07/19/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e v="#VALUE!"/>
    <x v="1"/>
    <n v="1"/>
    <x v="1"/>
    <n v="0"/>
    <n v="0"/>
    <x v="1"/>
    <n v="1"/>
    <n v="1"/>
    <e v="#VALUE!"/>
    <n v="0"/>
    <x v="1"/>
    <n v="1"/>
    <n v="0"/>
    <x v="0"/>
    <n v="0"/>
    <n v="0"/>
    <x v="1"/>
    <m/>
    <m/>
    <x v="1"/>
    <x v="0"/>
    <x v="1"/>
    <x v="1"/>
    <x v="0"/>
    <x v="0"/>
    <b v="1"/>
    <m/>
    <m/>
    <m/>
    <m/>
    <m/>
    <m/>
    <m/>
    <m/>
    <m/>
    <m/>
    <m/>
    <m/>
    <b v="1"/>
    <m/>
    <m/>
    <m/>
  </r>
  <r>
    <s v="bddubYKg80uBNO_IsN2YmWUABSk5"/>
    <x v="123"/>
    <x v="3"/>
    <s v="Tim Patch - Network;Michael S Mckinney;Joseph Alexander - Network;Rhoda Gill"/>
    <s v="Test Method;Phase 2.5"/>
    <s v="sop #con-mth-36600, con-mexf-122883 _x000a_ _x000a_config start date:03/27/24 _x000a_all config blocked start date:05/06/24 _x000a_all config blocked end date:06/10/24 _x000a_config end date:06/20/24;06/21/2024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07/17/2024 _x000a_all demo blocked start date: _x000a_all demo blocked end date: _x000a_all demo rework required end date: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 _x000a_additional information: 06/21/2024 updates were given"/>
    <x v="0"/>
    <x v="1"/>
    <e v="#VALUE!"/>
    <e v="#VALUE!"/>
    <x v="1"/>
    <n v="1"/>
    <x v="1"/>
    <n v="0"/>
    <n v="0"/>
    <x v="1"/>
    <n v="1"/>
    <n v="1"/>
    <e v="#VALUE!"/>
    <n v="0"/>
    <x v="1"/>
    <n v="1"/>
    <n v="0"/>
    <x v="0"/>
    <n v="0"/>
    <n v="0"/>
    <x v="1"/>
    <m/>
    <m/>
    <x v="1"/>
    <x v="0"/>
    <x v="1"/>
    <x v="1"/>
    <x v="0"/>
    <x v="0"/>
    <b v="1"/>
    <m/>
    <m/>
    <m/>
    <m/>
    <m/>
    <m/>
    <m/>
    <m/>
    <m/>
    <m/>
    <m/>
    <m/>
    <b v="1"/>
    <m/>
    <m/>
    <m/>
  </r>
  <r>
    <s v="-DIZmvtuL0eG6rcezHF-p2UAD0uZ"/>
    <x v="124"/>
    <x v="3"/>
    <s v="Tim Patch - Network;Michael S Mckinney;Joseph Alexander - Network;Rhoda Gill"/>
    <s v="Test Method;Phase 2.5"/>
    <s v="sop # con-mth-36601 _x000a_ _x000a_config start date:03/27/24 _x000a_all config blocked start date:na _x000a_all config blocked end date:na _x000a_config end date:06/20/24, 06/21/2024 updated informaton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jVWrlSA9sk-QRJ8epUw4vmUAFtIw"/>
    <x v="125"/>
    <x v="3"/>
    <s v="Tim Patch - Network;Michael S Mckinney;Nicole Simpson;Joseph Alexander - Network;Rhoda Gill"/>
    <s v="Test Method;Phase 2.5"/>
    <s v="sop #con-mth-36583, con-mexf-122883, con-prd-123525 _x000a_ _x000a_config start date:03/27/24 _x000a_all config blocked start date:na _x000a_all config blocked end date:na _x000a_config end date:06/20/24, updates given 06/21/20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7/2024 _x000a_ _x000a_all demo rework required start date: 07/17/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16Cuq8ct8U-KZzNQkE7DtmUAJGWK"/>
    <x v="126"/>
    <x v="0"/>
    <s v="Tim Patch - Network;Michael S Mckinney;Joseph Alexander - Network;Rhoda Gill"/>
    <s v="Test Method"/>
    <s v="sop # _x000a_ _x000a_config start date:03/27/24 _x000a_all config blocked start date:na _x000a_all config blocked end date:na _x000a_config end date:06/18/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n v="0"/>
    <n v="0"/>
    <x v="1"/>
    <n v="0"/>
    <n v="0"/>
    <n v="0"/>
    <n v="0"/>
    <x v="1"/>
    <n v="0"/>
    <n v="0"/>
    <x v="0"/>
    <n v="0"/>
    <n v="0"/>
    <x v="1"/>
    <m/>
    <m/>
    <x v="1"/>
    <x v="0"/>
    <x v="0"/>
    <x v="0"/>
    <x v="0"/>
    <x v="0"/>
    <b v="1"/>
    <m/>
    <m/>
    <m/>
    <m/>
    <m/>
    <m/>
    <m/>
    <m/>
    <m/>
    <m/>
    <m/>
    <m/>
    <m/>
    <m/>
    <m/>
    <m/>
  </r>
  <r>
    <s v="O-2w06O6SUa0QYNhdVbnxWUAKyF3"/>
    <x v="127"/>
    <x v="3"/>
    <s v="Tim Patch - Network;Michael S Mckinney;Joseph Alexander - Network;Rhoda Gill"/>
    <s v="Test Method;Phase 2.5"/>
    <s v="sop #con-mexf-prd-122883 _x000a_ _x000a_config start date:03/27/24 _x000a_all config blocked start date:na _x000a_all config blocked end date:na _x000a_config end date:06/18/24  _x000a_ -------------------------------------------------------------------------------------------- _x000a_all peer review start date: 07/17/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9/2024 _x000a_ _x000a_all demo rework required start date: 07/19/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Hd6ep3HhPUWLWvG-Bg9uvGUAPvhZ"/>
    <x v="128"/>
    <x v="3"/>
    <s v="Tim Patch - Network;Michael S Mckinney;Joseph Alexander - Network;Rhoda Gill"/>
    <s v="Test Method;Phase 2.5"/>
    <s v="sop # _x000a_ _x000a_config start date:03/27/24 _x000a_all config blocked start date:na _x000a_all config blocked end date:na _x000a_config end date:06/17/24, 06/21/2024 received updated info _x000a_ -------------------------------------------------------------------------------------------- _x000a_all peer review start date: 07/15/2024 _x000a_all peer review end date: 07/17/2024 _x000a_ _x000a_all peer review rework required start date: _x000a_all pr rework blocked start date: _x000a_all pr rework blocked end date: _x000a_all peer review rework required end date: _x000a_-------------------------------------------------------------------------------------------- _x000a_all ready for demo date: 07/17/2024 _x000a_ _x000a_all demo date: 07/18/2024 _x000a_ _x000a_all demo rework required start date: 07/19/2024 _x000a_all demo blocked start date: _x000a_all demo blocked end date: _x000a_all demo rework required end date: 07/19/2024 _x000a_-------------------------------------------------------------------------------------------- _x000a_all ready for client verification date: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mHl8qSINZUeiZ-yvVeSkM2UANM-q"/>
    <x v="129"/>
    <x v="0"/>
    <s v="Tim Patch - Network;Michael S Mckinney;Joseph Alexander - Network;Rhoda Gill"/>
    <s v="Test Method"/>
    <s v="sop # _x000a_ _x000a_config start date:03/27/24 _x000a_all config blocked start date:na _x000a_all config blocked end date:na _x000a_config end date:06/17/24 _x000a_ -------------------------------------------------------------------------------------------- _x000a_all peer review start date: 07/15/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n v="0"/>
    <n v="0"/>
    <x v="1"/>
    <n v="0"/>
    <n v="0"/>
    <n v="0"/>
    <n v="0"/>
    <x v="1"/>
    <n v="0"/>
    <n v="0"/>
    <x v="0"/>
    <n v="0"/>
    <n v="0"/>
    <x v="1"/>
    <m/>
    <m/>
    <x v="1"/>
    <x v="0"/>
    <x v="0"/>
    <x v="0"/>
    <x v="0"/>
    <x v="0"/>
    <b v="1"/>
    <m/>
    <m/>
    <m/>
    <m/>
    <m/>
    <m/>
    <m/>
    <m/>
    <m/>
    <m/>
    <m/>
    <m/>
    <m/>
    <m/>
    <m/>
    <m/>
  </r>
  <r>
    <s v="qHZbeRlqtU-Nto6mOI_UeWUAE2fA"/>
    <x v="130"/>
    <x v="9"/>
    <s v="Tim Patch - Network;Michael S Mckinney;Nicole Simpson;Joseph Alexander - Network;Jeffrey Halim;Rhoda Gill"/>
    <s v="Test Method"/>
    <s v="sop # _x000a_ _x000a_config start date:03/27/24 _x000a_all config blocked start date:na _x000a_all config blocked end date:na _x000a_config end date:06/17/24 _x000a_ -------------------------------------------------------------------------------------------- _x000a_all peer review start date: 07/12/2024 _x000a_all peer review end date: 07/16/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4"/>
    <e v="#VALUE!"/>
    <n v="0"/>
    <x v="1"/>
    <n v="1"/>
    <x v="1"/>
    <n v="0"/>
    <n v="0"/>
    <x v="1"/>
    <n v="0"/>
    <n v="0"/>
    <n v="0"/>
    <n v="0"/>
    <x v="1"/>
    <n v="0"/>
    <n v="0"/>
    <x v="0"/>
    <n v="0"/>
    <n v="0"/>
    <x v="1"/>
    <m/>
    <m/>
    <x v="1"/>
    <x v="0"/>
    <x v="0"/>
    <x v="0"/>
    <x v="0"/>
    <x v="0"/>
    <b v="1"/>
    <m/>
    <m/>
    <m/>
    <m/>
    <m/>
    <m/>
    <m/>
    <m/>
    <m/>
    <m/>
    <m/>
    <m/>
    <m/>
    <m/>
    <m/>
    <m/>
  </r>
  <r>
    <s v="gx2El7AiR0mXWlerKE4QTWUAAlaH"/>
    <x v="131"/>
    <x v="3"/>
    <s v="Tim Patch - Network;Michael S Mckinney;Joseph Alexander - Network;Rhoda Gill"/>
    <s v="Test Method;Phase 2.5"/>
    <s v="sop #con-mth-36600, con-mexf-32327, con-mth-prd-123525 _x000a_ _x000a_config start date:03/27/24 _x000a_all config blocked start date:na _x000a_all config blocked end date:na _x000a_config end date:07/01/24 _x000a_ -------------------------------------------------------------------------------------------- _x000a_all peer review start date: 07/15/2024 _x000a_all peer review end date:  07/16/2024 _x000a_ _x000a_all peer review rework required start date: _x000a_all pr rework blocked start date: _x000a_all pr rework blocked end date: _x000a_all peer review rework required end date: _x000a_-------------------------------------------------------------------------------------------- _x000a_all ready for demo date: 07/16/2024 _x000a_ _x000a_all demo date: 07/18/2024 _x000a_ _x000a_all demo rework required start date: 07/18/2024 _x000a_all demo blocked start date: _x000a_all demo blocked end date: _x000a_all demo rework required end date: 07/19/2024 _x000a_-------------------------------------------------------------------------------------------- _x000a_all ready for client verification date: 07/19/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1"/>
    <e v="#VALUE!"/>
    <n v="0"/>
    <x v="1"/>
    <n v="1"/>
    <n v="0"/>
    <x v="0"/>
    <n v="0"/>
    <n v="0"/>
    <x v="1"/>
    <m/>
    <m/>
    <x v="1"/>
    <x v="0"/>
    <x v="1"/>
    <x v="1"/>
    <x v="0"/>
    <x v="0"/>
    <b v="1"/>
    <m/>
    <m/>
    <m/>
    <m/>
    <m/>
    <m/>
    <m/>
    <m/>
    <m/>
    <m/>
    <m/>
    <m/>
    <b v="1"/>
    <m/>
    <m/>
    <m/>
  </r>
  <r>
    <s v="1ihmb2Ylgk-UC3WHkV3leWUAJ1H6"/>
    <x v="132"/>
    <x v="0"/>
    <s v="Tim Patch - Network;Michael S Mckinney;Joseph Alexander - Network"/>
    <s v="Test Method"/>
    <s v="sop # _x000a_ _x000a_config start date:03/27/24 _x000a_all config blocked start date:na _x000a_all config blocked end date:na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0"/>
    <x v="0"/>
    <n v="0"/>
    <n v="0"/>
    <x v="1"/>
    <n v="0"/>
    <n v="0"/>
    <n v="0"/>
    <n v="0"/>
    <x v="1"/>
    <n v="0"/>
    <n v="0"/>
    <x v="0"/>
    <n v="0"/>
    <n v="0"/>
    <x v="1"/>
    <m/>
    <m/>
    <x v="0"/>
    <x v="0"/>
    <x v="0"/>
    <x v="0"/>
    <x v="0"/>
    <x v="0"/>
    <b v="1"/>
    <m/>
    <m/>
    <m/>
    <m/>
    <m/>
    <m/>
    <m/>
    <m/>
    <m/>
    <m/>
    <m/>
    <m/>
    <m/>
    <m/>
    <m/>
    <m/>
  </r>
  <r>
    <s v="96k3FjShQkezBHvKz8TyW2UAIDCT"/>
    <x v="133"/>
    <x v="3"/>
    <s v="Rhoda Gill - Network;Tim Patch - Network;Michael S Mckinney;Nicole Simpson;Jeffrey Halim"/>
    <s v="Instrument;Calibration Method;Phase 3"/>
    <s v="sop # _x000a_ _x000a_config start date:06/05/24 _x000a_all config blocked start date:na _x000a_all config blocked end date:na _x000a_config end date:06/07/24  _x000a_ -------------------------------------------------------------------------------------------- _x000a_all peer review start date: 07/15/2024 _x000a_all peer review end date: 07/15/2024 _x000a_ _x000a_all peer review rework required start date: _x000a_all pr rework blocked start date: _x000a_all pr rework blocked end date: _x000a_all peer review rework required end date: _x000a_-------------------------------------------------------------------------------------------- _x000a_all ready for demo date: 07/15/2024 _x000a_ _x000a_all demo date: _x000a_ _x000a_all demo rework required start date: _x000a_all demo blocked start date: _x000a_all demo blocked end date: _x000a_all demo rework required end date: _x000a_-------------------------------------------------------------------------------------------- _x000a_all ready for client verification date: 07/16/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1"/>
    <e v="#VALUE!"/>
    <n v="0"/>
    <x v="1"/>
    <n v="1"/>
    <x v="1"/>
    <n v="0"/>
    <n v="0"/>
    <x v="1"/>
    <n v="1"/>
    <n v="0"/>
    <n v="0"/>
    <n v="0"/>
    <x v="1"/>
    <n v="1"/>
    <n v="0"/>
    <x v="0"/>
    <n v="0"/>
    <n v="0"/>
    <x v="1"/>
    <m/>
    <m/>
    <x v="1"/>
    <x v="0"/>
    <x v="0"/>
    <x v="1"/>
    <x v="0"/>
    <x v="0"/>
    <m/>
    <m/>
    <b v="1"/>
    <m/>
    <m/>
    <m/>
    <m/>
    <m/>
    <m/>
    <m/>
    <m/>
    <m/>
    <m/>
    <m/>
    <m/>
    <m/>
    <m/>
  </r>
  <r>
    <s v="XXYhxa9wKE21BAnZt-BHFmUAF4xB"/>
    <x v="134"/>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4  _x000a_ _x000a_verification assigned to: _x000a_all client verification start date:07/08/24 _x000a_all client verification end date:07/08/24 _x000a_ _x000a_all client rework required start date: _x000a_all client blocked start date: _x000a_all client blocked end date: _x000a_all client rework required end date: _x000a_-------------------------------------------------------------------------------------------- _x000a_verification complete date:07/10/24  _x000a_ready to migrate date: 07/25/2024 _x000a_-------------------------------------------------------------------------------------------- _x000a_ _x000a_additional information: 10 jul (date bntered by am after card had been moved to verif complete with no date entered)"/>
    <x v="0"/>
    <x v="2"/>
    <e v="#VALUE!"/>
    <n v="0"/>
    <x v="1"/>
    <n v="0"/>
    <x v="0"/>
    <n v="0"/>
    <n v="0"/>
    <x v="1"/>
    <n v="0"/>
    <n v="0"/>
    <n v="0"/>
    <n v="0"/>
    <x v="1"/>
    <n v="1"/>
    <n v="1"/>
    <x v="1"/>
    <n v="0"/>
    <n v="0"/>
    <x v="1"/>
    <d v="2024-07-10T00:00:00"/>
    <d v="2024-07-25T00:00:00"/>
    <x v="0"/>
    <x v="0"/>
    <x v="0"/>
    <x v="1"/>
    <x v="1"/>
    <x v="1"/>
    <m/>
    <b v="1"/>
    <m/>
    <m/>
    <m/>
    <m/>
    <m/>
    <m/>
    <m/>
    <m/>
    <m/>
    <m/>
    <m/>
    <m/>
    <m/>
    <m/>
    <m/>
  </r>
  <r>
    <s v="mzLZxeTvX0OLG_500lvMXGUAHZHl"/>
    <x v="135"/>
    <x v="2"/>
    <s v="Rhoda Gill - Network;Michael S Mckinney;Nicole Simpson"/>
    <s v="Product"/>
    <s v="sop # gql-sop-773 _x000a_ _x000a_config start date:06/25/24 _x000a_all config blocked start date:na _x000a_all config blocked end date:na _x000a_config end date:06/28/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8/20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07/10/24 _x000a_ready to migrate date: 07/25/2024 _x000a_ _x000a_-------------------------------------------------------------------------------------------- _x000a_ _x000a_additional comments:  verification complete date entered by am after card had been moved)"/>
    <x v="0"/>
    <x v="2"/>
    <e v="#VALUE!"/>
    <n v="0"/>
    <x v="1"/>
    <n v="0"/>
    <x v="0"/>
    <n v="0"/>
    <n v="0"/>
    <x v="1"/>
    <n v="0"/>
    <n v="0"/>
    <n v="0"/>
    <n v="0"/>
    <x v="1"/>
    <n v="1"/>
    <n v="0"/>
    <x v="0"/>
    <n v="0"/>
    <n v="0"/>
    <x v="1"/>
    <d v="2024-07-10T00:00:00"/>
    <d v="2024-07-25T00:00:00"/>
    <x v="0"/>
    <x v="0"/>
    <x v="0"/>
    <x v="1"/>
    <x v="0"/>
    <x v="1"/>
    <m/>
    <b v="1"/>
    <m/>
    <m/>
    <m/>
    <m/>
    <m/>
    <m/>
    <m/>
    <m/>
    <m/>
    <m/>
    <m/>
    <m/>
    <m/>
    <m/>
    <m/>
  </r>
  <r>
    <s v="Ys3RkTfo-kK9l2x7DwJksWUAHb8H"/>
    <x v="136"/>
    <x v="0"/>
    <s v="Rhoda Gill - Network;Tim Patch - Network;Michael S Mckinney;David Harvey;Gregory A Dial;Keith P Parsons"/>
    <s v="Instrument Types"/>
    <s v="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06/06/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additional information: _x000a_list of instrument types to be added to dev3 is located here: [https://collab.lilly.com/:x:/r/sites/nextgenlimslesimplementation/_layouts/15/doc2.aspx?action=edit&amp;sourcedoc=%7b06b8c859-fde3-49c2-bbea-00bb595e2601%7d&amp;wdorigin=teams-web.teamssdk_ns.rwc&amp;wdexp=teams-treatment&amp;wdhostclicktime=1716144721908&amp;web=1](https://collab.lilly.com/:x:/r/sites/nextgenlimslesimplementation/_layouts/15/doc2.aspx?action=edit&amp;amp;sourcedoc=%7b06b8c859-fde3-49c2-bbea-00bb595e2601%7d&amp;amp;wdorigin=teams-web.teamssdk_ns.rwc&amp;amp;wdexp=teams-treatment&amp;amp;wdhostclicktime=1716144721908&amp;amp;web=1).  _x000a_ _x000a_the new link is: [sl_all_sites_instrument_generaltable.xlsx](https://collab.lilly.com/:x:/r/sites/luna-globalprojectteam/shared%20documents/general/2.%20development/data%20standardization/instrument%20data/sl_all_sites_instrument_generaltable.xlsx?d=wb97d0b181204402fb127dc6eeefbdd1c&amp;amp;csf=1&amp;amp;web=1&amp;amp;e=qierwp)"/>
    <x v="0"/>
    <x v="0"/>
    <n v="0"/>
    <n v="0"/>
    <x v="1"/>
    <n v="0"/>
    <x v="0"/>
    <n v="0"/>
    <n v="0"/>
    <x v="1"/>
    <n v="0"/>
    <n v="0"/>
    <n v="0"/>
    <n v="0"/>
    <x v="1"/>
    <n v="1"/>
    <n v="0"/>
    <x v="0"/>
    <n v="0"/>
    <n v="0"/>
    <x v="1"/>
    <m/>
    <m/>
    <x v="0"/>
    <x v="0"/>
    <x v="0"/>
    <x v="1"/>
    <x v="0"/>
    <x v="0"/>
    <m/>
    <m/>
    <m/>
    <m/>
    <m/>
    <m/>
    <m/>
    <m/>
    <m/>
    <m/>
    <m/>
    <m/>
    <m/>
    <m/>
    <m/>
    <m/>
    <m/>
  </r>
  <r>
    <s v="jDoiTL5dUk-277i54P7TmGUABX-Z"/>
    <x v="137"/>
    <x v="0"/>
    <s v="Rhoda Gill - Network;Tim Patch - Network;Andree Martin - Network"/>
    <s v="Test Method;Do not delete until invoiced"/>
    <s v="sop # media acceptance testing _x000a_ _x000a_config start date:05/15/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 _x000a_ _x000a_all demo date:05/17/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0"/>
    <x v="0"/>
    <n v="0"/>
    <n v="0"/>
    <x v="1"/>
    <n v="1"/>
    <n v="1"/>
    <n v="0"/>
    <n v="0"/>
    <x v="1"/>
    <n v="0"/>
    <n v="0"/>
    <x v="0"/>
    <n v="0"/>
    <n v="0"/>
    <x v="1"/>
    <m/>
    <m/>
    <x v="0"/>
    <x v="0"/>
    <x v="1"/>
    <x v="0"/>
    <x v="0"/>
    <x v="0"/>
    <b v="1"/>
    <m/>
    <m/>
    <m/>
    <m/>
    <m/>
    <m/>
    <m/>
    <m/>
    <m/>
    <m/>
    <m/>
    <m/>
    <m/>
    <m/>
    <m/>
    <m/>
  </r>
  <r>
    <s v="0AI9PNGO80SkM18_LTTDgWUAH_m5"/>
    <x v="138"/>
    <x v="2"/>
    <s v="Douglas R Sims;Tim Patch - Network;Michael S Mckinney;Joseph Alexander - Network;Rhoda Gill"/>
    <s v="Test Method"/>
    <s v="there is a card in limerick - when you move this one, pleas emove limerick card as well _x000a_sop # bio indicators _x000a_ _x000a_config start date:05/09/24 _x000a_all config blocked start date:na _x000a_all config blocked end date:na _x000a_config end date:05/17/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7/24;05/30/24;06/10/24;06/24/24 _x000a_ _x000a_all demo date:05/17/24;05/30/24;06/10/24;06/24/24;06/28/24 _x000a_ _x000a_all demo rework required start date:06/23/2024;06/27/24 _x000a_all demo blocked start date:na _x000a_all demo blocked end date:na _x000a_all demo rework required end date:06/24/24;06/27/24 _x000a_final demo: 07/09/2024 _x000a_-------------------------------------------------------------------------------------------- _x000a_all ready for client verification date: 07/12/2024 _x000a_ _x000a_verification assigned to: _x000a_all client verification start date:na _x000a_all client verification end date:na _x000a_ _x000a_all client rework required start date: _x000a_all client blocked start date:na _x000a_all client blocked end date:na _x000a_all client rework required end date: _x000a_-------------------------------------------------------------------------------------------- _x000a_verification complete date: 07/25/2024 _x000a_ready to migrate date: 07/25/2024"/>
    <x v="0"/>
    <x v="2"/>
    <e v="#VALUE!"/>
    <n v="0"/>
    <x v="1"/>
    <n v="0"/>
    <x v="0"/>
    <n v="0"/>
    <n v="0"/>
    <x v="1"/>
    <n v="4"/>
    <n v="5"/>
    <e v="#VALUE!"/>
    <n v="0"/>
    <x v="1"/>
    <n v="1"/>
    <n v="0"/>
    <x v="0"/>
    <n v="0"/>
    <n v="0"/>
    <x v="1"/>
    <d v="2024-07-25T00:00:00"/>
    <d v="2024-07-25T00:00:00"/>
    <x v="0"/>
    <x v="0"/>
    <x v="1"/>
    <x v="1"/>
    <x v="0"/>
    <x v="1"/>
    <b v="1"/>
    <m/>
    <m/>
    <m/>
    <m/>
    <m/>
    <m/>
    <m/>
    <m/>
    <m/>
    <m/>
    <m/>
    <m/>
    <m/>
    <m/>
    <m/>
    <m/>
  </r>
  <r>
    <s v="14x6NvKvIUOnSCeL1hFqMWUAK9rO"/>
    <x v="139"/>
    <x v="2"/>
    <s v="Tim Patch - Network;Michael S Mckinney;Nicole Simpson;Joseph Alexander - Network;Rhoda Gill"/>
    <s v="Test Method"/>
    <s v="sop # _x000a_ _x000a_config start date:05/09/24 _x000a_all config blocked start date:na _x000a_all config blocked end date:na _x000a_config end date:05/16/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6/24;06/02/24;06/23/24 _x000a_ _x000a_all demo date:05/17/24;06/10/24;06/24/24 _x000a_ _x000a_all demo rework required start date:06/02/24;06/23/24;06/28/24 _x000a_all demo blocked start date:na _x000a_all demo blocked end date:na _x000a_all demo rework required end date:06/02/24;06/23/24;06/28/24  _x000a_final demo: 07/09/2024 _x000a_-------------------------------------------------------------------------------------------- _x000a_all ready for client verification date: 07/09/2024;07/23/2024 _x000a_ _x000a_verification assigned to: jeffrey halim _x000a_all client verification start date:07/22/2024; _x000a_all client verification end date:07/22/2024; _x000a_ _x000a_all client rework required start date: 07/23/2024 _x000a_all client blocked start date:na _x000a_all client blocked end date:na _x000a_all client rework required end date: 07/23/2024 _x000a_-------------------------------------------------------------------------------------------- _x000a_verification complete date: 07/25/2024 _x000a_ _x000a_ready to migrate date: 07/25/2024 _x000a_request for changes to jeffrey halim 2024 07 29"/>
    <x v="0"/>
    <x v="2"/>
    <e v="#VALUE!"/>
    <n v="0"/>
    <x v="1"/>
    <n v="0"/>
    <x v="0"/>
    <n v="0"/>
    <n v="0"/>
    <x v="1"/>
    <n v="3"/>
    <n v="3"/>
    <e v="#VALUE!"/>
    <n v="0"/>
    <x v="1"/>
    <n v="2"/>
    <n v="1"/>
    <x v="1"/>
    <e v="#VALUE!"/>
    <n v="0"/>
    <x v="1"/>
    <d v="2024-07-25T00:00:00"/>
    <d v="2024-07-25T00:00:00"/>
    <x v="0"/>
    <x v="0"/>
    <x v="1"/>
    <x v="1"/>
    <x v="1"/>
    <x v="1"/>
    <b v="1"/>
    <m/>
    <m/>
    <m/>
    <m/>
    <m/>
    <m/>
    <m/>
    <m/>
    <m/>
    <m/>
    <m/>
    <m/>
    <m/>
    <m/>
    <m/>
    <m/>
  </r>
  <r>
    <s v="nrfMASCbB0apSosUHqgKXmUAL1Uy"/>
    <x v="140"/>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L2I-s1w5mkG3Jal0Zdc_I2UAJGYV"/>
    <x v="141"/>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qdZ9UHo0jk2iiRkFtlcrYmUALmnP"/>
    <x v="142"/>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_NCAnIkiuUKrDe7_ZV3q6GUANC08"/>
    <x v="143"/>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T68lrb3Xe0GeNXiJvNAUyGUANvXZ"/>
    <x v="144"/>
    <x v="10"/>
    <s v="Rhoda Gill - Network;Tim Patch - Network;Raquel Bolaños"/>
    <s v="Storage"/>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iaBD9ucJh0KGCqQuxhyXS2UAGSNF"/>
    <x v="145"/>
    <x v="10"/>
    <s v="Rhoda Gill - Network;Tim Patch - Network;Raquel Bolaños"/>
    <s v="Storage;New"/>
    <s v="sop # _x000a_ _x000a_config start date:05/13/24 _x000a_ _x000a_all config blocked start date:na _x000a_ _x000a_all config blocked end date:na  _x000a_ _x000a_config end date:05/1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
    <x v="0"/>
    <x v="2"/>
    <e v="#VALUE!"/>
    <n v="0"/>
    <x v="1"/>
    <n v="0"/>
    <x v="0"/>
    <n v="0"/>
    <n v="0"/>
    <x v="1"/>
    <n v="0"/>
    <n v="0"/>
    <n v="0"/>
    <n v="0"/>
    <x v="1"/>
    <n v="0"/>
    <n v="0"/>
    <x v="0"/>
    <n v="0"/>
    <n v="0"/>
    <x v="1"/>
    <m/>
    <m/>
    <x v="0"/>
    <x v="0"/>
    <x v="0"/>
    <x v="0"/>
    <x v="0"/>
    <x v="0"/>
    <m/>
    <m/>
    <m/>
    <m/>
    <m/>
    <m/>
    <m/>
    <m/>
    <m/>
    <m/>
    <m/>
    <m/>
    <m/>
    <m/>
    <m/>
    <m/>
    <m/>
  </r>
  <r>
    <s v="0gac2xxCFUiR8DV-7DGeT2UAPn09"/>
    <x v="146"/>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qDYtWcez5keBWLvqFS-_JGUAGG-p"/>
    <x v="147"/>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v84FlpOYpEa87YFtcdl8QmUAG_4N"/>
    <x v="148"/>
    <x v="10"/>
    <s v="Rhoda Gill - Network;Tim Patch - Network;Raquel Bolaños"/>
    <s v="Storage;New"/>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Mh47hn9qWkSlRUW0fpqqYGUAMBNO"/>
    <x v="148"/>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wqMI8OlL0EGDT57_nFGJzGUAFbfl"/>
    <x v="149"/>
    <x v="10"/>
    <s v="Rhoda Gill - Network;Tim Patch - Network;Raquel Bolaños"/>
    <s v="Storage"/>
    <s v="sop # _x000a_ _x000a_config start date: 05/13/2024 _x000a_ _x000a_all config blocked start date: na _x000a_ _x000a_all config blocked end date: na  _x000a_ _x000a_config end date: 05/13/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fPEgZX9kDE-P--_DLZvq4mUADvpK"/>
    <x v="15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pm5teNf1Ik2D0LmARLWIlmUAGhLV"/>
    <x v="151"/>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vDZnblhxL0CIBHMgCI2XOGUAFQ_i"/>
    <x v="152"/>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mdWeZPNILkm-fW2zfhEdSGUAI7cR"/>
    <x v="153"/>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vkyPcOQJmUS-QaxSQpxu_mUANbQ7"/>
    <x v="154"/>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iITeo6RHG0CBU_glxkTINmUABZnu"/>
    <x v="155"/>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Cotetu4JmkmVQdrJ8Ns_V2UAJbeD"/>
    <x v="156"/>
    <x v="10"/>
    <s v="Joseph Alexander - Network;Raquel Bolaños"/>
    <s v="Storage;New"/>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o7XbKSS3qU-ZeLWAcmo7i2UAPsrR"/>
    <x v="157"/>
    <x v="10"/>
    <s v="Rhoda Gill - Network;Joseph Alexander - Network;Raquel Bolanos - Network"/>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2kxDNkgR8EGrX1vSViyJt2UAIJVP"/>
    <x v="158"/>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TAqGAWnvPkiSI3OTbw_zkmUAFBOu"/>
    <x v="159"/>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j1UWitJBh0OrEbTtDM9mjGUAEEpJ"/>
    <x v="160"/>
    <x v="10"/>
    <s v="Rhoda Gill - Network;Joseph Alexander - Network;Raquel Bolaños"/>
    <s v="Storage"/>
    <s v="sop # _x000a_ _x000a_config start date: 05/10/2024 _x000a_ _x000a_all config blocked start date: na _x000a_ _x000a_all config blocked end date: na  _x000a_ _x000a_config end date: 05/11/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_x000a_ _x000a_all client verification end date: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0"/>
    <x v="2"/>
    <e v="#VALUE!"/>
    <n v="0"/>
    <x v="1"/>
    <n v="0"/>
    <x v="0"/>
    <n v="0"/>
    <n v="0"/>
    <x v="1"/>
    <n v="0"/>
    <n v="0"/>
    <n v="0"/>
    <n v="0"/>
    <x v="1"/>
    <n v="0"/>
    <n v="0"/>
    <x v="0"/>
    <n v="0"/>
    <n v="0"/>
    <x v="1"/>
    <m/>
    <m/>
    <x v="0"/>
    <x v="0"/>
    <x v="0"/>
    <x v="0"/>
    <x v="0"/>
    <x v="0"/>
    <m/>
    <m/>
    <m/>
    <m/>
    <m/>
    <m/>
    <m/>
    <m/>
    <m/>
    <m/>
    <m/>
    <m/>
    <m/>
    <m/>
    <m/>
    <m/>
    <m/>
  </r>
  <r>
    <s v="WG01YwEIK0qzHRtVrS2Vu2UAIoAv"/>
    <x v="161"/>
    <x v="3"/>
    <s v="Rhoda Gill - Network;Tim Patch - Network;Michael S Mckinney;Nicole Simpson;Jeffrey Halim"/>
    <s v="Instrument;Calibration Method;Phase 3"/>
    <s v="sop #  _x000a_ _x000a_config start date: 06/05/2024 _x000a_ _x000a_all config blocked start date: na _x000a_ _x000a_all config blocked end date: na  _x000a_ _x000a_config end date: 06/07/2024 _x000a_ _x000a_ -------------------------------------------------------------------------------------------- _x000a_ _x000a_all peer review start date: 07/15/2024 _x000a_ _x000a_all peer review end date: 07/15/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1"/>
    <x v="1"/>
    <n v="0"/>
    <n v="0"/>
    <x v="1"/>
    <n v="1"/>
    <n v="0"/>
    <n v="0"/>
    <n v="0"/>
    <x v="1"/>
    <n v="1"/>
    <n v="0"/>
    <x v="0"/>
    <n v="0"/>
    <n v="0"/>
    <x v="1"/>
    <m/>
    <m/>
    <x v="1"/>
    <x v="0"/>
    <x v="0"/>
    <x v="1"/>
    <x v="0"/>
    <x v="0"/>
    <m/>
    <m/>
    <b v="1"/>
    <m/>
    <m/>
    <m/>
    <m/>
    <m/>
    <m/>
    <m/>
    <m/>
    <m/>
    <m/>
    <m/>
    <m/>
    <m/>
    <m/>
  </r>
  <r>
    <s v="074bF-IS_0GHMOFY3Y5BD2UAGfgV"/>
    <x v="162"/>
    <x v="0"/>
    <s v="Douglas R Sims;Tessa Merryman - Network;Michael S Mckinney"/>
    <s v="Instrument;Calibration Method"/>
    <s v="sop # prd-101861 _x000a_ _x000a_config start date: 04/30/2024 _x000a_ _x000a_all config blocked start date: na _x000a_ _x000a_all config blocked end date: na  _x000a_ _x000a_config end date: 05/07/2024 _x000a_ _x000a_ -------------------------------------------------------------------------------------------- _x000a_ _x000a_all peer review start date: 05/08/2024 _x000a_ _x000a_all peer review end date: 05/0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7/2024  _x000a_ _x000a_all demo rework required start date: 05/17/2024  _x000a_ _x000a_all demo blocked start date: na  _x000a_ _x000a_all demo blocked end date: na _x000a_ _x000a_all demo rework required end date: 05/17/2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actions:send email to chloe with doubts about the consumables  - part of the limerick kanban _x000a_ _x000a_see the limerick card for latest information"/>
    <x v="0"/>
    <x v="0"/>
    <e v="#VALUE!"/>
    <n v="0"/>
    <x v="1"/>
    <n v="1"/>
    <x v="1"/>
    <n v="0"/>
    <n v="0"/>
    <x v="1"/>
    <n v="0"/>
    <n v="1"/>
    <e v="#VALUE!"/>
    <n v="0"/>
    <x v="1"/>
    <n v="0"/>
    <n v="0"/>
    <x v="0"/>
    <n v="0"/>
    <n v="0"/>
    <x v="1"/>
    <m/>
    <m/>
    <x v="1"/>
    <x v="0"/>
    <x v="1"/>
    <x v="0"/>
    <x v="0"/>
    <x v="0"/>
    <m/>
    <m/>
    <b v="1"/>
    <m/>
    <m/>
    <m/>
    <m/>
    <m/>
    <m/>
    <m/>
    <m/>
    <m/>
    <m/>
    <m/>
    <m/>
    <m/>
    <m/>
  </r>
  <r>
    <s v="asB2o9AVbkihQ1AZXMW53GUAMAIx"/>
    <x v="163"/>
    <x v="10"/>
    <s v="Rhoda Gill - Network"/>
    <s v="Instrument;Calibration Method"/>
    <s v="sop #  _x000a_ _x000a_config start date: 12/2023 _x000a_ _x000a_all config blocked start date: na _x000a_ _x000a_all config blocked end date: na  _x000a_ _x000a_config end date: 12/2023 _x000a_ _x000a_ -------------------------------------------------------------------------------------------- _x000a_ _x000a_all peer review start date: 01/2024 _x000a_ _x000a_all peer review end date: 01/2024 _x000a_ _x000a_all peer review rework required start date: 01/2024 _x000a_ _x000a_all pr rework blocked start date: na  _x000a_ _x000a_all pr rework blocked end date: na  _x000a_ _x000a_all peer review rework required end date: 01/2024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_x000a_ _x000a_verification assigned to: _x000a_ _x000a_all client verification start date: 04/28/2024 _x000a_ _x000a_all client verification end date: 04/28/2024 _x000a_ _x000a_all client rework required start date:  _x000a_ _x000a_all client blocked start date:  _x000a_ _x000a_all client blocked end date:  _x000a_ _x000a_all client rework required end date:  _x000a_ _x000a_------------------------------------------------------------------------------------------- _x000a_ _x000a_verification complete date:  04/28/2024 _x000a_ _x000a_ready to migrate date:"/>
    <x v="0"/>
    <x v="2"/>
    <n v="0"/>
    <n v="0"/>
    <x v="1"/>
    <n v="0"/>
    <x v="0"/>
    <n v="0"/>
    <n v="0"/>
    <x v="1"/>
    <n v="0"/>
    <n v="0"/>
    <n v="0"/>
    <n v="0"/>
    <x v="1"/>
    <n v="0"/>
    <n v="1"/>
    <x v="1"/>
    <n v="0"/>
    <n v="0"/>
    <x v="1"/>
    <d v="2024-04-28T00:00:00"/>
    <m/>
    <x v="0"/>
    <x v="0"/>
    <x v="0"/>
    <x v="0"/>
    <x v="1"/>
    <x v="0"/>
    <m/>
    <m/>
    <b v="1"/>
    <m/>
    <m/>
    <m/>
    <m/>
    <m/>
    <m/>
    <m/>
    <m/>
    <m/>
    <m/>
    <m/>
    <m/>
    <m/>
    <m/>
  </r>
  <r>
    <s v="-LVxtX9rxUSjuZ9Ul63LwWUAHf_X"/>
    <x v="164"/>
    <x v="3"/>
    <s v="Rhoda Gill - Network;Tim Patch - Network;Michael S Mckinney;Nicole Simpson;Jeffrey Halim"/>
    <s v="Instrument;Calibration Method;Phase 3"/>
    <s v="sop # kin-41969 (v5.0)  _x000a_ _x000a_config start date: 04/18/2024 _x000a_ _x000a_all config blocked start date: na _x000a_ _x000a_all config blocked end date: na  _x000a_ _x000a_config end date: 04/29/2024 _x000a_ _x000a_ -------------------------------------------------------------------------------------------- _x000a_ _x000a_all peer review start date: 05/01/2024 _x000a_ _x000a_all peer review end date: 05/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7/15/2024 for concord _x000a_ _x000a_all demo date: 05/17/2024 _x000a_ _x000a_all demo rework required start date:  _x000a_ _x000a_all demo blocked start date:  _x000a_ _x000a_all demo blocked end date:  _x000a_ _x000a_all demo rework required end date:  _x000a_ _x000a_-------------------------------------------------------------------------------------------- _x000a_ _x000a_all ready for client verification date:  07/16/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1"/>
    <x v="1"/>
    <n v="0"/>
    <n v="0"/>
    <x v="1"/>
    <n v="1"/>
    <n v="1"/>
    <n v="0"/>
    <n v="0"/>
    <x v="1"/>
    <n v="1"/>
    <n v="0"/>
    <x v="0"/>
    <n v="0"/>
    <n v="0"/>
    <x v="1"/>
    <m/>
    <m/>
    <x v="1"/>
    <x v="0"/>
    <x v="1"/>
    <x v="1"/>
    <x v="0"/>
    <x v="0"/>
    <m/>
    <m/>
    <b v="1"/>
    <m/>
    <m/>
    <m/>
    <m/>
    <m/>
    <m/>
    <m/>
    <m/>
    <m/>
    <m/>
    <m/>
    <m/>
    <m/>
    <m/>
  </r>
  <r>
    <s v="XU0tJMP7lEGm9mrqefzCaGUAK1G5"/>
    <x v="165"/>
    <x v="11"/>
    <s v="Douglas R Sims;Rhoda Gill - Network;Michael S Mckinney;Juliana Masis - Network"/>
    <s v="Instrument;Calibration Method;Phase 3"/>
    <s v="sop # 42052 _x000a_ _x000a_config start date: 5/06/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_x000a_ _x000a_verification assigned to:  _x000a_ _x000a_all client verification start date: see limerick card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7/10/2024 _x000a_ _x000a_ready to migrate date: _x000a_ _x000a_this is a duplicate of the limerick card - please sync with limerick card"/>
    <x v="0"/>
    <x v="4"/>
    <e v="#VALUE!"/>
    <n v="0"/>
    <x v="1"/>
    <n v="1"/>
    <x v="1"/>
    <n v="0"/>
    <n v="0"/>
    <x v="1"/>
    <n v="0"/>
    <n v="1"/>
    <n v="0"/>
    <n v="0"/>
    <x v="1"/>
    <n v="0"/>
    <n v="0"/>
    <x v="0"/>
    <n v="0"/>
    <n v="0"/>
    <x v="1"/>
    <d v="2024-07-10T00:00:00"/>
    <m/>
    <x v="1"/>
    <x v="0"/>
    <x v="1"/>
    <x v="0"/>
    <x v="0"/>
    <x v="0"/>
    <m/>
    <m/>
    <b v="1"/>
    <m/>
    <m/>
    <m/>
    <m/>
    <m/>
    <m/>
    <m/>
    <m/>
    <m/>
    <m/>
    <m/>
    <m/>
    <m/>
    <m/>
  </r>
  <r>
    <s v="IqOkB0cNLEqyrxs4-GYTvmUALEus"/>
    <x v="166"/>
    <x v="2"/>
    <s v="Rhoda Gill - Network;Tim Patch - Network;Brittany J Foga;Alejandra Robles - Network;Keith P Parsons"/>
    <s v="Instrument;Calibration Method"/>
    <s v="config start date: 06/06/2024 _x000a_ _x000a_all config blocked start date: na _x000a_ _x000a_all config blocked end date: na  _x000a_ _x000a_config end date: 06/07/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1/2024;07/18/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25/2024 _x000a_ _x000a_ready to migrate date: 07/25/2024"/>
    <x v="0"/>
    <x v="2"/>
    <e v="#VALUE!"/>
    <n v="0"/>
    <x v="1"/>
    <n v="1"/>
    <x v="1"/>
    <n v="0"/>
    <n v="0"/>
    <x v="1"/>
    <n v="1"/>
    <n v="1"/>
    <n v="0"/>
    <n v="0"/>
    <x v="1"/>
    <n v="2"/>
    <n v="0"/>
    <x v="0"/>
    <n v="0"/>
    <n v="0"/>
    <x v="1"/>
    <d v="2024-07-25T00:00:00"/>
    <d v="2024-07-25T00:00:00"/>
    <x v="1"/>
    <x v="0"/>
    <x v="1"/>
    <x v="1"/>
    <x v="0"/>
    <x v="1"/>
    <m/>
    <m/>
    <b v="1"/>
    <m/>
    <m/>
    <m/>
    <m/>
    <m/>
    <m/>
    <m/>
    <m/>
    <m/>
    <m/>
    <m/>
    <m/>
    <m/>
    <m/>
  </r>
  <r>
    <s v="egPKDLqR1kue2zgf9E7mi2UAFO-P"/>
    <x v="167"/>
    <x v="2"/>
    <s v="Rhoda Gill - Network;Michael S Mckinney;Brittany J Foga;Joseph Alexander - Network"/>
    <s v="Instrument;Calibration Method"/>
    <s v="sop #  _x000a_ _x000a_config start date: 06/06/2024 _x000a_ _x000a_all config blocked start date: na _x000a_ _x000a_all config blocked end date: na  _x000a_ _x000a_config end date: 06/10/2024 _x000a_ _x000a_ -------------------------------------------------------------------------------------------- _x000a_ _x000a_all peer review start date: 06/28/2024 _x000a_ _x000a_all peer review end date: 06/2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6/28/2024 _x000a_ _x000a_all demo date: 05/23/2024  _x000a_ _x000a_all demo rework required start date:  _x000a_ _x000a_all demo blocked start date: na  _x000a_ _x000a_all demo blocked end date: na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17/2024 _x000a_ _x000a_ready to migrate date: 07/25/2024"/>
    <x v="0"/>
    <x v="2"/>
    <e v="#VALUE!"/>
    <n v="0"/>
    <x v="1"/>
    <n v="1"/>
    <x v="1"/>
    <n v="0"/>
    <n v="0"/>
    <x v="1"/>
    <n v="1"/>
    <n v="1"/>
    <n v="0"/>
    <n v="0"/>
    <x v="1"/>
    <n v="1"/>
    <n v="0"/>
    <x v="0"/>
    <n v="0"/>
    <n v="0"/>
    <x v="1"/>
    <d v="2024-07-17T00:00:00"/>
    <d v="2024-07-25T00:00:00"/>
    <x v="1"/>
    <x v="0"/>
    <x v="1"/>
    <x v="1"/>
    <x v="0"/>
    <x v="1"/>
    <m/>
    <m/>
    <b v="1"/>
    <m/>
    <m/>
    <m/>
    <m/>
    <m/>
    <m/>
    <m/>
    <m/>
    <m/>
    <m/>
    <m/>
    <m/>
    <m/>
    <m/>
  </r>
  <r>
    <s v="agM-vbfRdkyWHcwXyl8ZXGUANxzV"/>
    <x v="168"/>
    <x v="10"/>
    <s v="Rhoda Gill - Network;Tim Patch - Network;Michael S Mckinney;Keith P Parsons;Joseph Alexander - Network;Jeffrey Halim"/>
    <s v="Instrument;Calibration Method"/>
    <s v="sop #  _x000a_ _x000a_config start date: 04/28/2024 _x000a_ _x000a_all config blocked start date: na _x000a_ _x000a_all config blocked end date: na  _x000a_ _x000a_config end date:  _x000a_ _x000a_ -------------------------------------------------------------------------------------------- _x000a_ _x000a_all peer review start date: 07/01/2024 _x000a_ _x000a_all peer review end date: 07/0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_x000a_ _x000a_all demo rework required start date:   _x000a_ _x000a_all demo blocked start date: na  _x000a_ _x000a_all demo blocked end date: na _x000a_ _x000a_all demo rework required end date:   _x000a_ _x000a_-------------------------------------------------------------------------------------------- _x000a_ _x000a_all ready for client verification date:  07/01/2024 _x000a_ _x000a_verification assigned to:  _x000a_ _x000a_all client verification start date:  _x000a_ _x000a_all client verification end date:  _x000a_ _x000a_all client rework required start date: 07/18/2024 _x000a_ _x000a_all client blocked start date:  _x000a_ _x000a_all client blocked end date:  _x000a_ _x000a_all client rework required end date: 07/18/2024 _x000a_ _x000a_re-verification: _x000a_ _x000a_------------------------------------------------------------------------------------------- _x000a_ _x000a_verification complete date:  migrated to prd 04/2024 _x000a_ _x000a_ready to migrate date:"/>
    <x v="0"/>
    <x v="2"/>
    <e v="#VALUE!"/>
    <n v="0"/>
    <x v="1"/>
    <n v="1"/>
    <x v="1"/>
    <n v="0"/>
    <n v="0"/>
    <x v="1"/>
    <n v="0"/>
    <n v="0"/>
    <n v="0"/>
    <n v="0"/>
    <x v="1"/>
    <n v="1"/>
    <n v="0"/>
    <x v="0"/>
    <e v="#VALUE!"/>
    <n v="0"/>
    <x v="1"/>
    <m/>
    <m/>
    <x v="1"/>
    <x v="0"/>
    <x v="0"/>
    <x v="1"/>
    <x v="0"/>
    <x v="0"/>
    <m/>
    <m/>
    <b v="1"/>
    <m/>
    <m/>
    <m/>
    <m/>
    <m/>
    <m/>
    <m/>
    <m/>
    <m/>
    <m/>
    <m/>
    <m/>
    <m/>
    <m/>
  </r>
  <r>
    <s v="oevapn0xTEW4hTaEnqO5DGUADe1c"/>
    <x v="169"/>
    <x v="10"/>
    <s v="Rhoda Gill - Network"/>
    <s v="Product"/>
    <s v="sop # gql-sop-773 _x000a_ _x000a_config start date: 04/18/2023 _x000a_ _x000a_all config blocked start date: na _x000a_ _x000a_all config blocked end date: na  _x000a_ _x000a_config end date: 04/19/2024 _x000a_ _x000a_ -------------------------------------------------------------------------------------------- _x000a_ _x000a_all peer review start date: 04/19/2024 _x000a_ _x000a_all peer review end date: 04/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_x000a_ _x000a_all demo date: 04/15/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_x000a_ _x000a_all client verification start date: 04/19/2024 _x000a_ _x000a_all client verification end date: 04/19/2024 _x000a_ _x000a_all client rework required start date: na _x000a_ _x000a_all client blocked start date: na _x000a_ _x000a_all client blocked end date: na _x000a_ _x000a_all client rework required end date: na _x000a_ _x000a_------------------------------------------------------------------------------------------- _x000a_ _x000a_verification complete date:  04/19/2024 _x000a_ _x000a_ready to migrate date:"/>
    <x v="0"/>
    <x v="2"/>
    <e v="#VALUE!"/>
    <n v="0"/>
    <x v="1"/>
    <n v="1"/>
    <x v="1"/>
    <n v="0"/>
    <n v="0"/>
    <x v="1"/>
    <n v="0"/>
    <n v="1"/>
    <n v="0"/>
    <n v="0"/>
    <x v="1"/>
    <n v="0"/>
    <n v="1"/>
    <x v="1"/>
    <n v="0"/>
    <n v="0"/>
    <x v="1"/>
    <d v="2024-04-19T00:00:00"/>
    <m/>
    <x v="1"/>
    <x v="0"/>
    <x v="1"/>
    <x v="0"/>
    <x v="1"/>
    <x v="0"/>
    <m/>
    <b v="1"/>
    <m/>
    <m/>
    <m/>
    <m/>
    <m/>
    <m/>
    <m/>
    <m/>
    <m/>
    <m/>
    <m/>
    <m/>
    <m/>
    <m/>
    <m/>
  </r>
  <r>
    <s v="DkuaeArLSkK4h3vHriRGj2UAKcmG"/>
    <x v="170"/>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e v="#VALUE!"/>
    <n v="0"/>
    <x v="1"/>
    <n v="0"/>
    <x v="0"/>
    <n v="0"/>
    <n v="0"/>
    <x v="1"/>
    <n v="0"/>
    <n v="0"/>
    <n v="0"/>
    <n v="0"/>
    <x v="1"/>
    <n v="1"/>
    <n v="1"/>
    <x v="1"/>
    <n v="0"/>
    <n v="0"/>
    <x v="1"/>
    <m/>
    <m/>
    <x v="0"/>
    <x v="0"/>
    <x v="0"/>
    <x v="1"/>
    <x v="1"/>
    <x v="0"/>
    <m/>
    <m/>
    <b v="1"/>
    <m/>
    <m/>
    <m/>
    <m/>
    <m/>
    <m/>
    <m/>
    <m/>
    <m/>
    <m/>
    <m/>
    <m/>
    <m/>
    <m/>
  </r>
  <r>
    <s v="pIrFXdifVUCShgDCpkTur2UAFrn2"/>
    <x v="171"/>
    <x v="0"/>
    <s v="Rhoda Gill - Network;Keith P Parsons;Jeffrey Halim"/>
    <s v="Instrument;Do not delete until invoiced"/>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e v="#VALUE!"/>
    <n v="0"/>
    <x v="1"/>
    <n v="0"/>
    <x v="0"/>
    <n v="0"/>
    <n v="0"/>
    <x v="1"/>
    <n v="0"/>
    <n v="0"/>
    <n v="0"/>
    <n v="0"/>
    <x v="1"/>
    <n v="1"/>
    <n v="1"/>
    <x v="1"/>
    <n v="0"/>
    <n v="0"/>
    <x v="1"/>
    <m/>
    <m/>
    <x v="0"/>
    <x v="0"/>
    <x v="0"/>
    <x v="1"/>
    <x v="1"/>
    <x v="0"/>
    <m/>
    <m/>
    <b v="1"/>
    <m/>
    <m/>
    <m/>
    <m/>
    <m/>
    <m/>
    <m/>
    <m/>
    <m/>
    <m/>
    <m/>
    <m/>
    <m/>
    <m/>
  </r>
  <r>
    <s v="YLjAdB3UckyNTgaZcgzJd2UAB_kx"/>
    <x v="172"/>
    <x v="10"/>
    <s v="Rhoda Gill - Network"/>
    <s v="Instrument"/>
    <s v="sop # na _x000a_ _x000a_config start date:12/23  _x000a_ _x000a_all config blocked start date:na  _x000a_ _x000a_all config blocked end date:na  _x000a_ _x000a_config end date:12/23  _x000a_ _x000a_ --------------------------------------------------------------------------------------------  _x000a_ _x000a_all peer review start date:01/24  _x000a_ _x000a_all peer review end date:0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  _x000a_ _x000a_all client verification start date:04/24  _x000a_ _x000a_all client verification end date:04/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2"/>
    <n v="0"/>
    <n v="0"/>
    <x v="1"/>
    <n v="0"/>
    <x v="0"/>
    <n v="0"/>
    <n v="0"/>
    <x v="1"/>
    <n v="0"/>
    <n v="0"/>
    <n v="0"/>
    <n v="0"/>
    <x v="1"/>
    <n v="1"/>
    <n v="0"/>
    <x v="0"/>
    <n v="0"/>
    <n v="0"/>
    <x v="1"/>
    <m/>
    <m/>
    <x v="0"/>
    <x v="0"/>
    <x v="0"/>
    <x v="1"/>
    <x v="0"/>
    <x v="0"/>
    <m/>
    <m/>
    <b v="1"/>
    <m/>
    <m/>
    <m/>
    <m/>
    <m/>
    <m/>
    <m/>
    <m/>
    <m/>
    <m/>
    <m/>
    <m/>
    <m/>
    <m/>
  </r>
  <r>
    <s v="0uBrQS-BBUWmquEpH0qRM2UAE7ep"/>
    <x v="173"/>
    <x v="3"/>
    <s v="Rhoda Gill - Network;Tim Patch - Network;Michael S Mckinney;Nicole Simpson"/>
    <s v="Instrument;Phase 3"/>
    <s v="config start date:06/06/24  _x000a_ _x000a_all config blocked start date:06/06/24  _x000a_ _x000a_all config blocked end date: 07/10/24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7/12/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e v="#VALUE!"/>
    <x v="1"/>
    <n v="0"/>
    <x v="0"/>
    <n v="0"/>
    <n v="0"/>
    <x v="1"/>
    <n v="0"/>
    <n v="0"/>
    <n v="0"/>
    <n v="0"/>
    <x v="1"/>
    <n v="1"/>
    <n v="0"/>
    <x v="0"/>
    <n v="0"/>
    <n v="0"/>
    <x v="1"/>
    <m/>
    <m/>
    <x v="0"/>
    <x v="0"/>
    <x v="0"/>
    <x v="1"/>
    <x v="0"/>
    <x v="0"/>
    <m/>
    <m/>
    <b v="1"/>
    <m/>
    <m/>
    <m/>
    <m/>
    <m/>
    <m/>
    <m/>
    <m/>
    <m/>
    <m/>
    <m/>
    <m/>
    <m/>
    <m/>
  </r>
  <r>
    <s v="LHuIoYoGQU6TPDaObq3X4mUABz_s"/>
    <x v="174"/>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18/2024 _x000a_ _x000a_ready to migrate date: 07/18/2024"/>
    <x v="0"/>
    <x v="0"/>
    <e v="#VALUE!"/>
    <n v="0"/>
    <x v="1"/>
    <n v="1"/>
    <x v="1"/>
    <n v="0"/>
    <n v="0"/>
    <x v="1"/>
    <n v="0"/>
    <n v="0"/>
    <n v="0"/>
    <n v="0"/>
    <x v="1"/>
    <n v="1"/>
    <n v="1"/>
    <x v="1"/>
    <n v="0"/>
    <n v="0"/>
    <x v="1"/>
    <d v="2024-07-18T00:00:00"/>
    <d v="2024-07-18T00:00:00"/>
    <x v="1"/>
    <x v="0"/>
    <x v="0"/>
    <x v="1"/>
    <x v="1"/>
    <x v="1"/>
    <m/>
    <m/>
    <b v="1"/>
    <m/>
    <m/>
    <m/>
    <m/>
    <m/>
    <m/>
    <m/>
    <m/>
    <m/>
    <m/>
    <m/>
    <m/>
    <m/>
    <m/>
  </r>
  <r>
    <s v="gBipE3xkyU6QqQgq4u93_WUAE2Se"/>
    <x v="175"/>
    <x v="0"/>
    <s v="Rhoda Gill - Network;Tim Patch - Network;Michael S Mckinney;Nicole Simpson;Keith P Parsons"/>
    <s v="Instrument;Instrument Types"/>
    <s v="sop # _x000a_ _x000a_config start date:06/06/24  _x000a_ _x000a_all config blocked start date:06/06/24  _x000a_ _x000a_all config blocked end date: 07/09/2024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07/09/2024 _x000a_ _x000a_ready to migrate date:"/>
    <x v="0"/>
    <x v="0"/>
    <e v="#VALUE!"/>
    <e v="#VALUE!"/>
    <x v="1"/>
    <n v="0"/>
    <x v="0"/>
    <n v="0"/>
    <n v="0"/>
    <x v="1"/>
    <n v="0"/>
    <n v="0"/>
    <n v="0"/>
    <n v="0"/>
    <x v="1"/>
    <n v="1"/>
    <n v="0"/>
    <x v="0"/>
    <n v="0"/>
    <n v="0"/>
    <x v="1"/>
    <d v="2024-07-09T00:00:00"/>
    <m/>
    <x v="0"/>
    <x v="0"/>
    <x v="0"/>
    <x v="1"/>
    <x v="0"/>
    <x v="0"/>
    <m/>
    <m/>
    <b v="1"/>
    <m/>
    <m/>
    <m/>
    <m/>
    <m/>
    <m/>
    <m/>
    <m/>
    <m/>
    <m/>
    <m/>
    <m/>
    <m/>
    <m/>
  </r>
  <r>
    <s v="TpzzFDzjHU2xjdMbxzCXmWUAM5XZ"/>
    <x v="176"/>
    <x v="0"/>
    <s v="Rhoda Gill - Network;Michael S Mckinney;Nicole Simpson;Keith P Parsons"/>
    <s v="Instrument;Instrument Types"/>
    <s v="sop #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06/03/24  _x000a_ _x000a_all client rework required start date:06/06/24  _x000a_ _x000a_all client blocked start date:06/06/24  _x000a_ _x000a_all client blocked end date: 07/10/2024 _x000a_ _x000a_all client rework required end date: 07/10/2024 _x000a_ _x000a_--------------------------------------------------------------------------------------------  _x000a_ _x000a_verification complete date: 07/10/2024 _x000a_ _x000a_ready to migrate date:"/>
    <x v="0"/>
    <x v="0"/>
    <e v="#VALUE!"/>
    <n v="0"/>
    <x v="1"/>
    <n v="0"/>
    <x v="0"/>
    <n v="0"/>
    <n v="0"/>
    <x v="1"/>
    <n v="0"/>
    <n v="0"/>
    <n v="0"/>
    <n v="0"/>
    <x v="1"/>
    <n v="0"/>
    <n v="1"/>
    <x v="1"/>
    <e v="#VALUE!"/>
    <e v="#VALUE!"/>
    <x v="1"/>
    <d v="2024-07-10T00:00:00"/>
    <m/>
    <x v="0"/>
    <x v="0"/>
    <x v="0"/>
    <x v="0"/>
    <x v="1"/>
    <x v="0"/>
    <m/>
    <m/>
    <b v="1"/>
    <m/>
    <m/>
    <m/>
    <m/>
    <m/>
    <m/>
    <m/>
    <m/>
    <m/>
    <m/>
    <m/>
    <m/>
    <m/>
    <m/>
  </r>
  <r>
    <s v="YZXNkAePxUGKxmpWUOOTzmUAOgvC"/>
    <x v="177"/>
    <x v="1"/>
    <s v="Rhoda Gill - Network;Keith P Parsons;Jeffrey Halim"/>
    <s v="Instrument;Full Build;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1"/>
    <n v="1"/>
    <x v="1"/>
    <n v="0"/>
    <n v="0"/>
    <x v="1"/>
    <m/>
    <m/>
    <x v="0"/>
    <x v="0"/>
    <x v="0"/>
    <x v="1"/>
    <x v="1"/>
    <x v="0"/>
    <m/>
    <m/>
    <b v="1"/>
    <m/>
    <m/>
    <m/>
    <m/>
    <m/>
    <m/>
    <m/>
    <m/>
    <m/>
    <m/>
    <m/>
    <m/>
    <b v="1"/>
    <m/>
  </r>
  <r>
    <s v="bdvskvaKBkSPj9aqU4oUKWUAIgSA"/>
    <x v="178"/>
    <x v="0"/>
    <s v="Rhoda Gill - Network;Tim Patch - Network;Michael S Mckinney;Nicole Simpson;Gregory A Dial;Keith P Parsons"/>
    <s v="Instrument;Do not delete until invoiced"/>
    <s v="config start date:06/02/24  _x000a_ _x000a_all config blocked start date:06/02/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e v="#VALUE!"/>
    <e v="#VALUE!"/>
    <x v="1"/>
    <n v="0"/>
    <x v="0"/>
    <n v="0"/>
    <n v="0"/>
    <x v="1"/>
    <n v="0"/>
    <n v="0"/>
    <n v="0"/>
    <n v="0"/>
    <x v="1"/>
    <n v="0"/>
    <n v="0"/>
    <x v="0"/>
    <n v="0"/>
    <n v="0"/>
    <x v="1"/>
    <m/>
    <m/>
    <x v="0"/>
    <x v="0"/>
    <x v="0"/>
    <x v="0"/>
    <x v="0"/>
    <x v="0"/>
    <m/>
    <m/>
    <b v="1"/>
    <m/>
    <m/>
    <m/>
    <m/>
    <m/>
    <m/>
    <m/>
    <m/>
    <m/>
    <m/>
    <m/>
    <m/>
    <m/>
    <m/>
  </r>
  <r>
    <s v="xVlPHtf6TEWUB-d40CYs1WUALuTo"/>
    <x v="179"/>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1"/>
    <n v="1"/>
    <x v="1"/>
    <n v="0"/>
    <n v="0"/>
    <x v="1"/>
    <m/>
    <m/>
    <x v="0"/>
    <x v="0"/>
    <x v="0"/>
    <x v="1"/>
    <x v="1"/>
    <x v="0"/>
    <m/>
    <m/>
    <b v="1"/>
    <m/>
    <m/>
    <m/>
    <m/>
    <m/>
    <m/>
    <m/>
    <m/>
    <m/>
    <m/>
    <m/>
    <m/>
    <m/>
    <m/>
  </r>
  <r>
    <s v="wKTDZouLGEmYInNAOqlUsmUAJGLi"/>
    <x v="180"/>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1"/>
    <n v="1"/>
    <x v="1"/>
    <n v="0"/>
    <n v="0"/>
    <x v="1"/>
    <m/>
    <m/>
    <x v="0"/>
    <x v="0"/>
    <x v="0"/>
    <x v="1"/>
    <x v="1"/>
    <x v="0"/>
    <m/>
    <m/>
    <b v="1"/>
    <m/>
    <m/>
    <m/>
    <m/>
    <m/>
    <m/>
    <m/>
    <m/>
    <m/>
    <m/>
    <m/>
    <m/>
    <m/>
    <m/>
  </r>
  <r>
    <s v="Yx9zgc1atkuFPo9MQXt5GGUACoyJ"/>
    <x v="181"/>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1"/>
    <n v="1"/>
    <x v="1"/>
    <n v="0"/>
    <n v="0"/>
    <x v="1"/>
    <m/>
    <m/>
    <x v="0"/>
    <x v="0"/>
    <x v="0"/>
    <x v="1"/>
    <x v="1"/>
    <x v="0"/>
    <m/>
    <m/>
    <b v="1"/>
    <m/>
    <m/>
    <m/>
    <m/>
    <m/>
    <m/>
    <m/>
    <m/>
    <m/>
    <m/>
    <m/>
    <m/>
    <m/>
    <m/>
  </r>
  <r>
    <s v="B21HwilUPU6Hm3kjAtGELWUAJbOD"/>
    <x v="182"/>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0"/>
    <n v="1"/>
    <x v="1"/>
    <n v="0"/>
    <n v="0"/>
    <x v="1"/>
    <m/>
    <m/>
    <x v="0"/>
    <x v="0"/>
    <x v="0"/>
    <x v="0"/>
    <x v="1"/>
    <x v="0"/>
    <m/>
    <m/>
    <b v="1"/>
    <m/>
    <m/>
    <m/>
    <m/>
    <m/>
    <m/>
    <m/>
    <m/>
    <m/>
    <m/>
    <m/>
    <m/>
    <m/>
    <m/>
  </r>
  <r>
    <s v="XKxhD1Eye0KX7PBFFntzOWUAFe0d"/>
    <x v="183"/>
    <x v="0"/>
    <s v="Rhoda Gill - Network;Tim Patch - Network;Michael S Mckinney;Keith P Parsons;Joseph Alexander - Network;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 07/01/2024 _x000a_ _x000a_all peer review end date: 07/01/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07/18/2024"/>
    <x v="0"/>
    <x v="0"/>
    <e v="#VALUE!"/>
    <n v="0"/>
    <x v="1"/>
    <n v="1"/>
    <x v="1"/>
    <n v="0"/>
    <n v="0"/>
    <x v="1"/>
    <n v="0"/>
    <n v="0"/>
    <n v="0"/>
    <n v="0"/>
    <x v="1"/>
    <n v="1"/>
    <n v="1"/>
    <x v="1"/>
    <n v="0"/>
    <n v="0"/>
    <x v="1"/>
    <d v="2024-07-01T00:00:00"/>
    <d v="2024-07-18T00:00:00"/>
    <x v="1"/>
    <x v="0"/>
    <x v="0"/>
    <x v="1"/>
    <x v="1"/>
    <x v="1"/>
    <m/>
    <m/>
    <b v="1"/>
    <m/>
    <m/>
    <m/>
    <m/>
    <m/>
    <m/>
    <m/>
    <m/>
    <m/>
    <m/>
    <m/>
    <m/>
    <m/>
    <m/>
  </r>
  <r>
    <s v="FAqXEUa0sE6HQZY3lIiog2UAMGRY"/>
    <x v="184"/>
    <x v="0"/>
    <s v="Rhoda Gill - Network;Keith P Parsons;Jeffrey Halim"/>
    <s v="Instrument;Instrument Types;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06/03/24  _x000a_ _x000a_ready to migrate date:"/>
    <x v="0"/>
    <x v="0"/>
    <e v="#VALUE!"/>
    <n v="0"/>
    <x v="1"/>
    <n v="0"/>
    <x v="0"/>
    <n v="0"/>
    <n v="0"/>
    <x v="1"/>
    <n v="0"/>
    <n v="0"/>
    <n v="0"/>
    <n v="0"/>
    <x v="1"/>
    <n v="1"/>
    <n v="1"/>
    <x v="1"/>
    <n v="0"/>
    <n v="0"/>
    <x v="1"/>
    <d v="2024-06-03T00:00:00"/>
    <m/>
    <x v="0"/>
    <x v="0"/>
    <x v="0"/>
    <x v="1"/>
    <x v="1"/>
    <x v="0"/>
    <m/>
    <m/>
    <b v="1"/>
    <m/>
    <m/>
    <m/>
    <m/>
    <m/>
    <m/>
    <m/>
    <m/>
    <m/>
    <m/>
    <m/>
    <m/>
    <m/>
    <m/>
  </r>
  <r>
    <s v="rN1Rfcusgk-q7FENWUrvp2UAKg9b"/>
    <x v="185"/>
    <x v="1"/>
    <s v="Rhoda Gill - Network;Keith P Parsons;Jeffrey Halim"/>
    <s v="Instrument;Phase 3"/>
    <s v="sop # gql-sop-773 _x000a_ _x000a_config start date:04/28/24  _x000a_ _x000a_all config blocked start date:na  _x000a_ _x000a_all config blocked end date:na  _x000a_ _x000a_config end date:04/2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4/28/24  _x000a_ _x000a_verification assigned to:keith p parsons  _x000a_ _x000a_all client verification start date:06/03/24  _x000a_ _x000a_all client verification end date:06/03/24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n v="0"/>
    <x v="1"/>
    <n v="0"/>
    <x v="0"/>
    <n v="0"/>
    <n v="0"/>
    <x v="1"/>
    <n v="0"/>
    <n v="0"/>
    <n v="0"/>
    <n v="0"/>
    <x v="1"/>
    <n v="1"/>
    <n v="1"/>
    <x v="1"/>
    <n v="0"/>
    <n v="0"/>
    <x v="1"/>
    <m/>
    <m/>
    <x v="0"/>
    <x v="0"/>
    <x v="0"/>
    <x v="1"/>
    <x v="1"/>
    <x v="0"/>
    <m/>
    <m/>
    <b v="1"/>
    <m/>
    <m/>
    <m/>
    <m/>
    <m/>
    <m/>
    <m/>
    <m/>
    <m/>
    <m/>
    <m/>
    <m/>
    <m/>
    <m/>
  </r>
  <r>
    <s v="C3Hur21wek6ZXQ16HkilgWUADDUi"/>
    <x v="186"/>
    <x v="3"/>
    <s v="Rhoda Gill - Network;Michael S Mckinney;Nicole Simpson;Gregory A Dial;Keith P Parsons"/>
    <s v="Instrument;Instrument Types"/>
    <s v="qtxus2214059mdw/  # 6031511 _x000a_ _x000a_apollo ii liquid viewer _x000a_adelphi _x000a_ _x000a_sop #  _x000a_ _x000a_config start date:04/28/24  _x000a_ _x000a_all config blocked start date:04/28/24  _x000a_ _x000a_all config blocked end date:  _x000a_ _x000a_config end date:  _x000a_ _x000a_ --------------------------------------------------------------------------------------------  _x000a_ _x000a_all peer review start date:06/28/24  _x000a_ _x000a_all peer review end date:06/28/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28/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1"/>
    <e v="#VALUE!"/>
    <e v="#VALUE!"/>
    <x v="1"/>
    <n v="1"/>
    <x v="1"/>
    <n v="0"/>
    <n v="0"/>
    <x v="1"/>
    <n v="0"/>
    <n v="0"/>
    <n v="0"/>
    <n v="0"/>
    <x v="1"/>
    <n v="1"/>
    <n v="0"/>
    <x v="0"/>
    <n v="0"/>
    <n v="0"/>
    <x v="1"/>
    <m/>
    <m/>
    <x v="1"/>
    <x v="0"/>
    <x v="0"/>
    <x v="1"/>
    <x v="0"/>
    <x v="0"/>
    <m/>
    <m/>
    <b v="1"/>
    <m/>
    <m/>
    <m/>
    <m/>
    <m/>
    <m/>
    <m/>
    <m/>
    <m/>
    <m/>
    <m/>
    <m/>
    <m/>
    <m/>
  </r>
  <r>
    <s v="7DVB3RQbb0qrDiDfuMHQYmUAMFpc"/>
    <x v="187"/>
    <x v="0"/>
    <s v="Rhoda Gill - Network;Keith P Parsons;Jeffrey Halim"/>
    <s v="Instrument;Instrument Types"/>
    <s v="sop # gql-sop-773 _x000a_ _x000a_config start date:04/28/24  _x000a_ _x000a_all config blocked start date:na  _x000a_ _x000a_all config blocked end date:na  _x000a_ _x000a_config end date:04/28/24  _x000a_ _x000a_ --------------------------------------------------------------------------------------------  _x000a_ _x000a_all peer review start date:06/28/24  _x000a_ _x000a_all peer review end date:06/2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4  _x000a_ _x000a_verification assigned to:keith p parsons  _x000a_ _x000a_all client verification start date:06/03/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e v="#VALUE!"/>
    <n v="0"/>
    <x v="1"/>
    <n v="1"/>
    <x v="1"/>
    <n v="0"/>
    <n v="0"/>
    <x v="1"/>
    <n v="0"/>
    <n v="0"/>
    <n v="0"/>
    <n v="0"/>
    <x v="1"/>
    <n v="1"/>
    <n v="1"/>
    <x v="1"/>
    <n v="0"/>
    <n v="0"/>
    <x v="1"/>
    <m/>
    <m/>
    <x v="1"/>
    <x v="0"/>
    <x v="0"/>
    <x v="1"/>
    <x v="1"/>
    <x v="0"/>
    <m/>
    <m/>
    <b v="1"/>
    <m/>
    <m/>
    <m/>
    <m/>
    <m/>
    <m/>
    <m/>
    <m/>
    <m/>
    <m/>
    <m/>
    <m/>
    <m/>
    <m/>
  </r>
  <r>
    <s v="RZYzGmvbe06FFxVemjvXcmUAKcCD"/>
    <x v="188"/>
    <x v="0"/>
    <s v="Rhoda Gill - Network;Keith P Parsons;Jeffrey Halim"/>
    <s v="Instrument;Instrument Types"/>
    <s v="sop # gql-sop-773 _x000a_ _x000a_config start date:04/28/2024 _x000a_ _x000a_all config blocked start date:na _x000a_ _x000a_all config blocked end date:na  _x000a_ _x000a_config end date:04/28/20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4/28/2024 _x000a_ _x000a_verification assigned to: keith p. parsons _x000a_ _x000a_all client verification start date:06/0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0"/>
    <x v="0"/>
    <e v="#VALUE!"/>
    <n v="0"/>
    <x v="1"/>
    <n v="0"/>
    <x v="0"/>
    <n v="0"/>
    <n v="0"/>
    <x v="1"/>
    <n v="0"/>
    <n v="0"/>
    <n v="0"/>
    <n v="0"/>
    <x v="1"/>
    <n v="1"/>
    <n v="1"/>
    <x v="1"/>
    <n v="0"/>
    <n v="0"/>
    <x v="1"/>
    <m/>
    <m/>
    <x v="0"/>
    <x v="0"/>
    <x v="0"/>
    <x v="1"/>
    <x v="1"/>
    <x v="0"/>
    <m/>
    <m/>
    <b v="1"/>
    <m/>
    <m/>
    <m/>
    <m/>
    <m/>
    <m/>
    <m/>
    <m/>
    <m/>
    <m/>
    <m/>
    <m/>
    <m/>
    <m/>
  </r>
  <r>
    <s v="e8RxsepwoE24yM3zKpgO0WUAJ2-r"/>
    <x v="189"/>
    <x v="2"/>
    <s v="Tim Patch - Network;Michael S Mckinney;Nicole Simpson;Rhoda Gill"/>
    <s v="Test Method;Consumable"/>
    <s v="sop # b02121 _x000a_ _x000a_config start date:05/03/24  _x000a_ _x000a_all config blocked start date:05/10/24  _x000a_ _x000a_all config blocked end date:05/11/24  _x000a_ _x000a_config end date:05/13/24  _x000a_ _x000a_ --------------------------------------------------------------------------------------------  _x000a_ _x000a_all peer review start date:06/06/24  _x000a_ _x000a_all peer review end date:06/06/24  _x000a_ _x000a_all peer review rework required start date:na  _x000a_ _x000a_all pr rework blocked start date:na  _x000a_ _x000a_all pr rework blocked end date:na  _x000a_ _x000a_all peer review rework required end date:na  _x000a_ _x000a_--------------------------------------------------------------------------------------------  _x000a_ _x000a_all ready for demo date:06/06/24;06/28/24  _x000a_ _x000a_all demo date:06/07/24;06/28/24  _x000a_ _x000a_all demo rework required start date:06/07/24  _x000a_ _x000a_all demo blocked start date:06/07/24  _x000a_ _x000a_all demo blocked end date:06/27/24  _x000a_ _x000a_all demo rework required end date:06/28/24  _x000a_ _x000a_final demo: 07/09/2024 _x000a_ _x000a_--------------------------------------------------------------------------------------------  _x000a_ _x000a_all ready for client verification date: 07/09/2024;07/18/2024;07/22/2024;07/23/2024 _x000a_ _x000a_verification assigned to:  _x000a_ _x000a_all client verification start date: 07/22/2024; _x000a_ _x000a_all client verification end date: 07/22/2024; _x000a_ _x000a_all client rework required start date: 07/18/2024, 07/22/2024, 07/25/2024 _x000a_ _x000a_all client blocked start date:  _x000a_ _x000a_all client blocked end date:  _x000a_ _x000a_all client rework required end date: 07/18/2024, 07/22/2024, 07/25/2024 _x000a_ _x000a_--------------------------------------------------------------------------------------------  _x000a_ _x000a_verification complete date: 07/25/2024 _x000a_ _x000a_ready to migrate date: 07/25/2024"/>
    <x v="0"/>
    <x v="2"/>
    <e v="#VALUE!"/>
    <e v="#VALUE!"/>
    <x v="1"/>
    <n v="1"/>
    <x v="1"/>
    <n v="0"/>
    <n v="0"/>
    <x v="1"/>
    <n v="2"/>
    <n v="2"/>
    <e v="#VALUE!"/>
    <e v="#VALUE!"/>
    <x v="1"/>
    <n v="4"/>
    <n v="1"/>
    <x v="1"/>
    <e v="#VALUE!"/>
    <n v="0"/>
    <x v="1"/>
    <d v="2024-07-25T00:00:00"/>
    <d v="2024-07-25T00:00:00"/>
    <x v="1"/>
    <x v="0"/>
    <x v="1"/>
    <x v="1"/>
    <x v="1"/>
    <x v="1"/>
    <b v="1"/>
    <m/>
    <m/>
    <m/>
    <m/>
    <m/>
    <m/>
    <m/>
    <m/>
    <m/>
    <m/>
    <m/>
    <m/>
    <m/>
    <m/>
    <m/>
    <m/>
  </r>
  <r>
    <s v="fmHn-Fbv7kmuGGfqOVPSBGUAJ9ut"/>
    <x v="190"/>
    <x v="0"/>
    <s v="Tim Patch - Network;Michael S Mckinney;Joseph Alexander - Network;Rhoda Gill"/>
    <s v="Test Method"/>
    <s v="sop # _x000a_ _x000a_config start date:03/27/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0"/>
    <x v="0"/>
    <n v="0"/>
    <n v="0"/>
    <x v="1"/>
    <n v="0"/>
    <n v="0"/>
    <n v="0"/>
    <n v="0"/>
    <x v="1"/>
    <n v="0"/>
    <n v="0"/>
    <x v="0"/>
    <n v="0"/>
    <n v="0"/>
    <x v="1"/>
    <m/>
    <m/>
    <x v="0"/>
    <x v="0"/>
    <x v="0"/>
    <x v="0"/>
    <x v="0"/>
    <x v="0"/>
    <b v="1"/>
    <m/>
    <m/>
    <m/>
    <m/>
    <m/>
    <m/>
    <m/>
    <m/>
    <m/>
    <m/>
    <m/>
    <m/>
    <m/>
    <m/>
    <m/>
    <m/>
  </r>
  <r>
    <s v="8PVqI-EtS0mgVmwZGLmYKWUAPIVg"/>
    <x v="191"/>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0"/>
    <x v="0"/>
    <n v="0"/>
    <n v="0"/>
    <x v="1"/>
    <n v="0"/>
    <n v="0"/>
    <n v="0"/>
    <n v="0"/>
    <x v="1"/>
    <n v="0"/>
    <n v="0"/>
    <x v="0"/>
    <n v="0"/>
    <n v="0"/>
    <x v="1"/>
    <m/>
    <m/>
    <x v="0"/>
    <x v="0"/>
    <x v="0"/>
    <x v="0"/>
    <x v="0"/>
    <x v="0"/>
    <b v="1"/>
    <m/>
    <m/>
    <m/>
    <m/>
    <m/>
    <m/>
    <m/>
    <m/>
    <m/>
    <m/>
    <m/>
    <m/>
    <m/>
    <m/>
    <m/>
    <m/>
  </r>
  <r>
    <s v="d9AJFECcRkeyBGGG7Tcv5WUANXij"/>
    <x v="192"/>
    <x v="0"/>
    <s v="Rhoda Gill"/>
    <s v="Test Method;Do not delete until invoiced"/>
    <s v="sop # b10827 _x000a_ _x000a_config start date:03/25/24 _x000a_all config blocked start date:na _x000a_all config blocked end date:na _x000a_config end date:04/02/24 _x000a_ -------------------------------------------------------------------------------------------- _x000a_all peer review start date:04/11/24 _x000a_all peer review end date:04/11/24 _x000a_ _x000a_all peer review rework required start date:na _x000a_all pr rework blocked start date:na _x000a_all pr rework blocked end date:na _x000a_all peer review rework required end date:na _x000a_-------------------------------------------------------------------------------------------- _x000a_all ready for demo date:04/11/24 _x000a_ _x000a_all demo date:04/11/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n v="0"/>
    <n v="0"/>
    <x v="1"/>
    <n v="1"/>
    <n v="1"/>
    <e v="#VALUE!"/>
    <n v="0"/>
    <x v="1"/>
    <n v="0"/>
    <n v="0"/>
    <x v="0"/>
    <n v="0"/>
    <n v="0"/>
    <x v="1"/>
    <m/>
    <m/>
    <x v="1"/>
    <x v="0"/>
    <x v="1"/>
    <x v="0"/>
    <x v="0"/>
    <x v="0"/>
    <b v="1"/>
    <m/>
    <m/>
    <m/>
    <m/>
    <m/>
    <m/>
    <m/>
    <m/>
    <m/>
    <m/>
    <m/>
    <m/>
    <m/>
    <m/>
    <m/>
    <m/>
  </r>
  <r>
    <s v="qD0xpZP_zEuEUKsf8rIdk2UAC5IV"/>
    <x v="193"/>
    <x v="0"/>
    <s v="Rhoda Gill - Network;Tim Patch - Network"/>
    <s v="Test Method;Do not delete until invoiced"/>
    <s v="sop # _x000a_ _x000a_config start date:03/25/24 _x000a_all config blocked start date:na _x000a_all config blocked end date:na _x000a_config end date:03/25/24 _x000a_ -------------------------------------------------------------------------------------------- _x000a_all peer review start date:04/28/24 _x000a_all peer review end date:04/28/24 _x000a_ _x000a_all peer review rework required start date:04/30/24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e v="#VALUE!"/>
    <n v="0"/>
    <x v="1"/>
    <n v="0"/>
    <n v="0"/>
    <n v="0"/>
    <n v="0"/>
    <x v="1"/>
    <n v="0"/>
    <n v="0"/>
    <x v="0"/>
    <n v="0"/>
    <n v="0"/>
    <x v="1"/>
    <m/>
    <m/>
    <x v="1"/>
    <x v="1"/>
    <x v="0"/>
    <x v="0"/>
    <x v="0"/>
    <x v="0"/>
    <b v="1"/>
    <m/>
    <m/>
    <m/>
    <m/>
    <m/>
    <m/>
    <m/>
    <m/>
    <m/>
    <m/>
    <m/>
    <m/>
    <m/>
    <m/>
    <m/>
    <m/>
  </r>
  <r>
    <s v="IGMfXRrs8kym3Tu4bbGDv2UADVPH"/>
    <x v="194"/>
    <x v="0"/>
    <s v="Tim Patch - Network;Michael S Mckinney;Joseph Alexander - Network;Rhoda Gill"/>
    <s v="Test Method"/>
    <s v="sop # _x000a_ _x000a_config start date:03/26/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0"/>
    <x v="0"/>
    <n v="0"/>
    <n v="0"/>
    <x v="1"/>
    <n v="0"/>
    <n v="0"/>
    <n v="0"/>
    <n v="0"/>
    <x v="1"/>
    <n v="0"/>
    <n v="0"/>
    <x v="0"/>
    <n v="0"/>
    <n v="0"/>
    <x v="1"/>
    <m/>
    <m/>
    <x v="0"/>
    <x v="0"/>
    <x v="0"/>
    <x v="0"/>
    <x v="0"/>
    <x v="0"/>
    <b v="1"/>
    <m/>
    <m/>
    <m/>
    <m/>
    <m/>
    <m/>
    <m/>
    <m/>
    <m/>
    <m/>
    <m/>
    <m/>
    <m/>
    <m/>
    <m/>
    <m/>
  </r>
  <r>
    <s v="VF_HEDLT3kSBJeI_aeNs4GUACdXM"/>
    <x v="195"/>
    <x v="0"/>
    <s v="Rhoda Gill - Network;Joseph Alexander - Network"/>
    <s v="Test Method;Do not delete until invoiced"/>
    <s v="sop # b10236 _x000a_ _x000a_config start date:03/25/24 _x000a_all config blocked start date:na _x000a_all config blocked end date:na _x000a_config end date:03/27/24 _x000a_ -------------------------------------------------------------------------------------------- _x000a_all peer review start date:04/28/24 _x000a_all peer review end date:04/28/24 _x000a_ _x000a_all peer review rework required start date:04/30/24 _x000a_all pr rework blocked start date:na _x000a_all pr rework blocked end date:na _x000a_all peer review rework required end date:04/30/24 _x000a_-------------------------------------------------------------------------------------------- _x000a_all ready for demo date:04/30/24 _x000a_ _x000a_all demo date:04/3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e v="#VALUE!"/>
    <n v="0"/>
    <x v="1"/>
    <n v="1"/>
    <n v="1"/>
    <n v="0"/>
    <n v="0"/>
    <x v="1"/>
    <n v="0"/>
    <n v="0"/>
    <x v="0"/>
    <n v="0"/>
    <n v="0"/>
    <x v="1"/>
    <m/>
    <m/>
    <x v="1"/>
    <x v="1"/>
    <x v="1"/>
    <x v="0"/>
    <x v="0"/>
    <x v="0"/>
    <b v="1"/>
    <m/>
    <m/>
    <m/>
    <m/>
    <m/>
    <m/>
    <m/>
    <m/>
    <m/>
    <m/>
    <m/>
    <m/>
    <m/>
    <m/>
    <m/>
    <m/>
  </r>
  <r>
    <s v="dGGQXkmMwEO4-INlDJOo3GUALuXT"/>
    <x v="196"/>
    <x v="0"/>
    <s v="Andree Martin - Network;Brandon Klein - Network;Rhoda Gill"/>
    <s v="Test Method;Do not delete until invoiced"/>
    <s v="sop # b02786 _x000a_ _x000a_config start date:03/26/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n v="0"/>
    <n v="0"/>
    <x v="1"/>
    <n v="1"/>
    <n v="1"/>
    <e v="#VALUE!"/>
    <n v="0"/>
    <x v="1"/>
    <n v="0"/>
    <n v="0"/>
    <x v="0"/>
    <n v="0"/>
    <n v="0"/>
    <x v="1"/>
    <m/>
    <m/>
    <x v="1"/>
    <x v="0"/>
    <x v="1"/>
    <x v="0"/>
    <x v="0"/>
    <x v="0"/>
    <b v="1"/>
    <m/>
    <m/>
    <m/>
    <m/>
    <m/>
    <m/>
    <m/>
    <m/>
    <m/>
    <m/>
    <m/>
    <m/>
    <m/>
    <m/>
    <m/>
    <m/>
  </r>
  <r>
    <s v="ZhhytUG0ZkqE_hVMWuHAcWUAGCK7"/>
    <x v="197"/>
    <x v="0"/>
    <s v="Andree Martin - Network;Brandon Klein - Network;Rhoda Gill"/>
    <s v="Test Method;Do not delete until invoiced"/>
    <s v="sop # b06295 _x000a_ _x000a_config start date:03/25/24 _x000a_all config blocked start date:na _x000a_all config blocked end date:na _x000a_config end date:03/26/24 _x000a_ -------------------------------------------------------------------------------------------- _x000a_all peer review start date:04/28/24 _x000a_all peer review end date:04/28/24 _x000a_ _x000a_all peer review rework required start date:na _x000a_all pr rework blocked start date:na _x000a_all pr rework blocked end date:na _x000a_all peer review rework required end date:na _x000a_-------------------------------------------------------------------------------------------- _x000a_all ready for demo date:04/28/24 _x000a_ _x000a_all demo date:04/30/24 _x000a_ _x000a_all demo rework required start date:04/30/24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0"/>
    <x v="0"/>
    <e v="#VALUE!"/>
    <n v="0"/>
    <x v="1"/>
    <n v="1"/>
    <x v="1"/>
    <n v="0"/>
    <n v="0"/>
    <x v="1"/>
    <n v="1"/>
    <n v="1"/>
    <e v="#VALUE!"/>
    <n v="0"/>
    <x v="1"/>
    <n v="0"/>
    <n v="0"/>
    <x v="0"/>
    <n v="0"/>
    <n v="0"/>
    <x v="1"/>
    <m/>
    <m/>
    <x v="1"/>
    <x v="0"/>
    <x v="1"/>
    <x v="0"/>
    <x v="0"/>
    <x v="0"/>
    <b v="1"/>
    <m/>
    <m/>
    <m/>
    <m/>
    <m/>
    <m/>
    <m/>
    <m/>
    <m/>
    <m/>
    <m/>
    <m/>
    <m/>
    <m/>
    <m/>
    <m/>
  </r>
  <r>
    <s v="zypNreQWDE6_UJBVCKIgJ2UAOl-f"/>
    <x v="198"/>
    <x v="4"/>
    <s v="Tessa Merryman"/>
    <s v="Calibration Method"/>
    <s v="so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1"/>
    <x v="3"/>
    <n v="0"/>
    <n v="0"/>
    <x v="1"/>
    <n v="0"/>
    <x v="0"/>
    <n v="0"/>
    <n v="0"/>
    <x v="1"/>
    <n v="0"/>
    <n v="0"/>
    <n v="0"/>
    <n v="0"/>
    <x v="1"/>
    <n v="0"/>
    <n v="0"/>
    <x v="0"/>
    <n v="0"/>
    <n v="0"/>
    <x v="1"/>
    <m/>
    <m/>
    <x v="0"/>
    <x v="0"/>
    <x v="0"/>
    <x v="0"/>
    <x v="0"/>
    <x v="0"/>
    <m/>
    <m/>
    <m/>
    <m/>
    <m/>
    <m/>
    <m/>
    <m/>
    <m/>
    <m/>
    <m/>
    <m/>
    <m/>
    <m/>
    <m/>
    <m/>
    <m/>
  </r>
  <r>
    <s v="nf2EQLlsGUecaKTw4xxExWUAFGJP"/>
    <x v="199"/>
    <x v="3"/>
    <s v="Tessa Merryman"/>
    <s v="Test Method;Consumable"/>
    <s v="sop # kin-30191/kin_x000a_19250-001 bio indicators-003 _x000a_ _x000a_config start date:07/15/24 _x000a_ _x000a_all config blocked start date:na _x000a_ _x000a_all config blocked end date:na _x000a_ _x000a_config end date:7/15/24 _x000a_ _x000a_ -------------------------------------------------------------------------------------------- _x000a_ _x000a_all peer review start date:7/19/24 _x000a_ _x000a_all peer review end date:7/19/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 _x000a_ _x000a_all demo rework required start date: _x000a_ _x000a_all demo blocked start date:na _x000a_ _x000a_all demo blocked end date:na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1"/>
    <e v="#VALUE!"/>
    <n v="0"/>
    <x v="1"/>
    <n v="1"/>
    <x v="1"/>
    <n v="0"/>
    <n v="0"/>
    <x v="1"/>
    <n v="0"/>
    <n v="0"/>
    <n v="0"/>
    <n v="0"/>
    <x v="1"/>
    <n v="0"/>
    <n v="0"/>
    <x v="0"/>
    <n v="0"/>
    <n v="0"/>
    <x v="1"/>
    <m/>
    <m/>
    <x v="1"/>
    <x v="0"/>
    <x v="0"/>
    <x v="0"/>
    <x v="0"/>
    <x v="0"/>
    <b v="1"/>
    <m/>
    <m/>
    <m/>
    <m/>
    <m/>
    <m/>
    <m/>
    <m/>
    <m/>
    <m/>
    <m/>
    <m/>
    <m/>
    <m/>
    <m/>
    <m/>
  </r>
  <r>
    <s v="QZ_huz_za0W7xqVveRFNLWUACyQ-"/>
    <x v="200"/>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fgrTPxs8YkqUPdNzTBI9hWUAGH7W"/>
    <x v="201"/>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eamSH8opU0KSgpLu2jBfrGUAMPfV"/>
    <x v="202"/>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k_559hIU4kO3Xxn5Hyl7uWUAHiJN"/>
    <x v="203"/>
    <x v="12"/>
    <m/>
    <s v="Product;Sample plan;Product Variant"/>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all demo date: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1"/>
    <x v="0"/>
    <n v="0"/>
    <n v="0"/>
    <x v="1"/>
    <n v="0"/>
    <x v="0"/>
    <n v="0"/>
    <n v="0"/>
    <x v="1"/>
    <n v="0"/>
    <n v="0"/>
    <n v="0"/>
    <n v="0"/>
    <x v="1"/>
    <n v="0"/>
    <n v="0"/>
    <x v="0"/>
    <n v="0"/>
    <n v="0"/>
    <x v="1"/>
    <m/>
    <m/>
    <x v="0"/>
    <x v="0"/>
    <x v="0"/>
    <x v="0"/>
    <x v="0"/>
    <x v="0"/>
    <m/>
    <b v="1"/>
    <m/>
    <b v="1"/>
    <b v="1"/>
    <m/>
    <m/>
    <m/>
    <m/>
    <m/>
    <m/>
    <m/>
    <m/>
    <m/>
    <m/>
    <m/>
    <m/>
  </r>
  <r>
    <s v="htgbV-8sPUSjjuAbztjoQGUAGDUl"/>
    <x v="204"/>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inclusion of set up (organisms, media and inoculation) decision made. (6/11/2024)"/>
    <x v="1"/>
    <x v="1"/>
    <e v="#VALUE!"/>
    <n v="0"/>
    <x v="1"/>
    <n v="1"/>
    <x v="1"/>
    <n v="0"/>
    <n v="0"/>
    <x v="1"/>
    <n v="1"/>
    <n v="1"/>
    <e v="#VALUE!"/>
    <n v="0"/>
    <x v="1"/>
    <n v="2"/>
    <n v="1"/>
    <x v="1"/>
    <e v="#VALUE!"/>
    <e v="#VALUE!"/>
    <x v="1"/>
    <m/>
    <m/>
    <x v="1"/>
    <x v="0"/>
    <x v="1"/>
    <x v="1"/>
    <x v="1"/>
    <x v="0"/>
    <b v="1"/>
    <m/>
    <m/>
    <m/>
    <m/>
    <m/>
    <m/>
    <m/>
    <m/>
    <m/>
    <m/>
    <m/>
    <m/>
    <m/>
    <m/>
    <m/>
    <m/>
  </r>
  <r>
    <s v="byZipfKXeUuwkISJzXJqOWUALdwh"/>
    <x v="205"/>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e v="#VALUE!"/>
    <n v="0"/>
    <x v="1"/>
    <n v="1"/>
    <x v="1"/>
    <n v="0"/>
    <n v="0"/>
    <x v="1"/>
    <n v="1"/>
    <n v="1"/>
    <e v="#VALUE!"/>
    <n v="0"/>
    <x v="1"/>
    <n v="2"/>
    <n v="1"/>
    <x v="1"/>
    <e v="#VALUE!"/>
    <e v="#VALUE!"/>
    <x v="1"/>
    <m/>
    <m/>
    <x v="1"/>
    <x v="0"/>
    <x v="1"/>
    <x v="1"/>
    <x v="1"/>
    <x v="0"/>
    <b v="1"/>
    <m/>
    <m/>
    <m/>
    <m/>
    <m/>
    <m/>
    <m/>
    <m/>
    <m/>
    <m/>
    <m/>
    <m/>
    <m/>
    <m/>
    <m/>
    <m/>
  </r>
  <r>
    <s v="mEsIJw0IyUqjHzsEsM37kGUAEhgt"/>
    <x v="206"/>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 jul 2024 _x000a_ready to migrate date: _x000a_ _x000a_inclusion of set up (organisms, media and inoculation) decision pending. (6/05/2024) _x000a_inclusion of set up (organisms, media and inoculation) decision made. (6/11/2024)"/>
    <x v="1"/>
    <x v="1"/>
    <e v="#VALUE!"/>
    <n v="0"/>
    <x v="1"/>
    <n v="1"/>
    <x v="1"/>
    <n v="0"/>
    <n v="0"/>
    <x v="1"/>
    <n v="1"/>
    <n v="1"/>
    <e v="#VALUE!"/>
    <n v="0"/>
    <x v="1"/>
    <n v="2"/>
    <n v="1"/>
    <x v="1"/>
    <e v="#VALUE!"/>
    <e v="#VALUE!"/>
    <x v="1"/>
    <m/>
    <m/>
    <x v="1"/>
    <x v="0"/>
    <x v="1"/>
    <x v="1"/>
    <x v="1"/>
    <x v="0"/>
    <b v="1"/>
    <m/>
    <m/>
    <m/>
    <m/>
    <m/>
    <m/>
    <m/>
    <m/>
    <m/>
    <m/>
    <m/>
    <m/>
    <m/>
    <m/>
    <m/>
    <m/>
  </r>
  <r>
    <s v="HYwBhi9yyE-vySE4SBYDcWUALwZ-"/>
    <x v="207"/>
    <x v="13"/>
    <s v="Douglas R Sims;Mariana Torres - Network"/>
    <s v="Test Method;Consumable;New"/>
    <s v="sop # kin-22801 _x000a_ _x000a_config start date:05/24/24 _x000a_all config blocked start date:na _x000a_all config blocked end date:na _x000a_config end date:05/29/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4 _x000a_ _x000a_all demo rework required start date:06/03/24 _x000a_all demo blocked start date:na _x000a_all demo blocked end date:na _x000a_all demo rework required end date:06/03/24 _x000a_-------------------------------------------------------------------------------------------- _x000a_all ready for client verification date:06/03/24;06/19/24 _x000a_ _x000a_verification assigned to: douglas r sims _x000a_all client verification start date:06/05/24 _x000a_all client verification end date:06/05/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verification complete date: 19jul2024 _x000a_ready to migrate date: _x000a_ _x000a_inclusion of set up (organisms, media and inoculation) decision pending. (6/05/2024) _x000a_inclusion of set up (organisms, media and inoculation) decision made. (6/11/2024)"/>
    <x v="1"/>
    <x v="1"/>
    <e v="#VALUE!"/>
    <n v="0"/>
    <x v="1"/>
    <n v="1"/>
    <x v="1"/>
    <n v="0"/>
    <n v="0"/>
    <x v="1"/>
    <n v="1"/>
    <n v="1"/>
    <e v="#VALUE!"/>
    <n v="0"/>
    <x v="1"/>
    <n v="2"/>
    <n v="1"/>
    <x v="1"/>
    <e v="#VALUE!"/>
    <e v="#VALUE!"/>
    <x v="1"/>
    <m/>
    <m/>
    <x v="1"/>
    <x v="0"/>
    <x v="1"/>
    <x v="1"/>
    <x v="1"/>
    <x v="0"/>
    <b v="1"/>
    <m/>
    <m/>
    <m/>
    <m/>
    <m/>
    <m/>
    <m/>
    <m/>
    <m/>
    <m/>
    <m/>
    <m/>
    <m/>
    <m/>
    <m/>
    <m/>
  </r>
  <r>
    <s v="Bv3V8FHs8k2wRV6oW2P8oGUADR5g"/>
    <x v="208"/>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e v="#VALUE!"/>
    <n v="0"/>
    <x v="1"/>
    <n v="1"/>
    <x v="1"/>
    <n v="0"/>
    <n v="0"/>
    <x v="1"/>
    <n v="1"/>
    <n v="1"/>
    <e v="#VALUE!"/>
    <n v="0"/>
    <x v="1"/>
    <n v="2"/>
    <n v="2"/>
    <x v="1"/>
    <e v="#VALUE!"/>
    <n v="0"/>
    <x v="1"/>
    <d v="2024-06-28T00:00:00"/>
    <d v="2024-06-28T00:00:00"/>
    <x v="1"/>
    <x v="0"/>
    <x v="1"/>
    <x v="1"/>
    <x v="1"/>
    <x v="1"/>
    <m/>
    <m/>
    <m/>
    <m/>
    <m/>
    <m/>
    <m/>
    <m/>
    <m/>
    <m/>
    <m/>
    <m/>
    <m/>
    <m/>
    <m/>
    <m/>
    <m/>
  </r>
  <r>
    <s v="l7KWnR2QaESnqeG9m4xzT2UAKTEm"/>
    <x v="209"/>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e v="#VALUE!"/>
    <n v="0"/>
    <x v="1"/>
    <n v="1"/>
    <x v="1"/>
    <n v="0"/>
    <n v="0"/>
    <x v="1"/>
    <n v="1"/>
    <n v="1"/>
    <e v="#VALUE!"/>
    <n v="0"/>
    <x v="1"/>
    <n v="2"/>
    <n v="2"/>
    <x v="1"/>
    <e v="#VALUE!"/>
    <n v="0"/>
    <x v="1"/>
    <d v="2024-06-28T00:00:00"/>
    <d v="2024-06-28T00:00:00"/>
    <x v="1"/>
    <x v="0"/>
    <x v="1"/>
    <x v="1"/>
    <x v="1"/>
    <x v="1"/>
    <m/>
    <m/>
    <m/>
    <m/>
    <m/>
    <m/>
    <m/>
    <m/>
    <m/>
    <m/>
    <m/>
    <m/>
    <m/>
    <m/>
    <m/>
    <m/>
    <m/>
  </r>
  <r>
    <s v="H1J6aU6R-06f9Ls7230YmWUACNfv"/>
    <x v="210"/>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e v="#VALUE!"/>
    <n v="0"/>
    <x v="1"/>
    <n v="1"/>
    <x v="1"/>
    <n v="0"/>
    <n v="0"/>
    <x v="1"/>
    <n v="1"/>
    <n v="1"/>
    <e v="#VALUE!"/>
    <n v="0"/>
    <x v="1"/>
    <n v="2"/>
    <n v="2"/>
    <x v="1"/>
    <e v="#VALUE!"/>
    <n v="0"/>
    <x v="1"/>
    <d v="2024-06-28T00:00:00"/>
    <d v="2024-06-28T00:00:00"/>
    <x v="1"/>
    <x v="0"/>
    <x v="1"/>
    <x v="1"/>
    <x v="1"/>
    <x v="1"/>
    <m/>
    <m/>
    <m/>
    <m/>
    <m/>
    <m/>
    <m/>
    <m/>
    <m/>
    <m/>
    <m/>
    <m/>
    <m/>
    <m/>
    <m/>
    <m/>
    <m/>
  </r>
  <r>
    <s v="HYxvOswkg0Wm9Awwg9S0QWUAHSLR"/>
    <x v="211"/>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8/24 _x000a_all client verification end date:06/17/24;06/28/24 _x000a_ _x000a_all client rework required start date:06/17/24 _x000a_all client blocked start date:na _x000a_all client blocked end date:na _x000a_all client rework required end date:06/19/24 _x000a_-------------------------------------------------------------------------------------------- _x000a_verification complete date:06/28/24 _x000a_ready to migrate date:06/28/24"/>
    <x v="1"/>
    <x v="2"/>
    <e v="#VALUE!"/>
    <n v="0"/>
    <x v="1"/>
    <n v="1"/>
    <x v="1"/>
    <n v="0"/>
    <n v="0"/>
    <x v="1"/>
    <n v="1"/>
    <n v="1"/>
    <e v="#VALUE!"/>
    <n v="0"/>
    <x v="1"/>
    <n v="2"/>
    <n v="2"/>
    <x v="1"/>
    <e v="#VALUE!"/>
    <n v="0"/>
    <x v="1"/>
    <d v="2024-06-28T00:00:00"/>
    <d v="2024-06-28T00:00:00"/>
    <x v="1"/>
    <x v="0"/>
    <x v="1"/>
    <x v="1"/>
    <x v="1"/>
    <x v="1"/>
    <m/>
    <m/>
    <m/>
    <m/>
    <m/>
    <m/>
    <m/>
    <m/>
    <m/>
    <m/>
    <m/>
    <m/>
    <m/>
    <m/>
    <m/>
    <m/>
    <m/>
  </r>
  <r>
    <s v="DJ_NSzrp0U64ag4GDHntsmUAJpvc"/>
    <x v="212"/>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7/24 _x000a_all client verification end date:06/17/24;06/27/24 _x000a_ _x000a_all client rework required start date:06/17/24 _x000a_all client blocked start date:na _x000a_all client blocked end date:na _x000a_all client rework required end date:06/19/24 _x000a_-------------------------------------------------------------------------------------------- _x000a_verification complete date:06/27/24 _x000a_ready to migrate date:06/27/24"/>
    <x v="1"/>
    <x v="2"/>
    <e v="#VALUE!"/>
    <n v="0"/>
    <x v="1"/>
    <n v="1"/>
    <x v="1"/>
    <n v="0"/>
    <n v="0"/>
    <x v="1"/>
    <n v="1"/>
    <n v="1"/>
    <e v="#VALUE!"/>
    <n v="0"/>
    <x v="1"/>
    <n v="2"/>
    <n v="2"/>
    <x v="1"/>
    <e v="#VALUE!"/>
    <n v="0"/>
    <x v="1"/>
    <d v="2024-06-27T00:00:00"/>
    <d v="2024-06-27T00:00:00"/>
    <x v="1"/>
    <x v="0"/>
    <x v="1"/>
    <x v="1"/>
    <x v="1"/>
    <x v="1"/>
    <m/>
    <m/>
    <m/>
    <m/>
    <m/>
    <m/>
    <m/>
    <m/>
    <m/>
    <m/>
    <m/>
    <m/>
    <m/>
    <m/>
    <m/>
    <m/>
    <m/>
  </r>
  <r>
    <s v="VFClIy9tVEm84D4Tn4y8K2UAO2S_"/>
    <x v="213"/>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E3LtOWe0d0a9ccpfizSfQmUAED-L"/>
    <x v="214"/>
    <x v="10"/>
    <s v="Douglas R Sims;Tessa Merryman - Network;Juliana Masis - Network"/>
    <s v="Calibration Method;New"/>
    <s v="sop # _x000a_ _x000a_config start date:05/30/24 _x000a_all config blocked start date:na _x000a_all config blocked end date:na _x000a_config end date:05/30/24 _x000a_ -------------------------------------------------------------------------------------------- _x000a_all peer review start date:06/03/24 _x000a_all peer review end date:06/04/24 _x000a_ _x000a_all peer review rework required start date:na _x000a_all pr rework blocked start date:na _x000a_all pr rework blocked end date:na _x000a_all peer review rework required end date:na _x000a_-------------------------------------------------------------------------------------------- _x000a_all ready for demo date:06/04/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0ahXfYSRj0WAVvF9pI0z72UACVS2"/>
    <x v="215"/>
    <x v="1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25jul2024 _x000a_ready to migrate date:"/>
    <x v="1"/>
    <x v="1"/>
    <e v="#VALUE!"/>
    <n v="0"/>
    <x v="1"/>
    <n v="1"/>
    <x v="1"/>
    <n v="0"/>
    <n v="0"/>
    <x v="1"/>
    <n v="1"/>
    <n v="1"/>
    <n v="0"/>
    <n v="0"/>
    <x v="1"/>
    <n v="3"/>
    <n v="2"/>
    <x v="1"/>
    <e v="#VALUE!"/>
    <n v="0"/>
    <x v="1"/>
    <m/>
    <m/>
    <x v="1"/>
    <x v="0"/>
    <x v="1"/>
    <x v="1"/>
    <x v="1"/>
    <x v="0"/>
    <m/>
    <m/>
    <m/>
    <m/>
    <m/>
    <m/>
    <m/>
    <m/>
    <m/>
    <m/>
    <m/>
    <m/>
    <m/>
    <m/>
    <m/>
    <m/>
    <m/>
  </r>
  <r>
    <s v="6fPMM16Gi0KyyhVfKNZLh2UAD9Dj"/>
    <x v="216"/>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e v="#VALUE!"/>
    <n v="0"/>
    <x v="1"/>
    <n v="1"/>
    <x v="1"/>
    <n v="0"/>
    <n v="0"/>
    <x v="1"/>
    <n v="1"/>
    <n v="1"/>
    <n v="0"/>
    <n v="0"/>
    <x v="1"/>
    <n v="3"/>
    <n v="2"/>
    <x v="1"/>
    <e v="#VALUE!"/>
    <n v="0"/>
    <x v="1"/>
    <m/>
    <m/>
    <x v="1"/>
    <x v="0"/>
    <x v="1"/>
    <x v="1"/>
    <x v="1"/>
    <x v="0"/>
    <m/>
    <m/>
    <m/>
    <m/>
    <m/>
    <m/>
    <m/>
    <m/>
    <m/>
    <m/>
    <m/>
    <m/>
    <m/>
    <m/>
    <m/>
    <m/>
    <m/>
  </r>
  <r>
    <s v="leGoYudwBkq7JBReoJbNGGUAKiGQ"/>
    <x v="217"/>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e v="#VALUE!"/>
    <n v="0"/>
    <x v="1"/>
    <n v="1"/>
    <x v="1"/>
    <n v="0"/>
    <n v="0"/>
    <x v="1"/>
    <n v="1"/>
    <n v="1"/>
    <n v="0"/>
    <n v="0"/>
    <x v="1"/>
    <n v="3"/>
    <n v="2"/>
    <x v="1"/>
    <e v="#VALUE!"/>
    <n v="0"/>
    <x v="1"/>
    <m/>
    <m/>
    <x v="1"/>
    <x v="0"/>
    <x v="1"/>
    <x v="1"/>
    <x v="1"/>
    <x v="0"/>
    <m/>
    <m/>
    <m/>
    <m/>
    <m/>
    <m/>
    <m/>
    <m/>
    <m/>
    <m/>
    <m/>
    <m/>
    <m/>
    <m/>
    <m/>
    <m/>
    <m/>
  </r>
  <r>
    <s v="E__SRYDYS02L7Ew5ascd5WUAIawn"/>
    <x v="218"/>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 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e v="#VALUE!"/>
    <n v="0"/>
    <x v="1"/>
    <n v="1"/>
    <x v="1"/>
    <n v="0"/>
    <n v="0"/>
    <x v="1"/>
    <n v="1"/>
    <n v="1"/>
    <n v="0"/>
    <n v="0"/>
    <x v="1"/>
    <n v="3"/>
    <n v="2"/>
    <x v="1"/>
    <e v="#VALUE!"/>
    <n v="0"/>
    <x v="1"/>
    <m/>
    <m/>
    <x v="1"/>
    <x v="0"/>
    <x v="1"/>
    <x v="1"/>
    <x v="1"/>
    <x v="0"/>
    <m/>
    <m/>
    <m/>
    <m/>
    <m/>
    <m/>
    <m/>
    <m/>
    <m/>
    <m/>
    <m/>
    <m/>
    <m/>
    <m/>
    <m/>
    <m/>
    <m/>
  </r>
  <r>
    <s v="AAuzk4BvZ0CVuTjfkRBR7WUAKR_r"/>
    <x v="219"/>
    <x v="3"/>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7/03/24 _x000a_ _x000a_verification assigned to: douglas r sims _x000a_all client verification start date:06/13/24;06/26/24 _x000a_all client verification end date:06/13/24;06/26/24 _x000a_ _x000a_all client rework required start date:06/14/24;06/26/24 _x000a_all client blocked start date:na _x000a_all client blocked end date:na _x000a_all client rework required end date:06/18/24,07/02/24 _x000a_-------------------------------------------------------------------------------------------- _x000a_verification complete date: _x000a_ready to migrate date:"/>
    <x v="1"/>
    <x v="1"/>
    <e v="#VALUE!"/>
    <n v="0"/>
    <x v="1"/>
    <n v="1"/>
    <x v="1"/>
    <n v="0"/>
    <n v="0"/>
    <x v="1"/>
    <n v="1"/>
    <n v="1"/>
    <n v="0"/>
    <n v="0"/>
    <x v="1"/>
    <n v="3"/>
    <n v="2"/>
    <x v="1"/>
    <e v="#VALUE!"/>
    <n v="0"/>
    <x v="1"/>
    <m/>
    <m/>
    <x v="1"/>
    <x v="0"/>
    <x v="1"/>
    <x v="1"/>
    <x v="1"/>
    <x v="0"/>
    <m/>
    <m/>
    <m/>
    <m/>
    <m/>
    <m/>
    <m/>
    <m/>
    <m/>
    <m/>
    <m/>
    <m/>
    <m/>
    <m/>
    <m/>
    <m/>
    <m/>
  </r>
  <r>
    <s v="d5y272LiukKe4DyppElF62UAK7U0"/>
    <x v="220"/>
    <x v="10"/>
    <s v="Douglas R Sims;Tessa Merryman - Network;Juliana Masis - Network"/>
    <s v="Calibration Method;New"/>
    <s v="sop # _x000a_ _x000a_config start date:06/10/24 _x000a_all config blocked start date:na _x000a_all config blocked end date:na _x000a_config end date:06/1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06/12/24 _x000a_ _x000a_all demo date:06/13/24 _x000a_ _x000a_all demo rework required start date:na _x000a_all demo blocked start date:na _x000a_all demo blocked end date:na _x000a_all demo rework required end date:na _x000a_-------------------------------------------------------------------------------------------- _x000a_all ready for client verification date:06/13/24;06/19/24;06/28/24 _x000a_ _x000a_verification assigned to: douglas r sims _x000a_all client verification start date:06/13/24;06/26/24 _x000a_all client verification end date:06/13/24;06/26/24 _x000a_ _x000a_all client rework required start date:06/14/24;06/27/24 _x000a_all client blocked start date:na _x000a_all client blocked end date:na _x000a_all client rework required end date:06/18/24;06/28/24 _x000a_-------------------------------------------------------------------------------------------- _x000a_verification complete date: _x000a_ready to migrate date:"/>
    <x v="1"/>
    <x v="2"/>
    <e v="#VALUE!"/>
    <n v="0"/>
    <x v="1"/>
    <n v="1"/>
    <x v="1"/>
    <n v="0"/>
    <n v="0"/>
    <x v="1"/>
    <n v="1"/>
    <n v="1"/>
    <n v="0"/>
    <n v="0"/>
    <x v="1"/>
    <n v="3"/>
    <n v="2"/>
    <x v="1"/>
    <e v="#VALUE!"/>
    <n v="0"/>
    <x v="1"/>
    <m/>
    <m/>
    <x v="1"/>
    <x v="0"/>
    <x v="1"/>
    <x v="1"/>
    <x v="1"/>
    <x v="0"/>
    <m/>
    <m/>
    <m/>
    <m/>
    <m/>
    <m/>
    <m/>
    <m/>
    <m/>
    <m/>
    <m/>
    <m/>
    <m/>
    <m/>
    <m/>
    <m/>
    <m/>
  </r>
  <r>
    <s v="AVvS5gAzyUy44iMU9088M2UAMlmh"/>
    <x v="221"/>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bSRNRNR3VEebc-Dr_rmeYWUAEbvJ"/>
    <x v="222"/>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UDV6nLPrJE6Ev82GFdoh92UAB4GW"/>
    <x v="223"/>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6Try0GaF4Umsb6Q1Bew0MmUAMjvG"/>
    <x v="224"/>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SPGrLZUy10WLkMXcWvHUPWUAKG3H"/>
    <x v="225"/>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0dPRWlC7OEOeLFsCyL0qmWUAOadi"/>
    <x v="226"/>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dKL-lFG7N0S9HZQC_w-fnmUAOv3t"/>
    <x v="227"/>
    <x v="10"/>
    <s v="Douglas R Sims;Tessa Merryman - Network;Juliana Masis - Network"/>
    <s v="Calibration Method;New"/>
    <s v="sop # _x000a_ _x000a_config start date:05/27/24 _x000a_all config blocked start date:na _x000a_all config blocked end date:na _x000a_config end date:05/30/24 _x000a_ -------------------------------------------------------------------------------------------- _x000a_all peer review start date:05/30/24 _x000a_all peer review end date:05/30/24 _x000a_ _x000a_all peer review rework required start date:na _x000a_all pr rework blocked start date:na _x000a_all pr rework blocked end date:na _x000a_all peer review rework required end date:na _x000a_-------------------------------------------------------------------------------------------- _x000a_all ready for demo date:05/30/24 _x000a_ _x000a_all demo date:06/05/24 _x000a_ _x000a_all demo rework required start date:06/05/24 _x000a_all demo blocked start date:na _x000a_all demo blocked end date:na _x000a_all demo rework required end date:06/11/24 _x000a_-------------------------------------------------------------------------------------------- _x000a_all ready for client verification date:06/13/24;06/19/24 _x000a_ _x000a_verification assigned to: douglas r sims _x000a_all client verification start date:06/17/24;06/24/24 _x000a_all client verification end date:06/17/24;06/24/24 _x000a_ _x000a_all client rework required start date:06/17/24 _x000a_all client blocked start date:na _x000a_all client blocked end date:na _x000a_all client rework required end date:06/19/24 _x000a_-------------------------------------------------------------------------------------------- _x000a_verification complete date:06/24/24 _x000a_ready to migrate date:06/24/24"/>
    <x v="1"/>
    <x v="2"/>
    <e v="#VALUE!"/>
    <n v="0"/>
    <x v="1"/>
    <n v="1"/>
    <x v="1"/>
    <n v="0"/>
    <n v="0"/>
    <x v="1"/>
    <n v="1"/>
    <n v="1"/>
    <e v="#VALUE!"/>
    <n v="0"/>
    <x v="1"/>
    <n v="2"/>
    <n v="2"/>
    <x v="1"/>
    <e v="#VALUE!"/>
    <n v="0"/>
    <x v="1"/>
    <d v="2024-06-24T00:00:00"/>
    <d v="2024-06-24T00:00:00"/>
    <x v="1"/>
    <x v="0"/>
    <x v="1"/>
    <x v="1"/>
    <x v="1"/>
    <x v="1"/>
    <m/>
    <m/>
    <m/>
    <m/>
    <m/>
    <m/>
    <m/>
    <m/>
    <m/>
    <m/>
    <m/>
    <m/>
    <m/>
    <m/>
    <m/>
    <m/>
    <m/>
  </r>
  <r>
    <s v="rJqa1VgicEuVqugjAe4NrWUAHdWD"/>
    <x v="228"/>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e v="#VALUE!"/>
    <n v="0"/>
    <x v="1"/>
    <n v="0"/>
    <x v="0"/>
    <n v="0"/>
    <n v="0"/>
    <x v="1"/>
    <n v="0"/>
    <n v="0"/>
    <n v="0"/>
    <n v="0"/>
    <x v="1"/>
    <n v="1"/>
    <n v="1"/>
    <x v="1"/>
    <n v="0"/>
    <n v="0"/>
    <x v="1"/>
    <d v="2024-05-22T00:00:00"/>
    <d v="2024-05-22T00:00:00"/>
    <x v="0"/>
    <x v="0"/>
    <x v="0"/>
    <x v="1"/>
    <x v="1"/>
    <x v="1"/>
    <m/>
    <m/>
    <b v="1"/>
    <m/>
    <m/>
    <m/>
    <m/>
    <m/>
    <m/>
    <m/>
    <m/>
    <m/>
    <m/>
    <m/>
    <m/>
    <m/>
    <m/>
  </r>
  <r>
    <s v="FyO4iB6o9E66PVsmU3akwGUAHRN1"/>
    <x v="229"/>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e v="#VALUE!"/>
    <n v="0"/>
    <x v="1"/>
    <n v="0"/>
    <x v="0"/>
    <n v="0"/>
    <n v="0"/>
    <x v="1"/>
    <n v="0"/>
    <n v="0"/>
    <n v="0"/>
    <n v="0"/>
    <x v="1"/>
    <n v="1"/>
    <n v="1"/>
    <x v="1"/>
    <n v="0"/>
    <n v="0"/>
    <x v="1"/>
    <d v="2024-05-22T00:00:00"/>
    <d v="2024-05-22T00:00:00"/>
    <x v="0"/>
    <x v="0"/>
    <x v="0"/>
    <x v="1"/>
    <x v="1"/>
    <x v="1"/>
    <m/>
    <m/>
    <b v="1"/>
    <m/>
    <m/>
    <m/>
    <m/>
    <m/>
    <m/>
    <m/>
    <m/>
    <m/>
    <m/>
    <m/>
    <m/>
    <m/>
    <m/>
  </r>
  <r>
    <s v="2S3nPR_DLkWJXOQ3fI_hI2UAMIPV"/>
    <x v="230"/>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e v="#VALUE!"/>
    <n v="0"/>
    <x v="1"/>
    <n v="0"/>
    <x v="0"/>
    <n v="0"/>
    <n v="0"/>
    <x v="1"/>
    <n v="0"/>
    <n v="0"/>
    <n v="0"/>
    <n v="0"/>
    <x v="1"/>
    <n v="1"/>
    <n v="1"/>
    <x v="1"/>
    <n v="0"/>
    <n v="0"/>
    <x v="1"/>
    <d v="2024-05-22T00:00:00"/>
    <d v="2024-05-22T00:00:00"/>
    <x v="0"/>
    <x v="0"/>
    <x v="0"/>
    <x v="1"/>
    <x v="1"/>
    <x v="1"/>
    <m/>
    <m/>
    <b v="1"/>
    <m/>
    <m/>
    <m/>
    <m/>
    <m/>
    <m/>
    <m/>
    <m/>
    <m/>
    <m/>
    <m/>
    <m/>
    <m/>
    <m/>
  </r>
  <r>
    <s v="l6AZuOzz6k6lvfNXsa_3RWUAKyn3"/>
    <x v="231"/>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e v="#VALUE!"/>
    <n v="0"/>
    <x v="1"/>
    <n v="0"/>
    <x v="0"/>
    <n v="0"/>
    <n v="0"/>
    <x v="1"/>
    <n v="0"/>
    <n v="0"/>
    <n v="0"/>
    <n v="0"/>
    <x v="1"/>
    <n v="1"/>
    <n v="1"/>
    <x v="1"/>
    <n v="0"/>
    <n v="0"/>
    <x v="1"/>
    <d v="2024-05-22T00:00:00"/>
    <d v="2024-05-22T00:00:00"/>
    <x v="0"/>
    <x v="0"/>
    <x v="0"/>
    <x v="1"/>
    <x v="1"/>
    <x v="1"/>
    <m/>
    <m/>
    <b v="1"/>
    <m/>
    <m/>
    <m/>
    <m/>
    <m/>
    <m/>
    <m/>
    <m/>
    <m/>
    <m/>
    <m/>
    <m/>
    <m/>
    <m/>
  </r>
  <r>
    <s v="r0ZT7qJ9lkC5QED4dYhDpWUACmaj"/>
    <x v="232"/>
    <x v="10"/>
    <s v="Douglas R Sims;Tessa Merryman - Network"/>
    <s v="Instrument"/>
    <s v="sop # _x000a_ _x000a_config start date:05/20/24 _x000a_all config blocked start date:na _x000a_all config blocked end date:na _x000a_config end date:05/20/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5/20/24 _x000a_ _x000a_verification assigned to: douglas r sims _x000a_all client verification start date:05/22/24 _x000a_all client verification end date:05/22/24 _x000a_ _x000a_all client rework required start date:na _x000a_all client blocked start date:na _x000a_all client blocked end date:na _x000a_all client rework required end date:na _x000a_-------------------------------------------------------------------------------------------- _x000a_verification complete date:05/22/24 _x000a_ready to migrate date:05/22/24"/>
    <x v="1"/>
    <x v="2"/>
    <e v="#VALUE!"/>
    <n v="0"/>
    <x v="1"/>
    <n v="0"/>
    <x v="0"/>
    <n v="0"/>
    <n v="0"/>
    <x v="1"/>
    <n v="0"/>
    <n v="0"/>
    <n v="0"/>
    <n v="0"/>
    <x v="1"/>
    <n v="1"/>
    <n v="1"/>
    <x v="1"/>
    <n v="0"/>
    <n v="0"/>
    <x v="1"/>
    <d v="2024-05-22T00:00:00"/>
    <d v="2024-05-22T00:00:00"/>
    <x v="0"/>
    <x v="0"/>
    <x v="0"/>
    <x v="1"/>
    <x v="1"/>
    <x v="1"/>
    <m/>
    <m/>
    <b v="1"/>
    <m/>
    <m/>
    <m/>
    <m/>
    <m/>
    <m/>
    <m/>
    <m/>
    <m/>
    <m/>
    <m/>
    <m/>
    <m/>
    <m/>
  </r>
  <r>
    <s v="IWOp5WBl6k2UCYeuWvP0sWUABamQ"/>
    <x v="23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1"/>
    <x v="1"/>
    <n v="0"/>
    <n v="0"/>
    <x v="1"/>
    <m/>
    <m/>
    <x v="0"/>
    <x v="0"/>
    <x v="0"/>
    <x v="0"/>
    <x v="1"/>
    <x v="0"/>
    <m/>
    <m/>
    <b v="1"/>
    <m/>
    <m/>
    <m/>
    <m/>
    <m/>
    <m/>
    <m/>
    <m/>
    <m/>
    <m/>
    <m/>
    <m/>
    <m/>
    <m/>
  </r>
  <r>
    <s v="OaQi7zUsAkmCMs5g2Gdx_WUAMjzp"/>
    <x v="23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1"/>
    <x v="1"/>
    <n v="0"/>
    <n v="0"/>
    <x v="1"/>
    <m/>
    <m/>
    <x v="0"/>
    <x v="0"/>
    <x v="0"/>
    <x v="0"/>
    <x v="1"/>
    <x v="0"/>
    <m/>
    <m/>
    <b v="1"/>
    <m/>
    <m/>
    <m/>
    <m/>
    <m/>
    <m/>
    <m/>
    <m/>
    <m/>
    <m/>
    <m/>
    <m/>
    <m/>
    <m/>
  </r>
  <r>
    <s v="9J0qXlVaKUSBDBS2lIhjhGUAAt28"/>
    <x v="23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4 _x000a_ _x000a_ready to migrate date:"/>
    <x v="1"/>
    <x v="2"/>
    <e v="#VALUE!"/>
    <n v="0"/>
    <x v="1"/>
    <n v="0"/>
    <x v="0"/>
    <n v="0"/>
    <n v="0"/>
    <x v="1"/>
    <n v="0"/>
    <n v="0"/>
    <n v="0"/>
    <n v="0"/>
    <x v="1"/>
    <n v="0"/>
    <n v="1"/>
    <x v="1"/>
    <n v="0"/>
    <n v="0"/>
    <x v="1"/>
    <d v="2024-05-22T00:00:00"/>
    <m/>
    <x v="0"/>
    <x v="0"/>
    <x v="0"/>
    <x v="0"/>
    <x v="1"/>
    <x v="0"/>
    <m/>
    <m/>
    <b v="1"/>
    <m/>
    <m/>
    <m/>
    <m/>
    <m/>
    <m/>
    <m/>
    <m/>
    <m/>
    <m/>
    <m/>
    <m/>
    <m/>
    <m/>
  </r>
  <r>
    <s v="xkUXBI0_6UW6Ah0Qe_ztTmUAIIx7"/>
    <x v="23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sIb637u8LkeyKz7iM3Fi5WUAFn5d"/>
    <x v="23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KtQvOQEJO0O61W2eGJPgXmUAP45I"/>
    <x v="23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zbvhQXP-UUONk-NsJxtlFGUAA-K8"/>
    <x v="23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WIdxs5MLv0m8CO8oeJZsUGUAOvXV"/>
    <x v="24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gEFctSAXlEK-KqczV4uQ_mUAHNh3"/>
    <x v="241"/>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QveRyAMoh0uZ9gsoAypT9mUAC3B4"/>
    <x v="242"/>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lwtcXUxxhkG5sC-8atVda2UALS--"/>
    <x v="243"/>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o0fNfNtkCEKkNFLEfUILdmUAHQc2"/>
    <x v="244"/>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9cxOCydzx0eRFPX8NWlzdWUAI2L3"/>
    <x v="245"/>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qz6tBHnt0kW77ApNewyoLGUALtDq"/>
    <x v="246"/>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IGNGAb0RBE2bPjLgOuW_AWUANTow"/>
    <x v="247"/>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3Ctm1eCWlEuE0N9OuUHT02UAKgk7"/>
    <x v="248"/>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ixoQSmAXrU2mnTPyNxHsC2UAN642"/>
    <x v="249"/>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0SoxDSAy4EC29yxmvsDGrWUAJnz5"/>
    <x v="250"/>
    <x v="10"/>
    <s v="Douglas R Sims;Tessa Merryman - Network"/>
    <s v="Instrument"/>
    <s v="sop # _x000a_ _x000a_config start date: 05/20/2024 _x000a_ _x000a_all config blocked start date: na _x000a_ _x000a_all config blocked end date: na _x000a_ _x000a_config end date: 05/20/20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5/22/2024 _x000a_ _x000a_all client verification end date: 05/22/2024 _x000a_ _x000a_all client rework required start date: na _x000a_ _x000a_all client blocked start date: _x000a_ _x000a_all client blocked end date: _x000a_ _x000a_all client rework required end date: _x000a_ _x000a_------------------------------------------------------------------------------------------- _x000a_ _x000a_verification complete date: 05/22/2024 _x000a_ _x000a_ready to migrate date:"/>
    <x v="1"/>
    <x v="2"/>
    <e v="#VALUE!"/>
    <n v="0"/>
    <x v="1"/>
    <n v="0"/>
    <x v="0"/>
    <n v="0"/>
    <n v="0"/>
    <x v="1"/>
    <n v="0"/>
    <n v="0"/>
    <n v="0"/>
    <n v="0"/>
    <x v="1"/>
    <n v="0"/>
    <n v="1"/>
    <x v="1"/>
    <n v="0"/>
    <n v="0"/>
    <x v="1"/>
    <d v="2024-05-22T00:00:00"/>
    <m/>
    <x v="0"/>
    <x v="0"/>
    <x v="0"/>
    <x v="0"/>
    <x v="1"/>
    <x v="0"/>
    <m/>
    <m/>
    <b v="1"/>
    <m/>
    <m/>
    <m/>
    <m/>
    <m/>
    <m/>
    <m/>
    <m/>
    <m/>
    <m/>
    <m/>
    <m/>
    <m/>
    <m/>
  </r>
  <r>
    <s v="RK4TGvKP4E-zedwM4MgxpmUANfCZ"/>
    <x v="251"/>
    <x v="10"/>
    <s v="Douglas R Sims;Tessa Merryman - Network;Gregory Barrantes - Network"/>
    <s v="Calibration Method"/>
    <s v="sop # lim analytical xpr205 daily _x000a_ _x000a_config start date: 05/09/2024 _x000a_ _x000a_all config blocked start date: na _x000a_ _x000a_all config blocked end date: na _x000a_ _x000a_config end date: 05/10/2024 _x000a_ _x000a_ -------------------------------------------------------------------------------------------- _x000a_ _x000a_all peer review start date: 05/10/2024 _x000a_ _x000a_all peer review end date: 05/11/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5/15/2024 _x000a_ _x000a_verification assigned to: douglas r. sims  _x000a_ _x000a_all client verification start date: 05/15/2024 _x000a_ _x000a_all client verification end date: 05/20/2024 _x000a_ _x000a_all client rework required start date: na _x000a_ _x000a_all client blocked start date: na _x000a_ _x000a_all client blocked end date: na _x000a_ _x000a_all client rework required end date: na _x000a_ _x000a_------------------------------------------------------------------------------------------- _x000a_ _x000a_verification complete date: 05/20/2024 _x000a_ _x000a_ready to migrate date: 05/20/2024"/>
    <x v="1"/>
    <x v="2"/>
    <e v="#VALUE!"/>
    <n v="0"/>
    <x v="1"/>
    <n v="1"/>
    <x v="1"/>
    <n v="0"/>
    <n v="0"/>
    <x v="1"/>
    <n v="0"/>
    <n v="0"/>
    <n v="0"/>
    <n v="0"/>
    <x v="1"/>
    <n v="1"/>
    <n v="1"/>
    <x v="1"/>
    <n v="0"/>
    <n v="0"/>
    <x v="1"/>
    <d v="2024-05-20T00:00:00"/>
    <d v="2024-05-20T00:00:00"/>
    <x v="1"/>
    <x v="0"/>
    <x v="0"/>
    <x v="1"/>
    <x v="1"/>
    <x v="1"/>
    <m/>
    <m/>
    <m/>
    <m/>
    <m/>
    <m/>
    <m/>
    <m/>
    <m/>
    <m/>
    <m/>
    <m/>
    <m/>
    <m/>
    <m/>
    <m/>
    <m/>
  </r>
  <r>
    <s v="ZwO14wbZS0Oh01Yv2WeuC2UAPTIy"/>
    <x v="252"/>
    <x v="13"/>
    <s v="Douglas R Sims;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15/2024 _x000a_ _x000a_all demo blocked start date: 05/20/2024 _x000a_ _x000a_all demo blocked end date: 05/30/2024 _x000a_ _x000a_all demo rework required end date: 05/30/2024 _x000a_ _x000a_-------------------------------------------------------------------------------------------- _x000a_ _x000a_all ready for client verification date: 06/05/2024; 06/19/2024; 07/17/2024 _x000a_ _x000a_verification assigned to: douglas r. sims  _x000a_ _x000a_all client verification start date: 06/05/2024 _x000a_ _x000a_all client verification end date: 07/18/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inclusion of set up (organisms, media and inoculation) decision made. (6/11/2024)"/>
    <x v="1"/>
    <x v="1"/>
    <e v="#VALUE!"/>
    <n v="0"/>
    <x v="1"/>
    <n v="1"/>
    <x v="1"/>
    <n v="0"/>
    <n v="0"/>
    <x v="1"/>
    <n v="0"/>
    <n v="1"/>
    <e v="#VALUE!"/>
    <e v="#VALUE!"/>
    <x v="1"/>
    <n v="3"/>
    <n v="1"/>
    <x v="1"/>
    <e v="#VALUE!"/>
    <e v="#VALUE!"/>
    <x v="1"/>
    <m/>
    <m/>
    <x v="1"/>
    <x v="0"/>
    <x v="1"/>
    <x v="1"/>
    <x v="1"/>
    <x v="0"/>
    <b v="1"/>
    <m/>
    <m/>
    <m/>
    <m/>
    <m/>
    <m/>
    <m/>
    <m/>
    <m/>
    <m/>
    <m/>
    <m/>
    <m/>
    <m/>
    <m/>
    <m/>
  </r>
  <r>
    <s v="sQpK4q92REe3MFQge2zSFmUAJvTz"/>
    <x v="253"/>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_x000a_ _x000a_there is information pending from the client that could be asked to be included later on. (5/20/24 and 5/21/24) _x000a_information was provided on 5/30/24."/>
    <x v="1"/>
    <x v="1"/>
    <e v="#VALUE!"/>
    <n v="0"/>
    <x v="1"/>
    <n v="1"/>
    <x v="1"/>
    <n v="0"/>
    <n v="0"/>
    <x v="1"/>
    <n v="0"/>
    <n v="1"/>
    <e v="#VALUE!"/>
    <n v="0"/>
    <x v="1"/>
    <n v="3"/>
    <n v="2"/>
    <x v="1"/>
    <e v="#VALUE!"/>
    <e v="#VALUE!"/>
    <x v="1"/>
    <d v="2024-07-18T00:00:00"/>
    <m/>
    <x v="1"/>
    <x v="0"/>
    <x v="1"/>
    <x v="1"/>
    <x v="1"/>
    <x v="0"/>
    <b v="1"/>
    <m/>
    <m/>
    <m/>
    <m/>
    <m/>
    <m/>
    <m/>
    <m/>
    <m/>
    <m/>
    <m/>
    <m/>
    <m/>
    <m/>
    <m/>
    <m/>
  </r>
  <r>
    <s v="3OFP-cZ3VUyOaT-3n6obYWUAGeMx"/>
    <x v="254"/>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 06/19/2024; 07/17/2024 _x000a_ _x000a_all client blocked start date: 06/05/2024 _x000a_ _x000a_all client blocked end date: 06/11/2024 _x000a_ _x000a_all client rework required end date: 06/11/2024; 06/19/2024;07/03/2024; 07/17/2024 _x000a_ _x000a_------------------------------------------------------------------------------------------- _x000a_ _x000a_verification complete date:07/18/2024 _x000a_ _x000a_ready to migrate date: _x000a_ _x000a_inclusion of set up (organisms, media and inoculation) decision pending. (6/5/2024) _x000a_inclusion of set up (organisms, media and inoculation) decision made. (6/11/2024)"/>
    <x v="1"/>
    <x v="1"/>
    <e v="#VALUE!"/>
    <n v="0"/>
    <x v="1"/>
    <n v="1"/>
    <x v="1"/>
    <n v="0"/>
    <n v="0"/>
    <x v="1"/>
    <n v="0"/>
    <n v="1"/>
    <e v="#VALUE!"/>
    <n v="0"/>
    <x v="1"/>
    <n v="3"/>
    <n v="2"/>
    <x v="1"/>
    <e v="#VALUE!"/>
    <e v="#VALUE!"/>
    <x v="1"/>
    <d v="2024-07-18T00:00:00"/>
    <m/>
    <x v="1"/>
    <x v="0"/>
    <x v="1"/>
    <x v="1"/>
    <x v="1"/>
    <x v="0"/>
    <b v="1"/>
    <m/>
    <m/>
    <m/>
    <m/>
    <m/>
    <m/>
    <m/>
    <m/>
    <m/>
    <m/>
    <m/>
    <m/>
    <m/>
    <m/>
    <m/>
    <m/>
  </r>
  <r>
    <s v="PEn7PkBBkUe9zA_4pkkOE2UAFMoF"/>
    <x v="255"/>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07/05/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07/28/2024 _x000a_ _x000a_ready to migrate date:"/>
    <x v="1"/>
    <x v="1"/>
    <e v="#VALUE!"/>
    <n v="0"/>
    <x v="1"/>
    <n v="1"/>
    <x v="1"/>
    <n v="0"/>
    <n v="0"/>
    <x v="1"/>
    <n v="0"/>
    <n v="1"/>
    <e v="#VALUE!"/>
    <n v="0"/>
    <x v="1"/>
    <n v="3"/>
    <n v="2"/>
    <x v="1"/>
    <e v="#VALUE!"/>
    <n v="0"/>
    <x v="1"/>
    <d v="2024-07-28T00:00:00"/>
    <m/>
    <x v="1"/>
    <x v="0"/>
    <x v="1"/>
    <x v="1"/>
    <x v="1"/>
    <x v="0"/>
    <b v="1"/>
    <m/>
    <m/>
    <m/>
    <m/>
    <m/>
    <m/>
    <m/>
    <m/>
    <m/>
    <m/>
    <m/>
    <m/>
    <m/>
    <m/>
    <m/>
    <m/>
  </r>
  <r>
    <s v="vf5Jr81iAkieq3qmThMqGWUANI-0"/>
    <x v="256"/>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07/17/2024 _x000a_ _x000a_verification assigned to: douglas r. sims  _x000a_ _x000a_all client verification start date: 06/05/2024; 06/19/2024 _x000a_ _x000a_all client verification end date: 06/11/2024 _x000a_ _x000a_all client rework required start date: 06/05/2024; 06/12/2024;06/19/2024; 07/17/2024 _x000a_ _x000a_all client blocked start date: na _x000a_ _x000a_all client blocked end date: na _x000a_ _x000a_all client rework required end date: 06/11/2024; 06/19/2024;07/03/2024; 07/17/2024 _x000a_ _x000a_------------------------------------------------------------------------------------------- _x000a_ _x000a_verification complete date: 19jul2024 _x000a_ _x000a_ready to migrate date: _x000a_ _x000a_inclusion of set up (organisms, media and inoculation) decision pending. (6/5/2024) _x000a_inclusion of set up (organisms, media and inoculation) decision made. (6/11/2024)"/>
    <x v="1"/>
    <x v="1"/>
    <e v="#VALUE!"/>
    <n v="0"/>
    <x v="1"/>
    <n v="1"/>
    <x v="1"/>
    <n v="0"/>
    <n v="0"/>
    <x v="1"/>
    <n v="0"/>
    <n v="1"/>
    <e v="#VALUE!"/>
    <n v="0"/>
    <x v="1"/>
    <n v="3"/>
    <n v="2"/>
    <x v="1"/>
    <e v="#VALUE!"/>
    <n v="0"/>
    <x v="1"/>
    <m/>
    <m/>
    <x v="1"/>
    <x v="0"/>
    <x v="1"/>
    <x v="1"/>
    <x v="1"/>
    <x v="0"/>
    <b v="1"/>
    <m/>
    <m/>
    <m/>
    <m/>
    <m/>
    <m/>
    <m/>
    <m/>
    <m/>
    <m/>
    <m/>
    <m/>
    <m/>
    <m/>
    <m/>
    <m/>
  </r>
  <r>
    <s v="4y5cHkaCoEm2vAgCTfk7d2UADjWp"/>
    <x v="257"/>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2/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4/2024 _x000a_ _x000a_-------------------------------------------------------------------------------------------- _x000a_ _x000a_all ready for client verification date: 05/28/2024; 06/19/2024; 07/17/2024 _x000a_ _x000a_verification assigned to: douglas r. sims  _x000a_ _x000a_all client verification start date: 06/05/2024; 06/19/2024 _x000a_ _x000a_all client verification end date: 06/11/2024; 06/20/2024 _x000a_ _x000a_all client rework required start date: 06/12/2024; 06/20/2024; 06/19/2024; 07/17/2024 _x000a_ _x000a_all client blocked start date: na _x000a_ _x000a_all client blocked end date: na _x000a_ _x000a_all client rework required end date: 06/19/2024;06/19/2024;07/03/2024; 07/17/2024 _x000a_ _x000a_------------------------------------------------------------------------------------------- _x000a_ _x000a_verification complete date: 19jul2024 _x000a_ _x000a_ready to migrate date: _x000a_ _x000a_there is information pending from the client that could be asked to be included later on. (5/20/24 and 5/21/24) information was provided on 5/30/24."/>
    <x v="1"/>
    <x v="1"/>
    <e v="#VALUE!"/>
    <n v="0"/>
    <x v="1"/>
    <n v="1"/>
    <x v="1"/>
    <n v="0"/>
    <n v="0"/>
    <x v="1"/>
    <n v="0"/>
    <n v="1"/>
    <e v="#VALUE!"/>
    <n v="0"/>
    <x v="1"/>
    <n v="3"/>
    <n v="2"/>
    <x v="1"/>
    <e v="#VALUE!"/>
    <n v="0"/>
    <x v="1"/>
    <m/>
    <m/>
    <x v="1"/>
    <x v="0"/>
    <x v="1"/>
    <x v="1"/>
    <x v="1"/>
    <x v="0"/>
    <b v="1"/>
    <m/>
    <m/>
    <m/>
    <m/>
    <m/>
    <m/>
    <m/>
    <m/>
    <m/>
    <m/>
    <m/>
    <m/>
    <m/>
    <m/>
    <m/>
    <m/>
  </r>
  <r>
    <s v="AiIBwGxW0EqRv2tlKhIRoWUAEIq7"/>
    <x v="258"/>
    <x v="13"/>
    <s v="Douglas R Sims;Gregory Barrantes - Network;Mariana Torres - Network"/>
    <s v="Test Method;Consumable;New"/>
    <s v="sop # kin-22801  _x000a_ _x000a_config start date: 05/06/2024 _x000a_ _x000a_all config blocked start date: na _x000a_ _x000a_all config blocked end date: na _x000a_ _x000a_config end date: 05/14/2024 _x000a_ _x000a_ -------------------------------------------------------------------------------------------- _x000a_ _x000a_all peer review start date: 05/14/2024 _x000a_ _x000a_all peer review end date: 05/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15/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e v="#VALUE!"/>
    <n v="0"/>
    <x v="1"/>
    <n v="1"/>
    <x v="1"/>
    <n v="0"/>
    <n v="0"/>
    <x v="1"/>
    <n v="0"/>
    <n v="1"/>
    <e v="#VALUE!"/>
    <n v="0"/>
    <x v="1"/>
    <n v="2"/>
    <n v="1"/>
    <x v="1"/>
    <e v="#VALUE!"/>
    <e v="#VALUE!"/>
    <x v="1"/>
    <m/>
    <m/>
    <x v="1"/>
    <x v="0"/>
    <x v="1"/>
    <x v="1"/>
    <x v="1"/>
    <x v="0"/>
    <b v="1"/>
    <m/>
    <m/>
    <m/>
    <m/>
    <m/>
    <m/>
    <m/>
    <m/>
    <m/>
    <m/>
    <m/>
    <m/>
    <m/>
    <m/>
    <m/>
    <m/>
  </r>
  <r>
    <s v="vlu1MlHlVEqe1ytnIGIMqmUAJzfx"/>
    <x v="259"/>
    <x v="13"/>
    <s v="Douglas R Sims;Mariana Torres - Network"/>
    <s v="Test Method;Consumable;New"/>
    <s v="sop # kin-22801  _x000a_ _x000a_config start date: 05/24/2024 _x000a_ _x000a_all config blocked start date: na _x000a_ _x000a_all config blocked end date: na _x000a_ _x000a_config end date: 05/24/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5/2024; 06/19/2024; 07/17/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_x000a_ _x000a_ready to migrate date: _x000a_ _x000a_inclusion of set up (organisms, media and inoculation) decision pending. (6/5/2024) _x000a_ _x000a_inclusion of set up (organisms, media and inoculation) decision made. (6/11/2024)"/>
    <x v="1"/>
    <x v="1"/>
    <e v="#VALUE!"/>
    <n v="0"/>
    <x v="1"/>
    <n v="1"/>
    <x v="1"/>
    <n v="0"/>
    <n v="0"/>
    <x v="1"/>
    <n v="0"/>
    <n v="1"/>
    <e v="#VALUE!"/>
    <n v="0"/>
    <x v="1"/>
    <n v="3"/>
    <n v="1"/>
    <x v="1"/>
    <e v="#VALUE!"/>
    <e v="#VALUE!"/>
    <x v="1"/>
    <m/>
    <m/>
    <x v="1"/>
    <x v="0"/>
    <x v="1"/>
    <x v="1"/>
    <x v="1"/>
    <x v="0"/>
    <b v="1"/>
    <m/>
    <m/>
    <m/>
    <m/>
    <m/>
    <m/>
    <m/>
    <m/>
    <m/>
    <m/>
    <m/>
    <m/>
    <m/>
    <m/>
    <m/>
    <m/>
  </r>
  <r>
    <s v="Nty1jqo_Q0aSiReb37R0ZmUAFxxs"/>
    <x v="260"/>
    <x v="13"/>
    <s v="Douglas R Sims;Mariana Torres - Network"/>
    <s v="Test Method;Consumable;New"/>
    <s v="sop # kin-22801  _x000a_ _x000a_config start date: 05/24/2024 _x000a_ _x000a_all config blocked start date: na _x000a_ _x000a_all config blocked end date: na _x000a_ _x000a_config end date: 05/29/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31/2024 _x000a_ _x000a_all demo rework required start date: 06/03/2024 _x000a_ _x000a_all demo blocked start date: na _x000a_ _x000a_all demo blocked end date: na _x000a_ _x000a_all demo rework required end date: 06/03/2024 _x000a_ _x000a_-------------------------------------------------------------------------------------------- _x000a_ _x000a_all ready for client verification date: 06/03/2024; 06/19/2024 _x000a_ _x000a_verification assigned to: douglas r. sims  _x000a_ _x000a_all client verification start date: 06/05/2024 _x000a_ _x000a_all client verification end date: 06/11/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e v="#VALUE!"/>
    <n v="0"/>
    <x v="1"/>
    <n v="1"/>
    <x v="1"/>
    <n v="0"/>
    <n v="0"/>
    <x v="1"/>
    <n v="0"/>
    <n v="1"/>
    <e v="#VALUE!"/>
    <n v="0"/>
    <x v="1"/>
    <n v="2"/>
    <n v="1"/>
    <x v="1"/>
    <e v="#VALUE!"/>
    <e v="#VALUE!"/>
    <x v="1"/>
    <m/>
    <m/>
    <x v="1"/>
    <x v="0"/>
    <x v="1"/>
    <x v="1"/>
    <x v="1"/>
    <x v="0"/>
    <b v="1"/>
    <m/>
    <m/>
    <m/>
    <m/>
    <m/>
    <m/>
    <m/>
    <m/>
    <m/>
    <m/>
    <m/>
    <m/>
    <m/>
    <m/>
    <m/>
    <m/>
  </r>
  <r>
    <s v="Gj1Pj9saB0SjnCdJJMU4pGUAKNV8"/>
    <x v="261"/>
    <x v="13"/>
    <s v="Douglas R Sims;Gregory Barrantes - Network;Mariana Torres - Network"/>
    <s v="Test Method;Consumable;New"/>
    <s v="sop # kin-22801  _x000a_ _x000a_config start date: 05/20/2024 _x000a_ _x000a_all config blocked start date: na _x000a_ _x000a_all config blocked end date: na _x000a_ _x000a_config end date: 05/21/2024 _x000a_ _x000a_ -------------------------------------------------------------------------------------------- _x000a_ _x000a_all peer review start date: 05/22/2024 _x000a_ _x000a_all peer review end date: 05/2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05/24/2024 _x000a_ _x000a_all demo blocked start date: na _x000a_ _x000a_all demo blocked end date: na _x000a_ _x000a_all demo rework required end date: 05/28/2024 _x000a_ _x000a_-------------------------------------------------------------------------------------------- _x000a_ _x000a_all ready for client verification date: 06/05/2024; 06/19/2024 _x000a_ _x000a_verification assigned to: douglas r. sims  _x000a_ _x000a_all client verification start date: 06/05/2024 _x000a_ _x000a_all client verification end date: 06/05/2024 _x000a_ _x000a_all client rework required start date: 06/05/2024; 06/12/2024; 06/19/2024 _x000a_ _x000a_all client blocked start date: 06/05/2024 _x000a_ _x000a_all client blocked end date: 06/11/2024 _x000a_ _x000a_all client rework required end date: 06/11/2024; 06/19/2024;07/03/2024 _x000a_ _x000a_------------------------------------------------------------------------------------------- _x000a_ _x000a_verification complete date: 19jul2024 _x000a_ _x000a_ready to migrate date: _x000a_ _x000a_inclusion of set up (organisms, media and inoculation) decision pending. (6/5/2024) _x000a_ _x000a_inclusion of set up (organisms, media and inoculation) decision made. (6/11/2024)"/>
    <x v="1"/>
    <x v="1"/>
    <e v="#VALUE!"/>
    <n v="0"/>
    <x v="1"/>
    <n v="1"/>
    <x v="1"/>
    <n v="0"/>
    <n v="0"/>
    <x v="1"/>
    <n v="0"/>
    <n v="1"/>
    <e v="#VALUE!"/>
    <n v="0"/>
    <x v="1"/>
    <n v="2"/>
    <n v="1"/>
    <x v="1"/>
    <e v="#VALUE!"/>
    <e v="#VALUE!"/>
    <x v="1"/>
    <m/>
    <m/>
    <x v="1"/>
    <x v="0"/>
    <x v="1"/>
    <x v="1"/>
    <x v="1"/>
    <x v="0"/>
    <b v="1"/>
    <m/>
    <m/>
    <m/>
    <m/>
    <m/>
    <m/>
    <m/>
    <m/>
    <m/>
    <m/>
    <m/>
    <m/>
    <m/>
    <m/>
    <m/>
    <m/>
  </r>
  <r>
    <s v="-zTlwkKObEalVuYjx_dHLGUAHE_4"/>
    <x v="262"/>
    <x v="10"/>
    <s v="Douglas R Sims;Tessa Merryman - Network"/>
    <s v="Calibration Method;New"/>
    <s v="sop #  _x000a_ _x000a_config start date: 05/30/2024 _x000a_ _x000a_all config blocked start date: na _x000a_ _x000a_all config blocked end date: na _x000a_ _x000a_config end date: 06/03/2024 _x000a_ _x000a_ -------------------------------------------------------------------------------------------- _x000a_ _x000a_all peer review start date: 06/04/2024 _x000a_ _x000a_all peer review end date: 06/0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5/23/2024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 06/05/2024 _x000a_ _x000a_all client verification end date: 06/05/2024 _x000a_ _x000a_all client rework required start date: na _x000a_ _x000a_all client blocked start date: na _x000a_ _x000a_all client blocked end date: na _x000a_ _x000a_all client rework required end date: na _x000a_ _x000a_------------------------------------------------------------------------------------------- _x000a_ _x000a_verification complete date:  _x000a_ _x000a_ready to migrate date:"/>
    <x v="1"/>
    <x v="2"/>
    <e v="#VALUE!"/>
    <n v="0"/>
    <x v="1"/>
    <n v="1"/>
    <x v="1"/>
    <n v="0"/>
    <n v="0"/>
    <x v="1"/>
    <n v="0"/>
    <n v="1"/>
    <n v="0"/>
    <n v="0"/>
    <x v="1"/>
    <n v="0"/>
    <n v="1"/>
    <x v="1"/>
    <n v="0"/>
    <n v="0"/>
    <x v="1"/>
    <m/>
    <m/>
    <x v="1"/>
    <x v="0"/>
    <x v="1"/>
    <x v="0"/>
    <x v="1"/>
    <x v="0"/>
    <m/>
    <m/>
    <m/>
    <m/>
    <m/>
    <m/>
    <m/>
    <m/>
    <m/>
    <m/>
    <m/>
    <m/>
    <m/>
    <m/>
    <m/>
    <m/>
    <m/>
  </r>
  <r>
    <s v="b4oVwKU9N06Ml6aAskwjy2UAD_vG"/>
    <x v="263"/>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e v="#VALUE!"/>
    <n v="0"/>
    <x v="1"/>
    <n v="1"/>
    <x v="1"/>
    <n v="0"/>
    <n v="0"/>
    <x v="1"/>
    <n v="0"/>
    <n v="1"/>
    <e v="#VALUE!"/>
    <n v="0"/>
    <x v="1"/>
    <n v="2"/>
    <n v="2"/>
    <x v="1"/>
    <e v="#VALUE!"/>
    <n v="0"/>
    <x v="1"/>
    <d v="2024-06-24T00:00:00"/>
    <d v="2024-06-28T00:00:00"/>
    <x v="1"/>
    <x v="0"/>
    <x v="1"/>
    <x v="1"/>
    <x v="1"/>
    <x v="1"/>
    <m/>
    <m/>
    <m/>
    <m/>
    <m/>
    <m/>
    <m/>
    <m/>
    <m/>
    <m/>
    <m/>
    <m/>
    <m/>
    <m/>
    <m/>
    <m/>
    <m/>
  </r>
  <r>
    <s v="Z_EXOTJ5Uky8b7CxzZfE1WUAIxKN"/>
    <x v="264"/>
    <x v="10"/>
    <s v="Douglas R Sims;Tessa Merryman - Network;Juliana Masis - Network"/>
    <s v="Calibration Method;New"/>
    <s v="sop #  _x000a_ _x000a_config start date: 05/27/2024 _x000a_ _x000a_all config blocked start date: na _x000a_ _x000a_all config blocked end date: na _x000a_ _x000a_config end date: 05/30/2024 _x000a_ _x000a_ -------------------------------------------------------------------------------------------- _x000a_ _x000a_all peer review start date: 05/30/2024 _x000a_ _x000a_all peer review end date: 05/3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06/05/2024 _x000a_ _x000a_all demo rework required start date: 06/05/2024 _x000a_ _x000a_all demo blocked start date: na _x000a_ _x000a_all demo blocked end date: na _x000a_ _x000a_all demo rework required end date: 06/11/2024 _x000a_ _x000a_-------------------------------------------------------------------------------------------- _x000a_ _x000a_all ready for client verification date: 06/13/2024; 06/19/2024 _x000a_ _x000a_verification assigned to: douglas r. sims  _x000a_ _x000a_all client verification start date: 06/19/2024; 06/24/2024 _x000a_ _x000a_all client verification end date: 06/19/2024; 06/24/2024 _x000a_ _x000a_all client rework required start date: 06/19/2024 _x000a_ _x000a_all client blocked start date: na _x000a_ _x000a_all client blocked end date: na _x000a_ _x000a_all client rework required end date: 06/19/2024 _x000a_ _x000a_------------------------------------------------------------------------------------------- _x000a_ _x000a_verification complete date: 06/24/2024 _x000a_ _x000a_ready to migrate date: 06/28/2024"/>
    <x v="1"/>
    <x v="2"/>
    <e v="#VALUE!"/>
    <n v="0"/>
    <x v="1"/>
    <n v="1"/>
    <x v="1"/>
    <n v="0"/>
    <n v="0"/>
    <x v="1"/>
    <n v="0"/>
    <n v="1"/>
    <e v="#VALUE!"/>
    <n v="0"/>
    <x v="1"/>
    <n v="2"/>
    <n v="2"/>
    <x v="1"/>
    <e v="#VALUE!"/>
    <n v="0"/>
    <x v="1"/>
    <d v="2024-06-24T00:00:00"/>
    <d v="2024-06-28T00:00:00"/>
    <x v="1"/>
    <x v="0"/>
    <x v="1"/>
    <x v="1"/>
    <x v="1"/>
    <x v="1"/>
    <m/>
    <m/>
    <m/>
    <m/>
    <m/>
    <m/>
    <m/>
    <m/>
    <m/>
    <m/>
    <m/>
    <m/>
    <m/>
    <m/>
    <m/>
    <m/>
    <m/>
  </r>
  <r>
    <s v="vMdfdAcl-UuNDqveSCWFAmUAHGhg"/>
    <x v="265"/>
    <x v="10"/>
    <s v="Douglas R Sims;Tessa Merryman - Network;Juliana Masis - Network"/>
    <s v="Calibration Method;New"/>
    <s v="sop # _x000a_ _x000a_config start date:05/27/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4/24 _x000a_ _x000a_all client verification end date:06/17/24;06/24/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e v="#VALUE!"/>
    <n v="0"/>
    <x v="1"/>
    <n v="1"/>
    <x v="1"/>
    <n v="0"/>
    <n v="0"/>
    <x v="1"/>
    <n v="1"/>
    <n v="1"/>
    <e v="#VALUE!"/>
    <n v="0"/>
    <x v="1"/>
    <n v="2"/>
    <n v="2"/>
    <x v="1"/>
    <e v="#VALUE!"/>
    <n v="0"/>
    <x v="1"/>
    <d v="2024-06-26T00:00:00"/>
    <d v="2024-06-28T00:00:00"/>
    <x v="1"/>
    <x v="0"/>
    <x v="1"/>
    <x v="1"/>
    <x v="1"/>
    <x v="1"/>
    <m/>
    <m/>
    <m/>
    <m/>
    <m/>
    <m/>
    <m/>
    <m/>
    <m/>
    <m/>
    <m/>
    <m/>
    <m/>
    <m/>
    <m/>
    <m/>
    <m/>
  </r>
  <r>
    <s v="0kUQyutuSkqpD8ZQl1r1tmUANHvx"/>
    <x v="266"/>
    <x v="10"/>
    <s v="Douglas R Sims;Tessa Merryman - Network;Juliana Masis - Network"/>
    <s v="Calibration Method;New"/>
    <s v="sop # _x000a_ _x000a_config start date:05/24/24 _x000a_ _x000a_all config blocked start date:na _x000a_ _x000a_all config blocked end date:na _x000a_ _x000a_config end date:05/30/24 _x000a_ _x000a_ --------------------------------------------------------------------------------------------  _x000a_ _x000a_all peer review start date:05/30/24 _x000a_ _x000a_all peer review end date:05/30/24 _x000a_ _x000a_all peer review rework required start date:na _x000a_ _x000a_all pr rework blocked start date:na _x000a_ _x000a_all pr rework blocked end date:na _x000a_ _x000a_all peer review rework required end date:na _x000a_ _x000a_--------------------------------------------------------------------------------------------  _x000a_ _x000a_all ready for demo date:05/31/24 _x000a_ _x000a_all demo date:06/05//24 _x000a_ _x000a_all demo rework required start date:06/05/24 _x000a_ _x000a_all demo blocked start date:na _x000a_ _x000a_all demo blocked end date:na _x000a_ _x000a_all demo rework required end date:06/12/24  _x000a_ _x000a_--------------------------------------------------------------------------------------------  _x000a_ _x000a_all ready for client verification date:06/13/24;06/19/24 _x000a_ _x000a_verification assigned to:douglas r sims _x000a_ _x000a_all client verification start date:06/17/24;06/25/24 _x000a_ _x000a_all client verification end date:06/17/24;06/25/24 _x000a_ _x000a_all client rework required start date:06/19/24 _x000a_ _x000a_all client blocked start date:na _x000a_ _x000a_all client blocked end date:na _x000a_ _x000a_all client rework required end date:06/19/24 _x000a_ _x000a_--------------------------------------------------------------------------------------------  _x000a_ _x000a_verification complete date:06/26/24 _x000a_ _x000a_ready to migrate date:06/28/24"/>
    <x v="1"/>
    <x v="2"/>
    <e v="#VALUE!"/>
    <n v="0"/>
    <x v="1"/>
    <n v="1"/>
    <x v="1"/>
    <n v="0"/>
    <n v="0"/>
    <x v="1"/>
    <n v="1"/>
    <n v="0"/>
    <e v="#VALUE!"/>
    <n v="0"/>
    <x v="1"/>
    <n v="2"/>
    <n v="2"/>
    <x v="1"/>
    <e v="#VALUE!"/>
    <n v="0"/>
    <x v="1"/>
    <d v="2024-06-26T00:00:00"/>
    <d v="2024-06-28T00:00:00"/>
    <x v="1"/>
    <x v="0"/>
    <x v="0"/>
    <x v="1"/>
    <x v="1"/>
    <x v="1"/>
    <m/>
    <m/>
    <m/>
    <m/>
    <m/>
    <m/>
    <m/>
    <m/>
    <m/>
    <m/>
    <m/>
    <m/>
    <m/>
    <m/>
    <m/>
    <m/>
    <m/>
  </r>
  <r>
    <s v="7LLfYR3UHkO5sTDcFGqVXGUAG0Wx"/>
    <x v="267"/>
    <x v="10"/>
    <s v="Douglas R Sims;Tessa Merryman - Network"/>
    <s v="Instrument"/>
    <s v="certification frequency: annual   _x000a_ _x000a_quantity: 1 _x000a_ _x000a_config start date:04/23/24  _x000a_ _x000a_all config blocked start date:na  _x000a_ _x000a_all config blocked end date:na  _x000a_ _x000a_config end date:04/23/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0"/>
    <x v="0"/>
    <n v="0"/>
    <n v="0"/>
    <x v="1"/>
    <m/>
    <m/>
    <x v="0"/>
    <x v="0"/>
    <x v="0"/>
    <x v="0"/>
    <x v="0"/>
    <x v="0"/>
    <m/>
    <m/>
    <b v="1"/>
    <m/>
    <m/>
    <m/>
    <m/>
    <m/>
    <m/>
    <m/>
    <m/>
    <m/>
    <m/>
    <m/>
    <m/>
    <m/>
    <m/>
  </r>
  <r>
    <s v="IaSxj-mIN0yApLgPf_9H9mUACtgZ"/>
    <x v="268"/>
    <x v="10"/>
    <s v="Douglas R Sims;Tessa Merryman - Network"/>
    <s v="Instrument"/>
    <s v="certification 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0"/>
    <x v="0"/>
    <n v="0"/>
    <n v="0"/>
    <x v="1"/>
    <m/>
    <m/>
    <x v="0"/>
    <x v="0"/>
    <x v="0"/>
    <x v="0"/>
    <x v="0"/>
    <x v="0"/>
    <m/>
    <m/>
    <b v="1"/>
    <m/>
    <m/>
    <m/>
    <m/>
    <m/>
    <m/>
    <m/>
    <m/>
    <m/>
    <m/>
    <m/>
    <m/>
    <m/>
    <m/>
  </r>
  <r>
    <s v="Y-ISbmdu0k22-nUm5T03GWUAKYzv"/>
    <x v="269"/>
    <x v="10"/>
    <s v="Douglas R Sims;Tessa Merryman - Network"/>
    <s v="Instrument"/>
    <s v="certification frequency: daily  _x000a_ _x000a_quantity: 3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1"/>
    <x v="1"/>
    <n v="0"/>
    <n v="0"/>
    <x v="1"/>
    <m/>
    <m/>
    <x v="0"/>
    <x v="0"/>
    <x v="0"/>
    <x v="0"/>
    <x v="1"/>
    <x v="0"/>
    <m/>
    <m/>
    <b v="1"/>
    <m/>
    <m/>
    <m/>
    <m/>
    <m/>
    <m/>
    <m/>
    <m/>
    <m/>
    <m/>
    <m/>
    <m/>
    <m/>
    <m/>
  </r>
  <r>
    <s v="LpZ6OyJecUmTrIFsLJBU6mUAMBWA"/>
    <x v="270"/>
    <x v="10"/>
    <s v="Douglas R Sims;Tessa Merryman - Network"/>
    <s v="Instrument"/>
    <s v="certification frequency: annual   _x000a_ _x000a_quantity: 15 _x000a_ _x000a_config start date:04/23/24 _x000a_ _x000a_all config blocked start date:na _x000a_ _x000a_all config blocked end date:na _x000a_ _x000a_config end date:04/2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0"/>
    <x v="0"/>
    <n v="0"/>
    <n v="0"/>
    <x v="1"/>
    <m/>
    <m/>
    <x v="0"/>
    <x v="0"/>
    <x v="0"/>
    <x v="0"/>
    <x v="0"/>
    <x v="0"/>
    <m/>
    <m/>
    <b v="1"/>
    <m/>
    <m/>
    <m/>
    <m/>
    <m/>
    <m/>
    <m/>
    <m/>
    <m/>
    <m/>
    <m/>
    <m/>
    <m/>
    <m/>
  </r>
  <r>
    <s v="w5Oa1k3ovkmKD0zzpR8_aWUAMh99"/>
    <x v="271"/>
    <x v="10"/>
    <s v="Douglas R Sims;Tessa Merryman - Network"/>
    <s v="Instrument"/>
    <s v="certification_x000a_frequency: annual _x000a_ _x000a_quantity: 4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0"/>
    <x v="0"/>
    <n v="0"/>
    <n v="0"/>
    <x v="1"/>
    <m/>
    <m/>
    <x v="0"/>
    <x v="0"/>
    <x v="0"/>
    <x v="0"/>
    <x v="0"/>
    <x v="0"/>
    <m/>
    <m/>
    <b v="1"/>
    <m/>
    <m/>
    <m/>
    <m/>
    <m/>
    <m/>
    <m/>
    <m/>
    <m/>
    <m/>
    <m/>
    <m/>
    <m/>
    <m/>
  </r>
  <r>
    <s v="Zw7tqD1YeE-OACRMqLuDSGUANUf6"/>
    <x v="272"/>
    <x v="10"/>
    <s v="Douglas R Sims;Tessa Merryman - Network"/>
    <s v="Instrument"/>
    <s v="certification_x000a_frequency: annual   _x000a_ _x000a_quantity: 2 _x000a_ _x000a_config start date:04/16/24 _x000a_ _x000a_all config blocked start date:na _x000a_ _x000a_all config blocked end date:na _x000a_ _x000a_config end date:04/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6/04/24 _x000a_ _x000a_all client verification end date:06/04/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1"/>
    <x v="1"/>
    <n v="0"/>
    <n v="0"/>
    <x v="1"/>
    <m/>
    <m/>
    <x v="0"/>
    <x v="0"/>
    <x v="0"/>
    <x v="0"/>
    <x v="1"/>
    <x v="0"/>
    <m/>
    <m/>
    <b v="1"/>
    <m/>
    <m/>
    <m/>
    <m/>
    <m/>
    <m/>
    <m/>
    <m/>
    <m/>
    <m/>
    <m/>
    <m/>
    <m/>
    <m/>
  </r>
  <r>
    <s v="YZq-lO5Es02WswSwqUi4tGUAIhkK"/>
    <x v="273"/>
    <x v="10"/>
    <s v="Douglas R Sims;Tessa Merryman - Network"/>
    <s v="Instrument"/>
    <s v="config start date: 04/16/24  _x000a_ _x000a_all config blocked start date: na  _x000a_ _x000a_all config blocked end date: na  _x000a_ _x000a_config end date: 04/16/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na  _x000a_ _x000a_verification assigned to: douglas r sims  _x000a_ _x000a_all client verification start date:06/04/24  _x000a_ _x000a_all client verification end date:06/04/24  _x000a_ _x000a_all client rework required start date: na  _x000a_ _x000a_all client blocked start date: na  _x000a_ _x000a_all client blocked end date: na  _x000a_ _x000a_all client rework required end date: na  _x000a_ _x000a_--------------------------------------------------------------------------------------------  _x000a_ _x000a_verification complete date: na  _x000a_ready to migrate date: na _x000a_--------------------------------------------------------------------------------------------  _x000a_ _x000a_addition information: certification frequency: annual _x000a_quantity: 3"/>
    <x v="1"/>
    <x v="2"/>
    <e v="#VALUE!"/>
    <n v="0"/>
    <x v="1"/>
    <n v="0"/>
    <x v="0"/>
    <n v="0"/>
    <n v="0"/>
    <x v="1"/>
    <n v="0"/>
    <n v="0"/>
    <n v="0"/>
    <n v="0"/>
    <x v="1"/>
    <n v="0"/>
    <n v="1"/>
    <x v="1"/>
    <n v="0"/>
    <n v="0"/>
    <x v="1"/>
    <m/>
    <m/>
    <x v="0"/>
    <x v="0"/>
    <x v="0"/>
    <x v="0"/>
    <x v="1"/>
    <x v="0"/>
    <m/>
    <m/>
    <b v="1"/>
    <m/>
    <m/>
    <m/>
    <m/>
    <m/>
    <m/>
    <m/>
    <m/>
    <m/>
    <m/>
    <m/>
    <m/>
    <m/>
    <m/>
  </r>
  <r>
    <s v="Kx50mUWHC0Gl546_UR1bJ2UAAyP7"/>
    <x v="274"/>
    <x v="10"/>
    <s v="Douglas R Sims;Tessa Merryman - Network"/>
    <s v="Instrument"/>
    <s v="certification_x000a_frequency: bi-annual   _x000a_ _x000a_quantity: 2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1"/>
    <x v="1"/>
    <n v="0"/>
    <n v="0"/>
    <x v="1"/>
    <m/>
    <m/>
    <x v="0"/>
    <x v="0"/>
    <x v="0"/>
    <x v="0"/>
    <x v="1"/>
    <x v="0"/>
    <m/>
    <m/>
    <b v="1"/>
    <m/>
    <m/>
    <m/>
    <m/>
    <m/>
    <m/>
    <m/>
    <m/>
    <m/>
    <m/>
    <m/>
    <m/>
    <m/>
    <m/>
  </r>
  <r>
    <s v="ohst3j6tnUWHNQ1Wlv4Y3WUAPeRU"/>
    <x v="275"/>
    <x v="10"/>
    <s v="Douglas R Sims;Tessa Merryman - Network"/>
    <s v="Instrument"/>
    <s v="certification_x000a_frequency: bi-annual   _x000a_ _x000a_quantity: 3 _x000a_ _x000a_config start date:04/15/24  _x000a_ _x000a_all config blocked start date:na  _x000a_ _x000a_all config blocked end date:na  _x000a_ _x000a_config end date:04/1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na  _x000a_ _x000a_all client verification start date:na  _x000a_ _x000a_all client verification end date:na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0"/>
    <x v="0"/>
    <n v="0"/>
    <n v="0"/>
    <x v="1"/>
    <m/>
    <m/>
    <x v="0"/>
    <x v="0"/>
    <x v="0"/>
    <x v="0"/>
    <x v="0"/>
    <x v="0"/>
    <m/>
    <m/>
    <b v="1"/>
    <m/>
    <m/>
    <m/>
    <m/>
    <m/>
    <m/>
    <m/>
    <m/>
    <m/>
    <m/>
    <m/>
    <m/>
    <m/>
    <m/>
  </r>
  <r>
    <s v="aSyh8DvAB0Kkxdul7wmSm2UAG7M6"/>
    <x v="276"/>
    <x v="10"/>
    <s v="Douglas R Sims;Tessa Merryman - Network"/>
    <s v="Instrument"/>
    <s v="certification_x000a_frequency: daily   _x000a_ _x000a_quantity:_x000a_1  _x000a_ _x000a_config start date:04/08/24  _x000a_ _x000a_all config blocked start date:na  _x000a_ _x000a_all config blocked end date:na  _x000a_ _x000a_config end date:04/08/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na  _x000a_ _x000a_verification assigned to:douglas r sims  _x000a_ _x000a_all client verification start date:05/22/24  _x000a_ _x000a_all client verification end date:05/22/24  _x000a_ _x000a_all client rework required start date:na  _x000a_ _x000a_all client blocked start date:na  _x000a_ _x000a_all client blocked end date:na  _x000a_ _x000a_all client rework required end date:na  _x000a_ _x000a_--------------------------------------------------------------------------------------------  _x000a_ _x000a_verification complete date:na  _x000a_ _x000a_ready to migrate date:na"/>
    <x v="1"/>
    <x v="2"/>
    <e v="#VALUE!"/>
    <n v="0"/>
    <x v="1"/>
    <n v="0"/>
    <x v="0"/>
    <n v="0"/>
    <n v="0"/>
    <x v="1"/>
    <n v="0"/>
    <n v="0"/>
    <n v="0"/>
    <n v="0"/>
    <x v="1"/>
    <n v="0"/>
    <n v="1"/>
    <x v="1"/>
    <n v="0"/>
    <n v="0"/>
    <x v="1"/>
    <m/>
    <m/>
    <x v="0"/>
    <x v="0"/>
    <x v="0"/>
    <x v="0"/>
    <x v="1"/>
    <x v="0"/>
    <m/>
    <m/>
    <b v="1"/>
    <m/>
    <m/>
    <m/>
    <m/>
    <m/>
    <m/>
    <m/>
    <m/>
    <m/>
    <m/>
    <m/>
    <m/>
    <m/>
    <m/>
  </r>
  <r>
    <s v="fzPkAqRJOEawvOVV10CRE2UAAJLK"/>
    <x v="277"/>
    <x v="10"/>
    <s v="Douglas R Sims;Tessa Merryman - Network"/>
    <s v="Instrument"/>
    <s v="certification_x000a_frequency: annual  _x000a_ _x000a_quantity:_x000a_1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e v="#VALUE!"/>
    <x v="1"/>
    <n v="0"/>
    <x v="0"/>
    <n v="0"/>
    <n v="0"/>
    <x v="1"/>
    <n v="0"/>
    <n v="0"/>
    <n v="0"/>
    <n v="0"/>
    <x v="1"/>
    <n v="0"/>
    <n v="0"/>
    <x v="0"/>
    <n v="0"/>
    <n v="0"/>
    <x v="1"/>
    <m/>
    <m/>
    <x v="0"/>
    <x v="0"/>
    <x v="0"/>
    <x v="0"/>
    <x v="0"/>
    <x v="0"/>
    <m/>
    <m/>
    <b v="1"/>
    <m/>
    <m/>
    <m/>
    <m/>
    <m/>
    <m/>
    <m/>
    <m/>
    <m/>
    <m/>
    <m/>
    <m/>
    <m/>
    <m/>
  </r>
  <r>
    <s v="11kElDNQcUC26qGxMfM6rmUAPIsp"/>
    <x v="278"/>
    <x v="10"/>
    <s v="Douglas R Sims;Tessa Merryman - Network"/>
    <s v="Instrument"/>
    <s v="certification_x000a_frequency: bi-annual  *** the biannual certification is managed in gmars not in labvantage. _x000a_ _x000a_quantity: 4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douglas r sims  _x000a_ _x000a_all client verification start date:05/28/24  _x000a_ _x000a_all client verification end date:05/28/24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n v="0"/>
    <x v="1"/>
    <n v="0"/>
    <x v="0"/>
    <n v="0"/>
    <n v="0"/>
    <x v="1"/>
    <n v="0"/>
    <n v="0"/>
    <n v="0"/>
    <n v="0"/>
    <x v="1"/>
    <n v="0"/>
    <n v="1"/>
    <x v="1"/>
    <n v="0"/>
    <n v="0"/>
    <x v="1"/>
    <m/>
    <m/>
    <x v="0"/>
    <x v="0"/>
    <x v="0"/>
    <x v="0"/>
    <x v="1"/>
    <x v="0"/>
    <m/>
    <m/>
    <b v="1"/>
    <m/>
    <m/>
    <m/>
    <m/>
    <m/>
    <m/>
    <m/>
    <m/>
    <m/>
    <m/>
    <m/>
    <m/>
    <m/>
    <m/>
  </r>
  <r>
    <s v="dE5Ov7W1NEiJyuFTHKTJNWUALxz5"/>
    <x v="279"/>
    <x v="10"/>
    <s v="Douglas R Sims;Tessa Merryman - Network"/>
    <s v="Instrument"/>
    <s v="certification_x000a_frequency: annual  _x000a_ _x000a_quantity: 3 _x000a_ _x000a_config start date:04/16/24  _x000a_ _x000a_all config blocked start date:04/16/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e v="#VALUE!"/>
    <x v="1"/>
    <n v="0"/>
    <x v="0"/>
    <n v="0"/>
    <n v="0"/>
    <x v="1"/>
    <n v="0"/>
    <n v="0"/>
    <n v="0"/>
    <n v="0"/>
    <x v="1"/>
    <n v="0"/>
    <n v="0"/>
    <x v="0"/>
    <n v="0"/>
    <n v="0"/>
    <x v="1"/>
    <m/>
    <m/>
    <x v="0"/>
    <x v="0"/>
    <x v="0"/>
    <x v="0"/>
    <x v="0"/>
    <x v="0"/>
    <m/>
    <m/>
    <b v="1"/>
    <m/>
    <m/>
    <m/>
    <m/>
    <m/>
    <m/>
    <m/>
    <m/>
    <m/>
    <m/>
    <m/>
    <m/>
    <m/>
    <m/>
  </r>
  <r>
    <s v="poCFknvcjEOi6OhtZkZ56mUAAVK-"/>
    <x v="280"/>
    <x v="10"/>
    <s v="Douglas R Sims;Tessa Merryman - Network"/>
    <s v="Instrument"/>
    <s v="certification_x000a_frequency: 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n v="0"/>
    <x v="1"/>
    <n v="0"/>
    <x v="0"/>
    <n v="0"/>
    <n v="0"/>
    <x v="1"/>
    <n v="0"/>
    <n v="0"/>
    <n v="0"/>
    <n v="0"/>
    <x v="1"/>
    <n v="0"/>
    <n v="0"/>
    <x v="0"/>
    <n v="0"/>
    <n v="0"/>
    <x v="1"/>
    <m/>
    <m/>
    <x v="0"/>
    <x v="0"/>
    <x v="0"/>
    <x v="0"/>
    <x v="0"/>
    <x v="0"/>
    <m/>
    <m/>
    <b v="1"/>
    <m/>
    <m/>
    <m/>
    <m/>
    <m/>
    <m/>
    <m/>
    <m/>
    <m/>
    <m/>
    <m/>
    <m/>
    <m/>
    <m/>
  </r>
  <r>
    <s v="sFB277JeFEGmefB4fPDnDWUAPgoN"/>
    <x v="281"/>
    <x v="10"/>
    <s v="Douglas R Sims;Tessa Merryman - Network"/>
    <s v="Instrument"/>
    <s v="certification_x000a_frequency: bi-annual _x000a_ _x000a_quantity: 3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0"/>
    <x v="0"/>
    <n v="0"/>
    <n v="0"/>
    <x v="1"/>
    <m/>
    <m/>
    <x v="0"/>
    <x v="0"/>
    <x v="0"/>
    <x v="0"/>
    <x v="0"/>
    <x v="0"/>
    <m/>
    <m/>
    <b v="1"/>
    <m/>
    <m/>
    <m/>
    <m/>
    <m/>
    <m/>
    <m/>
    <m/>
    <m/>
    <m/>
    <m/>
    <m/>
    <m/>
    <m/>
  </r>
  <r>
    <s v="uCT-skNh6U6RZWN1F-ei9mUANsIv"/>
    <x v="282"/>
    <x v="10"/>
    <s v="Douglas R Sims;Tessa Merryman - Network"/>
    <s v="Instrument"/>
    <s v="certification_x000a_frequency: annual _x000a_ _x000a_quantity: 2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0"/>
    <x v="0"/>
    <n v="0"/>
    <n v="0"/>
    <x v="1"/>
    <m/>
    <m/>
    <x v="0"/>
    <x v="0"/>
    <x v="0"/>
    <x v="0"/>
    <x v="0"/>
    <x v="0"/>
    <m/>
    <m/>
    <b v="1"/>
    <m/>
    <m/>
    <m/>
    <m/>
    <m/>
    <m/>
    <m/>
    <m/>
    <m/>
    <m/>
    <m/>
    <m/>
    <m/>
    <m/>
  </r>
  <r>
    <s v="rozbP3QMq0WlcfOy0d3tnGUAF0Il"/>
    <x v="283"/>
    <x v="10"/>
    <s v="Douglas R Sims;Tessa Merryman - Network"/>
    <s v="Instrument"/>
    <s v="certification_x000a_frequency: bi-annual   _x000a_ _x000a_quantity:_x000a_1  _x000a_ _x000a_config start date:04/16/24  _x000a_ _x000a_all config blocked start date:na  _x000a_ _x000a_all config blocked end date:na  _x000a_ _x000a_config end date:04/1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n v="0"/>
    <x v="1"/>
    <n v="0"/>
    <x v="0"/>
    <n v="0"/>
    <n v="0"/>
    <x v="1"/>
    <n v="0"/>
    <n v="0"/>
    <n v="0"/>
    <n v="0"/>
    <x v="1"/>
    <n v="0"/>
    <n v="0"/>
    <x v="0"/>
    <n v="0"/>
    <n v="0"/>
    <x v="1"/>
    <m/>
    <m/>
    <x v="0"/>
    <x v="0"/>
    <x v="0"/>
    <x v="0"/>
    <x v="0"/>
    <x v="0"/>
    <m/>
    <m/>
    <b v="1"/>
    <m/>
    <m/>
    <m/>
    <m/>
    <m/>
    <m/>
    <m/>
    <m/>
    <m/>
    <m/>
    <m/>
    <m/>
    <m/>
    <m/>
  </r>
  <r>
    <s v="0GbCLeQJhkCGYAMSgmWaz2UAFrFY"/>
    <x v="284"/>
    <x v="10"/>
    <s v="Douglas R Sims;Tessa Merryman - Network"/>
    <s v="Instrument"/>
    <s v="certification_x000a_frequency: annual   _x000a_ _x000a_quantity:_x000a_1  _x000a_ _x000a_config start date:04/15/24 _x000a_ _x000a_all config blocked start date:na _x000a_ _x000a_all config blocked end date:na _x000a_ _x000a_config end date:04/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n v="0"/>
    <x v="1"/>
    <n v="0"/>
    <x v="0"/>
    <n v="0"/>
    <n v="0"/>
    <x v="1"/>
    <n v="0"/>
    <n v="0"/>
    <n v="0"/>
    <n v="0"/>
    <x v="1"/>
    <n v="0"/>
    <n v="0"/>
    <x v="0"/>
    <n v="0"/>
    <n v="0"/>
    <x v="1"/>
    <m/>
    <m/>
    <x v="0"/>
    <x v="0"/>
    <x v="0"/>
    <x v="0"/>
    <x v="0"/>
    <x v="0"/>
    <m/>
    <m/>
    <b v="1"/>
    <m/>
    <m/>
    <m/>
    <m/>
    <m/>
    <m/>
    <m/>
    <m/>
    <m/>
    <m/>
    <m/>
    <m/>
    <m/>
    <m/>
  </r>
  <r>
    <s v="duLmOk7MDk2Qubdm1t8XPGUAO2TE"/>
    <x v="285"/>
    <x v="10"/>
    <s v="Douglas R Sims;Tessa Merryman - Network"/>
    <s v="Instrument"/>
    <s v="certification frequency: bi-annual  _x000a_ _x000a_quantity: 6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0"/>
    <x v="0"/>
    <n v="0"/>
    <n v="0"/>
    <x v="1"/>
    <m/>
    <m/>
    <x v="0"/>
    <x v="0"/>
    <x v="0"/>
    <x v="0"/>
    <x v="0"/>
    <x v="0"/>
    <m/>
    <m/>
    <b v="1"/>
    <m/>
    <m/>
    <m/>
    <m/>
    <m/>
    <m/>
    <m/>
    <m/>
    <m/>
    <m/>
    <m/>
    <m/>
    <m/>
    <m/>
  </r>
  <r>
    <s v="gtdSIxT1hUy40BcSix0g9mUAGtwv"/>
    <x v="286"/>
    <x v="10"/>
    <s v="Douglas R Sims;Tessa Merryman - Network"/>
    <s v="Instrument"/>
    <s v="certification frequency: annual   _x000a_ _x000a_quantity: 7 _x000a_ _x000a_config start date:04/08/24 _x000a_ _x000a_all config blocked start date:04/1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e v="#VALUE!"/>
    <x v="1"/>
    <n v="0"/>
    <x v="0"/>
    <n v="0"/>
    <n v="0"/>
    <x v="1"/>
    <n v="0"/>
    <n v="0"/>
    <n v="0"/>
    <n v="0"/>
    <x v="1"/>
    <n v="0"/>
    <n v="0"/>
    <x v="0"/>
    <n v="0"/>
    <n v="0"/>
    <x v="1"/>
    <m/>
    <m/>
    <x v="0"/>
    <x v="0"/>
    <x v="0"/>
    <x v="0"/>
    <x v="0"/>
    <x v="0"/>
    <m/>
    <m/>
    <b v="1"/>
    <m/>
    <m/>
    <m/>
    <m/>
    <m/>
    <m/>
    <m/>
    <m/>
    <m/>
    <m/>
    <m/>
    <m/>
    <m/>
    <m/>
  </r>
  <r>
    <s v="9T7_ThADvESkd-Jh6Jf_82UAJiN_"/>
    <x v="287"/>
    <x v="10"/>
    <s v="Douglas R Sims;Tessa Merryman - Network"/>
    <s v="Instrument"/>
    <s v="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ready to migrate date:"/>
    <x v="1"/>
    <x v="2"/>
    <e v="#VALUE!"/>
    <n v="0"/>
    <x v="1"/>
    <n v="0"/>
    <x v="0"/>
    <n v="0"/>
    <n v="0"/>
    <x v="1"/>
    <n v="0"/>
    <n v="0"/>
    <n v="0"/>
    <n v="0"/>
    <x v="1"/>
    <n v="0"/>
    <n v="0"/>
    <x v="0"/>
    <n v="0"/>
    <n v="0"/>
    <x v="1"/>
    <m/>
    <m/>
    <x v="0"/>
    <x v="0"/>
    <x v="0"/>
    <x v="0"/>
    <x v="0"/>
    <x v="0"/>
    <m/>
    <m/>
    <b v="1"/>
    <m/>
    <m/>
    <m/>
    <m/>
    <m/>
    <m/>
    <m/>
    <m/>
    <m/>
    <m/>
    <m/>
    <m/>
    <m/>
    <m/>
  </r>
  <r>
    <s v="vbc-U1YZ8keA7Yh_egtaNmUAC4hR"/>
    <x v="288"/>
    <x v="10"/>
    <s v="Douglas R Sims;Tessa Merryman - Network"/>
    <s v="Instrument"/>
    <s v="certification frequency: daily  _x000a_ _x000a_quantity: 1 _x000a_ _x000a_config start date:04/08/24 _x000a_ _x000a_all config blocked start date:na _x000a_ _x000a_all config blocked end date:na _x000a_ _x000a_config end date:04/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n v="0"/>
    <x v="1"/>
    <n v="0"/>
    <x v="0"/>
    <n v="0"/>
    <n v="0"/>
    <x v="1"/>
    <n v="0"/>
    <n v="0"/>
    <n v="0"/>
    <n v="0"/>
    <x v="1"/>
    <n v="0"/>
    <n v="0"/>
    <x v="0"/>
    <n v="0"/>
    <n v="0"/>
    <x v="1"/>
    <m/>
    <m/>
    <x v="0"/>
    <x v="0"/>
    <x v="0"/>
    <x v="0"/>
    <x v="0"/>
    <x v="0"/>
    <m/>
    <m/>
    <b v="1"/>
    <m/>
    <m/>
    <m/>
    <m/>
    <m/>
    <m/>
    <m/>
    <m/>
    <m/>
    <m/>
    <m/>
    <m/>
    <m/>
    <m/>
  </r>
  <r>
    <s v="IjrWtBNJ-ki2AqC5JB3oRWUALGQr"/>
    <x v="289"/>
    <x v="10"/>
    <s v="Douglas R Sims;Tessa Merryman - Network;Gregory Barrantes - Network"/>
    <s v="Calibration Method"/>
    <s v="sop # prd-101861 _x000a_ _x000a_actions: _x000a_ _x000a_send email to chloe with doubts about the consumables _x000a_ _x000a_config start date:04/30/24 _x000a_ _x000a_all config blocked start date:na _x000a_ _x000a_all config blocked end date:na _x000a_ _x000a_config end date:05/07/24 _x000a_ _x000a_ -------------------------------------------------------------------------------------------- _x000a_ _x000a_all peer review start date:05/08/24 _x000a_ _x000a_all peer review end date:05/08/24 _x000a_ _x000a_all peer review rework required start date:na _x000a_ _x000a_all pr rework blocked start date:na _x000a_ _x000a_all pr rework blocked end date:na _x000a_ _x000a_all peer review rework required end date:na _x000a_ _x000a_-------------------------------------------------------------------------------------------- _x000a_ _x000a_all ready for demo date:05/08/24 _x000a_ _x000a_all demo date:05/17/24 _x000a_ _x000a_all demo rework required start date:05/17/24 _x000a_ _x000a_all demo blocked start date:na _x000a_ _x000a_all demo blocked end date:na _x000a_ _x000a_all demo rework required end date:05/17/24 _x000a_ _x000a_-------------------------------------------------------------------------------------------- _x000a_ _x000a_all ready for client verification date:05/18/24 _x000a_ _x000a_verification assigned to:douglas r sims _x000a_ _x000a_all client verification start date:05/30/24 _x000a_ _x000a_all client verification end date:05/31/24 _x000a_ _x000a_all client rework required start date:na _x000a_ _x000a_all client blocked start date:na _x000a_ _x000a_all client blocked end date:na _x000a_ _x000a_all client rework required end date:na _x000a_ _x000a_-------------------------------------------------------------------------------------------- _x000a_ _x000a_verification complete date: _x000a_ _x000a_ready to migrate date:"/>
    <x v="1"/>
    <x v="2"/>
    <e v="#VALUE!"/>
    <n v="0"/>
    <x v="1"/>
    <n v="1"/>
    <x v="1"/>
    <n v="0"/>
    <n v="0"/>
    <x v="1"/>
    <n v="1"/>
    <n v="1"/>
    <e v="#VALUE!"/>
    <n v="0"/>
    <x v="1"/>
    <n v="1"/>
    <n v="1"/>
    <x v="1"/>
    <n v="0"/>
    <n v="0"/>
    <x v="1"/>
    <m/>
    <m/>
    <x v="1"/>
    <x v="0"/>
    <x v="1"/>
    <x v="1"/>
    <x v="1"/>
    <x v="0"/>
    <m/>
    <m/>
    <m/>
    <m/>
    <m/>
    <m/>
    <m/>
    <m/>
    <m/>
    <m/>
    <m/>
    <m/>
    <m/>
    <m/>
    <m/>
    <m/>
    <m/>
  </r>
  <r>
    <s v="jKTaO4O6N0m-S7voK0tzpmUAJmka"/>
    <x v="290"/>
    <x v="10"/>
    <s v="Douglas R Sims;Tessa Merryman - Network;Juliana Masis - Network"/>
    <s v="Calibration Method"/>
    <s v="06/21/24 _x000a_sop # 42052 _x000a_ _x000a_config start date:05/06/24 _x000a_ _x000a_all config blocked start date:05/10/24 _x000a_ _x000a_all config blocked end date:05/16/24 _x000a_ _x000a_config end date:05/22/24 _x000a_ _x000a_ -------------------------------------------------------------------------------------------- _x000a_ _x000a_all peer review start date:05/22/24 _x000a_ _x000a_all peer review end date:05/22/24 _x000a_ _x000a_all peer review rework required start date:na _x000a_ _x000a_all pr rework blocked start date:na _x000a_ _x000a_all pr rework blocked end date:na _x000a_ _x000a_all peer review rework required end date:na _x000a_ _x000a_-------------------------------------------------------------------------------------------- _x000a_ _x000a_all ready for demo date:05/22/24 _x000a_ _x000a_all demo date:05/23/24 _x000a_ _x000a_*verification was_x000a_needed after demo. got updates on 06/11/24. rework is needed. _x000a_ _x000a_all demo rework required start date:05/23/24;06/21/24;07/01/24 _x000a_ _x000a_all demo blocked start date:05/23/24;06/25/24 _x000a_ _x000a_all demo blocked end date:06/11/24;06/28/24 _x000a_ _x000a_all demo rework required end date:06/12/24;07/03/24 _x000a_ _x000a_-------------------------------------------------------------------------------------------- _x000a_ _x000a_all ready for client verification date:07/03/24 _x000a_ _x000a_verification assigned to:douglas r sims _x000a_ _x000a_all client verification start date:  07/10/2024 _x000a_ _x000a_all client verification end date:  07/10/2024 _x000a_ _x000a_all client rework required start date: _x000a_ _x000a_all client blocked start date: _x000a_ _x000a_all client blocked end date: _x000a_ _x000a_all client rework required end date: _x000a_ _x000a_-------------------------------------------------------------------------------------------- _x000a_ _x000a_verification complete date: 07/10/2024 _x000a_ _x000a_ready to migrate date:"/>
    <x v="1"/>
    <x v="2"/>
    <e v="#VALUE!"/>
    <e v="#VALUE!"/>
    <x v="1"/>
    <n v="1"/>
    <x v="1"/>
    <n v="0"/>
    <n v="0"/>
    <x v="1"/>
    <n v="1"/>
    <n v="1"/>
    <e v="#VALUE!"/>
    <e v="#VALUE!"/>
    <x v="1"/>
    <n v="1"/>
    <n v="1"/>
    <x v="1"/>
    <n v="0"/>
    <n v="0"/>
    <x v="1"/>
    <d v="2024-07-10T00:00:00"/>
    <m/>
    <x v="1"/>
    <x v="0"/>
    <x v="1"/>
    <x v="1"/>
    <x v="1"/>
    <x v="0"/>
    <m/>
    <m/>
    <m/>
    <m/>
    <m/>
    <m/>
    <m/>
    <m/>
    <m/>
    <m/>
    <m/>
    <m/>
    <m/>
    <m/>
    <m/>
    <m/>
    <m/>
  </r>
  <r>
    <s v="CZ_HcBC4RkiTpTXKaJz8b2UALRjU"/>
    <x v="291"/>
    <x v="10"/>
    <s v="Douglas R Sims;Tessa Merryman - Network;Gregory Barrantes - Network"/>
    <s v="Calibration Method"/>
    <s v="sop # kin-41969 (v5.0) _x000a_ _x000a_config start date:04/18/24 _x000a_ _x000a_all config blocked start date:04/20/24 _x000a_ _x000a_all config blocked end date:04/22/24 _x000a_ _x000a_config end date:04/29/24 _x000a_ _x000a_ -------------------------------------------------------------------------------------------- _x000a_ _x000a_all peer review start date:05/01/24 _x000a_ _x000a_all peer review end date:05/02/24 _x000a_ _x000a_all peer review rework required start date:na _x000a_ _x000a_all pr rework blocked start date:na _x000a_ _x000a_all pr rework blocked end date:na _x000a_ _x000a_all peer review rework required end date:na _x000a_ _x000a_-------------------------------------------------------------------------------------------- _x000a_ _x000a_all ready for demo date:05/03/24 _x000a_ _x000a_all demo date:05/17/24 _x000a_ _x000a_all demo rework required start date:05/17/24 _x000a_ _x000a_all demo blocked start date:na _x000a_ _x000a_all demo blocked end date:na _x000a_ _x000a_all demo rework required end date:05/24/24 _x000a_ _x000a_-------------------------------------------------------------------------------------------- _x000a_ _x000a_all ready for client verification date:05/25/24 _x000a_ _x000a_verification assigned to:douglas r sims _x000a_ _x000a_all client verification start date:06/03/24 _x000a_ _x000a_all client verification end date:06/04/24 _x000a_ _x000a_all client rework required start date:06/04/24 _x000a_ _x000a_all client blocked start date:na _x000a_ _x000a_all client blocked end date:na _x000a_ _x000a_all client rework required end date:06/11/24 _x000a_ _x000a_-------------------------------------------------------------------------------------------- _x000a_ _x000a_verification complete date: _x000a_ _x000a_ready to migrate date:"/>
    <x v="1"/>
    <x v="2"/>
    <e v="#VALUE!"/>
    <e v="#VALUE!"/>
    <x v="1"/>
    <n v="1"/>
    <x v="1"/>
    <n v="0"/>
    <n v="0"/>
    <x v="1"/>
    <n v="1"/>
    <n v="1"/>
    <e v="#VALUE!"/>
    <n v="0"/>
    <x v="1"/>
    <n v="1"/>
    <n v="1"/>
    <x v="1"/>
    <e v="#VALUE!"/>
    <n v="0"/>
    <x v="1"/>
    <m/>
    <m/>
    <x v="1"/>
    <x v="0"/>
    <x v="1"/>
    <x v="1"/>
    <x v="1"/>
    <x v="0"/>
    <m/>
    <m/>
    <m/>
    <m/>
    <m/>
    <m/>
    <m/>
    <m/>
    <m/>
    <m/>
    <m/>
    <m/>
    <m/>
    <m/>
    <m/>
    <m/>
    <m/>
  </r>
  <r>
    <s v="TOd6X9KyKkaIetpzwnBes2UAL7DR"/>
    <x v="292"/>
    <x v="13"/>
    <s v="Douglas R Sims;Tessa Merryman - Network;Gregory Barrantes - Network;Juliana Masis - Network"/>
    <s v="Test Method;Consumable"/>
    <s v="same method as concord - please see card in con _x000a_ _x000a_sop # kin-30191/kin_x000a_19250-001 bio indicators-003 _x000a_ _x000a_rhoda is building same method for concord - need sample template, batch type, sample type - this request is with doug to get the types and template to be approved by business (business team peter, nancy, nieves) - requested 28 june 24 _x000a_ _x000a_config start date:04/12/24 _x000a_ _x000a_all config blocked start date:na _x000a_ _x000a_all config blocked end date:na _x000a_ _x000a_config end date:04/16/24 _x000a_ _x000a_ -------------------------------------------------------------------------------------------- _x000a_ _x000a_all peer review start date:04/17/24 _x000a_ _x000a_all peer review end date:04/19/24 _x000a_ _x000a_all peer review rework required start date:na _x000a_ _x000a_all pr rework blocked start date:na _x000a_ _x000a_all pr rework blocked end date:na _x000a_ _x000a_all peer review rework required end date:na _x000a_ _x000a_-------------------------------------------------------------------------------------------- _x000a_ _x000a_all ready for demo date:04/20/24 _x000a_ _x000a_all demo date:04/24/24 _x000a_ _x000a_all demo rework required start date:04/24/24 _x000a_ _x000a_all demo blocked start date:na _x000a_ _x000a_all demo blocked end date:na _x000a_ _x000a_all demo rework required end date:05/03/24 _x000a_ _x000a_-------------------------------------------------------------------------------------------- _x000a_ _x000a_all ready for client verification date: 07/0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25jul2024 _x000a_ _x000a_ready to migrate date:"/>
    <x v="1"/>
    <x v="1"/>
    <e v="#VALUE!"/>
    <n v="0"/>
    <x v="1"/>
    <n v="1"/>
    <x v="1"/>
    <n v="0"/>
    <n v="0"/>
    <x v="1"/>
    <n v="1"/>
    <n v="1"/>
    <e v="#VALUE!"/>
    <n v="0"/>
    <x v="1"/>
    <n v="1"/>
    <n v="0"/>
    <x v="0"/>
    <n v="0"/>
    <n v="0"/>
    <x v="1"/>
    <m/>
    <m/>
    <x v="1"/>
    <x v="0"/>
    <x v="1"/>
    <x v="1"/>
    <x v="0"/>
    <x v="0"/>
    <b v="1"/>
    <m/>
    <m/>
    <m/>
    <m/>
    <m/>
    <m/>
    <m/>
    <m/>
    <m/>
    <m/>
    <m/>
    <m/>
    <m/>
    <m/>
    <m/>
    <m/>
  </r>
  <r>
    <s v="m3mf6X89oUC3u5XNvL-hW2UANu2J"/>
    <x v="293"/>
    <x v="10"/>
    <s v="Douglas R Sims;Tessa Merryman - Network;Gregory Barrantes - Network"/>
    <s v="Test Method;Consumable"/>
    <s v="sop # kin-19245-007-water-007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5/24 _x000a_ _x000a_all demo blocked start date:na _x000a_ _x000a_all demo blocked end date:na _x000a_ _x000a_all demo rework required end date:04/10/24 _x000a_ _x000a_-------------------------------------------------------------------------------------------- _x000a_ _x000a_all ready for client verification date:04/10/24;05/16/24 _x000a_ _x000a_verification assigned to:douglas r sims _x000a_ _x000a_all client verification start date:04/11/24;05/16/24 _x000a_ _x000a_all client verification end date:05/13/24;05/20/24 _x000a_ _x000a_all client rework required start date:05/13/24 _x000a_ _x000a_all client blocked start date:na _x000a_ _x000a_all client blocked end date:na _x000a_ _x000a_all client rework required end date:05/16/24 _x000a_ _x000a_-------------------------------------------------------------------------------------------- _x000a_ _x000a_verification complete date: _x000a_ _x000a_ready to migrate date:"/>
    <x v="1"/>
    <x v="2"/>
    <e v="#VALUE!"/>
    <n v="0"/>
    <x v="1"/>
    <n v="1"/>
    <x v="1"/>
    <n v="0"/>
    <n v="0"/>
    <x v="1"/>
    <n v="1"/>
    <n v="1"/>
    <e v="#VALUE!"/>
    <n v="0"/>
    <x v="1"/>
    <n v="2"/>
    <n v="2"/>
    <x v="1"/>
    <e v="#VALUE!"/>
    <n v="0"/>
    <x v="1"/>
    <m/>
    <m/>
    <x v="1"/>
    <x v="0"/>
    <x v="1"/>
    <x v="1"/>
    <x v="1"/>
    <x v="0"/>
    <b v="1"/>
    <m/>
    <m/>
    <m/>
    <m/>
    <m/>
    <m/>
    <m/>
    <m/>
    <m/>
    <m/>
    <m/>
    <m/>
    <m/>
    <m/>
    <m/>
    <m/>
  </r>
  <r>
    <s v="OhliP_fVuEaihYdP3XD342UAI-L9"/>
    <x v="294"/>
    <x v="0"/>
    <s v="Tessa Merryman - Network;Tim Patch - Network"/>
    <s v="Test Method;Do Not Delete until Invoiced"/>
    <s v="sop # kin-g1515-att-water _x000a_ _x000a_config start date:04/01/24 _x000a_ _x000a_all config blocked start date:na _x000a_ _x000a_all config blocked end date:na _x000a_ _x000a_config end date:04/05/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4/2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0"/>
    <e v="#VALUE!"/>
    <n v="0"/>
    <x v="1"/>
    <n v="0"/>
    <x v="0"/>
    <n v="0"/>
    <n v="0"/>
    <x v="1"/>
    <n v="0"/>
    <n v="1"/>
    <n v="0"/>
    <n v="0"/>
    <x v="1"/>
    <n v="0"/>
    <n v="0"/>
    <x v="0"/>
    <n v="0"/>
    <n v="0"/>
    <x v="1"/>
    <m/>
    <m/>
    <x v="0"/>
    <x v="0"/>
    <x v="1"/>
    <x v="0"/>
    <x v="0"/>
    <x v="0"/>
    <b v="1"/>
    <m/>
    <m/>
    <m/>
    <m/>
    <m/>
    <m/>
    <m/>
    <m/>
    <m/>
    <m/>
    <m/>
    <m/>
    <m/>
    <m/>
    <m/>
    <m/>
  </r>
  <r>
    <s v="1j_zh8yf6kWmXZrK-6iNQmUAIkn1"/>
    <x v="295"/>
    <x v="10"/>
    <s v="Douglas R Sims;Tessa Merryman - Network;Juliana Masis - Network"/>
    <s v="Test Method;Consumable"/>
    <s v="sop # kin-19245-007-water-004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04/04/24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04/11/24;04/18/24;05/03/24 _x000a_ _x000a_verification assigned to:douglas r sims _x000a_ _x000a_all client verification start date:04/12/24;04/23/24;05/20/24 _x000a_ _x000a_all client verification end date:04/12/24;04/23/24;05/20/24 _x000a_ _x000a_all client rework required start date:04/12/24;04/24/24 _x000a_ _x000a_all client blocked start date:na _x000a_ _x000a_all client blocked end date:na _x000a_ _x000a_all client rework required end date:04/18/24;05/03/24 _x000a_ _x000a_-------------------------------------------------------------------------------------------- _x000a_ _x000a_verification complete date:05/20/24 _x000a_ _x000a_ready to migrate date:"/>
    <x v="1"/>
    <x v="2"/>
    <e v="#VALUE!"/>
    <n v="0"/>
    <x v="1"/>
    <n v="1"/>
    <x v="1"/>
    <n v="0"/>
    <n v="0"/>
    <x v="1"/>
    <n v="1"/>
    <n v="1"/>
    <e v="#VALUE!"/>
    <n v="0"/>
    <x v="1"/>
    <n v="3"/>
    <n v="3"/>
    <x v="1"/>
    <e v="#VALUE!"/>
    <n v="0"/>
    <x v="1"/>
    <d v="2024-05-20T00:00:00"/>
    <m/>
    <x v="1"/>
    <x v="0"/>
    <x v="1"/>
    <x v="1"/>
    <x v="1"/>
    <x v="0"/>
    <b v="1"/>
    <m/>
    <m/>
    <m/>
    <m/>
    <m/>
    <m/>
    <m/>
    <m/>
    <m/>
    <m/>
    <m/>
    <m/>
    <m/>
    <m/>
    <m/>
    <m/>
  </r>
  <r>
    <s v="CYfg1vBfVkKI1iXc9MHTNmUAMjW7"/>
    <x v="296"/>
    <x v="10"/>
    <s v="Douglas R Sims;Tessa Merryman - Network;Mariana Torres - Network"/>
    <s v="Test Method;Consumable"/>
    <s v="sop # kin-19245-007-water-005 _x000a_ _x000a_config start date:04/01/24 _x000a_ _x000a_all config blocked start date:na _x000a_ _x000a_all config blocked end date:na _x000a_ _x000a_config end date:04/04/24 _x000a_ _x000a_ -------------------------------------------------------------------------------------------- _x000a_ _x000a_all peer review start date:04/04/24 _x000a_ _x000a_all peer review end date:04/04/24 _x000a_ _x000a_all peer review rework required start date:na _x000a_ _x000a_all pr rework blocked start date:na _x000a_ _x000a_all pr rework blocked end date:na _x000a_ _x000a_all peer review rework required end date:na _x000a_ _x000a_-------------------------------------------------------------------------------------------- _x000a_ _x000a_all ready for demo date: _x000a_ _x000a_all demo date:04/05/24 _x000a_ _x000a_all demo rework required start date:04/08/24 _x000a_ _x000a_all demo blocked start date:na _x000a_ _x000a_all demo blocked end date:na _x000a_ _x000a_all demo rework required end date:04/10/24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1"/>
    <x v="2"/>
    <e v="#VALUE!"/>
    <n v="0"/>
    <x v="1"/>
    <n v="1"/>
    <x v="1"/>
    <n v="0"/>
    <n v="0"/>
    <x v="1"/>
    <n v="0"/>
    <n v="1"/>
    <e v="#VALUE!"/>
    <n v="0"/>
    <x v="1"/>
    <n v="0"/>
    <n v="0"/>
    <x v="0"/>
    <n v="0"/>
    <n v="0"/>
    <x v="1"/>
    <m/>
    <m/>
    <x v="1"/>
    <x v="0"/>
    <x v="1"/>
    <x v="0"/>
    <x v="0"/>
    <x v="0"/>
    <b v="1"/>
    <m/>
    <m/>
    <m/>
    <m/>
    <m/>
    <m/>
    <m/>
    <m/>
    <m/>
    <m/>
    <m/>
    <m/>
    <m/>
    <m/>
    <m/>
    <m/>
  </r>
  <r>
    <s v="Q85dpaktqUaQvjhyMs5FX2UAONK-"/>
    <x v="297"/>
    <x v="4"/>
    <s v="Rhoda Gill - Network;Cristofer Orozco - Network"/>
    <s v="NMP method;New"/>
    <s v="sop # pr5-hplc-pm-cal-nmp _x000a_ _x000a_config start date: _x000a_ _x000a_all config blocked start date: _x000a_ _x000a_all config blocked end date: _x000a_ _x000a_config end date: _x000a_ _x000a_ -------------------------------------------------------------------------------------------- _x000a_ _x000a_all peer review start date: 07/23/2024 _x000a_ _x000a_all peer review end date: _x000a_ _x000a_all peer review rework required start date: 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1"/>
    <x v="1"/>
    <e v="#VALUE!"/>
    <n v="0"/>
    <x v="1"/>
    <n v="0"/>
    <n v="0"/>
    <n v="0"/>
    <n v="0"/>
    <x v="1"/>
    <n v="0"/>
    <n v="0"/>
    <x v="0"/>
    <n v="0"/>
    <n v="0"/>
    <x v="1"/>
    <m/>
    <m/>
    <x v="1"/>
    <x v="1"/>
    <x v="0"/>
    <x v="0"/>
    <x v="0"/>
    <x v="0"/>
    <m/>
    <m/>
    <m/>
    <m/>
    <m/>
    <m/>
    <m/>
    <m/>
    <m/>
    <b v="1"/>
    <m/>
    <m/>
    <m/>
    <m/>
    <m/>
    <m/>
    <m/>
  </r>
  <r>
    <s v="DufPHUm4yUK2Go8UsRmnXmUAEl-i"/>
    <x v="298"/>
    <x v="14"/>
    <s v="Joshua Vargas - Network;Javier Coronado - Network;Kimberly Mata - Network;Fabian Soma - Network;Daniel Bonilla - Network;Daniela Maroto - Network"/>
    <s v="Full Build"/>
    <s v="sop # _x000a_ _x000a_config start date:06/03/24 _x000a_ _x000a_all config blocked start date: na _x000a_ _x000a_all config blocked end date: na _x000a_ _x000a_config end date:06/06/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m/>
    <m/>
    <m/>
    <m/>
    <m/>
    <m/>
    <b v="1"/>
    <m/>
  </r>
  <r>
    <s v="XYrmBT1DBkuOY9ELcIDddGUAMTio"/>
    <x v="299"/>
    <x v="14"/>
    <s v="Rhoda Gill - Network;Kimberly Mata - Network"/>
    <s v="Test Method;Consumable;Raw material;am;Full Build"/>
    <s v="sop # a09426 _x000a_ _x000a_config start date:05/31/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6T7muWYX2E6hdaL2EEU8q2UAB9k7"/>
    <x v="300"/>
    <x v="14"/>
    <s v="Joseph Alexander - Network;Rhoda Gill"/>
    <s v="Instrument;NMP method;am"/>
    <s v="sop # pr5-balance-cal-check-nmp _x000a_ _x000a_config start date: 05/29/24 _x000a_ _x000a_all config blocked start date: na _x000a_ _x000a_all config blocked end date: na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b v="1"/>
    <m/>
    <m/>
    <m/>
    <m/>
    <m/>
    <m/>
    <b v="1"/>
    <m/>
    <m/>
    <m/>
    <m/>
    <m/>
    <m/>
    <m/>
  </r>
  <r>
    <s v="aXhzqtnXVUO1DyWe7flXpmUAPk-N"/>
    <x v="301"/>
    <x v="14"/>
    <s v="Joseph Alexander - Network;Rhoda Gill"/>
    <s v="Instrument;NMP method;am"/>
    <s v="sop # pr5-balance-cal-check-nmp _x000a_ _x000a_config start date:05/29/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b v="1"/>
    <m/>
    <m/>
    <m/>
    <m/>
    <m/>
    <m/>
    <b v="1"/>
    <m/>
    <m/>
    <m/>
    <m/>
    <m/>
    <m/>
    <m/>
  </r>
  <r>
    <s v="k3tRc9aLt0u5zkyhyN_LJ2UAKSvA"/>
    <x v="302"/>
    <x v="10"/>
    <m/>
    <m/>
    <s v="build out a mineral oil technique template for the ftir.  based on method 000236. _x000a_ _x000a_config start date:05/29/24 _x000a_ _x000a_all config blocked start date: na _x000a_ _x000a_all config blocked end date: na _x000a_ _x000a_config end date: 05/2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e v="#VALUE!"/>
    <n v="0"/>
    <x v="1"/>
    <n v="0"/>
    <x v="0"/>
    <n v="0"/>
    <n v="0"/>
    <x v="1"/>
    <n v="0"/>
    <n v="0"/>
    <n v="0"/>
    <n v="0"/>
    <x v="1"/>
    <n v="0"/>
    <n v="0"/>
    <x v="0"/>
    <n v="0"/>
    <n v="0"/>
    <x v="1"/>
    <m/>
    <m/>
    <x v="0"/>
    <x v="0"/>
    <x v="0"/>
    <x v="0"/>
    <x v="0"/>
    <x v="0"/>
    <m/>
    <m/>
    <m/>
    <m/>
    <m/>
    <m/>
    <m/>
    <m/>
    <m/>
    <m/>
    <m/>
    <m/>
    <m/>
    <m/>
    <m/>
    <m/>
    <m/>
  </r>
  <r>
    <s v="BfoCBWghEU-LC93nVUP0tGUAE0mR"/>
    <x v="303"/>
    <x v="14"/>
    <s v="Fabian Soma - Network;Daniel Bonilla - Network;Daniela Maroto - Network"/>
    <s v="Full Build"/>
    <s v="sop # _x000a_ _x000a_config start date:05/24/24 _x000a_ _x000a_all config blocked start date: _x000a_ _x000a_all config blocked end date: _x000a_ _x000a_config end date:05/2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m/>
    <m/>
    <m/>
    <m/>
    <m/>
    <m/>
    <b v="1"/>
    <m/>
  </r>
  <r>
    <s v="kS_ImVRXskmbv4feUcrhuGUAM08c"/>
    <x v="304"/>
    <x v="13"/>
    <s v="Rhoda Gill - Network;Nannette Umpierre"/>
    <s v="Test Method;Instrument;Empower "/>
    <s v="sop # pr5-ftir-cal-nmp _x000a_ _x000a_config start date:05/22/24 _x000a_ _x000a_all config blocked start date: na _x000a_ _x000a_all config blocked end date: na _x000a_ _x000a_config end date: 05/22/24 _x000a_ _x000a_ -------------------------------------------------------------------------------------------- _x000a_ _x000a_all peer review start date: na _x000a_ _x000a_all peer review end date: na _x000a_ _x000a_all peer review rework required start date: na _x000a_ _x000a_all pr rework blocked start date: na _x000a_ _x000a_all pr rework blocked end date: na _x000a_ _x000a_all peer review rework required end date: na _x000a_ _x000a_-------------------------------------------------------------------------------------------- _x000a_ _x000a_all ready for demo date:05/22/24;05/23/24 _x000a_ _x000a_all demo date:05/22/24;05/23/24 _x000a_ _x000a_all demo rework required start date:05/23/24 _x000a_ _x000a_all demo blocked start date: na _x000a_ _x000a_all demo blocked end date: na _x000a_ _x000a_all demo rework required end date:05/23/24 _x000a_ _x000a_-------------------------------------------------------------------------------------------- _x000a_ _x000a_all ready for client verification date:06/06/24;06/11/24 _x000a_ _x000a_verification assigned to: miguel lozada _x000a_ _x000a_all client verification start date:06/06/24 _x000a_ _x000a_all client verification end date:06/11/24 _x000a_ _x000a_all client rework required start date:06/11/24 _x000a_ _x000a_all client blocked start date: na _x000a_ _x000a_all client blocked end date: na _x000a_ _x000a_all client rework required end date:06/11/24 _x000a_ _x000a_-------------------------------------------------------------------------------------------- _x000a_ _x000a_verification complete date:06/13/24 _x000a_ _x000a_ready to migrate date:"/>
    <x v="2"/>
    <x v="1"/>
    <e v="#VALUE!"/>
    <n v="0"/>
    <x v="1"/>
    <n v="0"/>
    <x v="0"/>
    <n v="0"/>
    <n v="0"/>
    <x v="1"/>
    <n v="2"/>
    <n v="2"/>
    <e v="#VALUE!"/>
    <n v="0"/>
    <x v="1"/>
    <n v="2"/>
    <n v="1"/>
    <x v="1"/>
    <e v="#VALUE!"/>
    <n v="0"/>
    <x v="1"/>
    <d v="2024-06-13T00:00:00"/>
    <m/>
    <x v="0"/>
    <x v="0"/>
    <x v="1"/>
    <x v="1"/>
    <x v="1"/>
    <x v="0"/>
    <b v="1"/>
    <m/>
    <b v="1"/>
    <m/>
    <m/>
    <m/>
    <m/>
    <m/>
    <m/>
    <m/>
    <m/>
    <m/>
    <b v="1"/>
    <m/>
    <m/>
    <m/>
    <m/>
  </r>
  <r>
    <s v="tua0PFb03kSXHEh6lHVEL2UAHpCV"/>
    <x v="305"/>
    <x v="10"/>
    <s v="Fabian Soma - Network;Rhoda Gill"/>
    <m/>
    <s v="sop # b00261 _x000a_ _x000a_config start date:05/14/24 _x000a_ _x000a_all config blocked start date: na _x000a_ _x000a_all config blocked end date: na _x000a_ _x000a_config end date: 05/16/24 _x000a_ _x000a_ -------------------------------------------------------------------------------------------- _x000a_ _x000a_all peer review start date:na _x000a_ _x000a_all peer review end date:na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05/16/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2"/>
    <e v="#VALUE!"/>
    <n v="0"/>
    <x v="1"/>
    <n v="0"/>
    <x v="0"/>
    <n v="0"/>
    <n v="0"/>
    <x v="1"/>
    <n v="0"/>
    <n v="1"/>
    <n v="0"/>
    <n v="0"/>
    <x v="1"/>
    <n v="0"/>
    <n v="0"/>
    <x v="0"/>
    <n v="0"/>
    <n v="0"/>
    <x v="1"/>
    <m/>
    <m/>
    <x v="0"/>
    <x v="0"/>
    <x v="1"/>
    <x v="0"/>
    <x v="0"/>
    <x v="0"/>
    <m/>
    <m/>
    <m/>
    <m/>
    <m/>
    <m/>
    <m/>
    <m/>
    <m/>
    <m/>
    <m/>
    <m/>
    <m/>
    <m/>
    <m/>
    <m/>
    <m/>
  </r>
  <r>
    <s v="xlOhOLVIM0aJr_2Ef2fdVGUAGgWd"/>
    <x v="306"/>
    <x v="10"/>
    <s v="Glenda Fernandez - Network;Andrea Fuentes;Nannette Umpierre"/>
    <s v="Test Method;am;Skeleton Build;New"/>
    <s v="important: indy method to report only data analysis _x000a_ _x000a_sop # api-g1153-local _x000a_ _x000a_config start date:06/05/24 _x000a_ _x000a_all config blocked start date: na _x000a_ _x000a_all config blocked end date: na _x000a_ _x000a_config end date: 06/05/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7/24 _x000a_ _x000a_ready to migrate date: 7/29/2024"/>
    <x v="2"/>
    <x v="2"/>
    <e v="#VALUE!"/>
    <n v="0"/>
    <x v="1"/>
    <n v="1"/>
    <x v="1"/>
    <n v="0"/>
    <n v="0"/>
    <x v="1"/>
    <n v="0"/>
    <n v="0"/>
    <n v="0"/>
    <n v="0"/>
    <x v="1"/>
    <n v="1"/>
    <n v="1"/>
    <x v="1"/>
    <n v="0"/>
    <n v="0"/>
    <x v="1"/>
    <d v="2024-06-27T00:00:00"/>
    <d v="2024-07-29T00:00:00"/>
    <x v="1"/>
    <x v="0"/>
    <x v="0"/>
    <x v="1"/>
    <x v="1"/>
    <x v="1"/>
    <b v="1"/>
    <m/>
    <m/>
    <m/>
    <m/>
    <m/>
    <m/>
    <m/>
    <m/>
    <m/>
    <m/>
    <m/>
    <m/>
    <m/>
    <m/>
    <m/>
    <b v="1"/>
  </r>
  <r>
    <s v="QCS75k2wN0OG2Quan01wbGUACMu7"/>
    <x v="307"/>
    <x v="10"/>
    <s v="Alejandra Robles - Network;Andrea Fuentes;Nannette Umpierre"/>
    <s v="Test Method;am;Skeleton Build;New"/>
    <s v="sop # api-g1155-local _x000a_ _x000a_config start date: 06/05/2024 _x000a_ _x000a_all config blocked start date: na _x000a_ _x000a_all config blocked end date: na _x000a_ _x000a_config end date: 06/05/20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 _x000a_ _x000a_verification assigned to: noel mendez  _x000a_ _x000a_all client verification start date: 06/17/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 07/30/2024 _x000a_ _x000a_important: indy method to report only data analysis"/>
    <x v="2"/>
    <x v="2"/>
    <e v="#VALUE!"/>
    <n v="0"/>
    <x v="1"/>
    <n v="1"/>
    <x v="1"/>
    <n v="0"/>
    <n v="0"/>
    <x v="1"/>
    <n v="0"/>
    <n v="0"/>
    <n v="0"/>
    <n v="0"/>
    <x v="1"/>
    <n v="1"/>
    <n v="1"/>
    <x v="1"/>
    <n v="0"/>
    <n v="0"/>
    <x v="1"/>
    <d v="2024-06-27T00:00:00"/>
    <d v="2024-07-30T00:00:00"/>
    <x v="1"/>
    <x v="0"/>
    <x v="0"/>
    <x v="1"/>
    <x v="1"/>
    <x v="1"/>
    <b v="1"/>
    <m/>
    <m/>
    <m/>
    <m/>
    <m/>
    <m/>
    <m/>
    <m/>
    <m/>
    <m/>
    <m/>
    <m/>
    <m/>
    <m/>
    <m/>
    <b v="1"/>
  </r>
  <r>
    <s v="GWBc6Hdvwku_-6TPn6T0emUADk5O"/>
    <x v="308"/>
    <x v="10"/>
    <s v="Andrea Fuentes;Nannette Umpierre"/>
    <s v="Test Method;am;Skeleton Build;New"/>
    <s v="sop # api-g1983-local _x000a_ _x000a_important: indy method to report only data analysis _x000a_ _x000a_config start date:06/05/24 _x000a_ _x000a_all config blocked start date:na _x000a_ _x000a_all config blocked end date:na _x000a_ _x000a_config end date:06/05/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annette umpierre _x000a_ _x000a_all client verification start date:06/17/24 _x000a_ _x000a_all client verification end date:07/01/24 _x000a_ _x000a_all client rework required start date: 07/01/2024 _x000a_ _x000a_all client blocked start date:na _x000a_ _x000a_all client blocked end date:na _x000a_ _x000a_all client rework required end date: 07/11/2024 _x000a_ _x000a_-------------------------------------------------------------------------------------------- _x000a_ _x000a_verification complete date: 07/11/2024 _x000a_ _x000a_ready to migrate date:07/30/2024"/>
    <x v="2"/>
    <x v="2"/>
    <e v="#VALUE!"/>
    <n v="0"/>
    <x v="1"/>
    <n v="1"/>
    <x v="1"/>
    <n v="0"/>
    <n v="0"/>
    <x v="1"/>
    <n v="0"/>
    <n v="0"/>
    <n v="0"/>
    <n v="0"/>
    <x v="1"/>
    <n v="1"/>
    <n v="1"/>
    <x v="1"/>
    <e v="#VALUE!"/>
    <n v="0"/>
    <x v="1"/>
    <d v="2024-07-11T00:00:00"/>
    <d v="2024-07-30T00:00:00"/>
    <x v="1"/>
    <x v="0"/>
    <x v="0"/>
    <x v="1"/>
    <x v="1"/>
    <x v="1"/>
    <b v="1"/>
    <m/>
    <m/>
    <m/>
    <m/>
    <m/>
    <m/>
    <m/>
    <m/>
    <m/>
    <m/>
    <m/>
    <m/>
    <m/>
    <m/>
    <m/>
    <b v="1"/>
  </r>
  <r>
    <s v="5qoiisxGSkGFvKDma8C8I2UAKE-B"/>
    <x v="309"/>
    <x v="10"/>
    <s v="Shannon Blais - Network;Alejandra Robles - Network;Nannette Umpierre"/>
    <s v="Test Method;Drug substance;am;Skeleton Build;Finished Product;New"/>
    <s v="sop # api-g2067-local _x000a_ _x000a_important: indy method to report only data analysis _x000a_ _x000a_config start date: 05/28/24 _x000a_ _x000a_all config blocked start date: na _x000a_ _x000a_all config blocked end date: na _x000a_ _x000a_config end date: 06/05/24 _x000a_ _x000a_ -------------------------------------------------------------------------------------------- _x000a_ _x000a_all peer review start date:06/20/24 _x000a_ _x000a_all peer review end date:06/20/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20/24 _x000a_ _x000a_verification assigned to:miguel lozada _x000a_ _x000a_all client verification start date:06/20/24 _x000a_ _x000a_all client verification end date:06/21/24 _x000a_ _x000a_all client rework required start date:na _x000a_ _x000a_all client blocked start date:na _x000a_ _x000a_all client blocked end date:na _x000a_ _x000a_all client rework required end date:na _x000a_ _x000a_-------------------------------------------------------------------------------------------- _x000a_ _x000a_verification complete date:07/01/24 _x000a_ _x000a_ready to migrate date:07/30/2024"/>
    <x v="2"/>
    <x v="2"/>
    <e v="#VALUE!"/>
    <n v="0"/>
    <x v="1"/>
    <n v="1"/>
    <x v="1"/>
    <n v="0"/>
    <n v="0"/>
    <x v="1"/>
    <n v="0"/>
    <n v="0"/>
    <n v="0"/>
    <n v="0"/>
    <x v="1"/>
    <n v="1"/>
    <n v="1"/>
    <x v="1"/>
    <n v="0"/>
    <n v="0"/>
    <x v="1"/>
    <d v="2024-07-01T00:00:00"/>
    <d v="2024-07-30T00:00:00"/>
    <x v="1"/>
    <x v="0"/>
    <x v="0"/>
    <x v="1"/>
    <x v="1"/>
    <x v="1"/>
    <b v="1"/>
    <m/>
    <m/>
    <m/>
    <m/>
    <m/>
    <m/>
    <b v="1"/>
    <m/>
    <m/>
    <m/>
    <b v="1"/>
    <m/>
    <m/>
    <m/>
    <m/>
    <b v="1"/>
  </r>
  <r>
    <s v="ZJLK_YV7NU67YdVHsaPn3mUAD4dn"/>
    <x v="310"/>
    <x v="10"/>
    <s v="Glenda Fernandez - Network;Daniela Azofeifa;Nannette Umpierre"/>
    <s v="Test Method;Drug substance;am;Skeleton Build;Finished Product;New"/>
    <s v="sop # api-g2009-local _x000a_ _x000a_important: indy method to report only_x000a_data analysis _x000a_ _x000a_config start date:05/28/24 _x000a_ _x000a_all config blocked start date:na _x000a_ _x000a_all config blocked end date:na _x000a_ _x000a_config end date:05/28/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e v="#VALUE!"/>
    <n v="0"/>
    <x v="1"/>
    <n v="1"/>
    <x v="1"/>
    <n v="0"/>
    <n v="0"/>
    <x v="1"/>
    <n v="0"/>
    <n v="0"/>
    <n v="0"/>
    <n v="0"/>
    <x v="1"/>
    <n v="1"/>
    <n v="1"/>
    <x v="1"/>
    <n v="0"/>
    <n v="0"/>
    <x v="1"/>
    <d v="2024-06-25T00:00:00"/>
    <d v="2024-07-29T00:00:00"/>
    <x v="1"/>
    <x v="0"/>
    <x v="0"/>
    <x v="1"/>
    <x v="1"/>
    <x v="1"/>
    <b v="1"/>
    <m/>
    <m/>
    <m/>
    <m/>
    <m/>
    <m/>
    <b v="1"/>
    <m/>
    <m/>
    <m/>
    <b v="1"/>
    <m/>
    <m/>
    <m/>
    <m/>
    <b v="1"/>
  </r>
  <r>
    <s v="4yaF96R3W0muw_PSR0lArWUALnlG"/>
    <x v="311"/>
    <x v="10"/>
    <s v="Sely Cheung;Nannette Umpierre"/>
    <s v="Test Method;Drug substance;am;Skeleton Build;Finished Product;New"/>
    <s v="sop # api-g1936-local _x000a_ _x000a_important: indy method to report only data analysis _x000a_ _x000a_config start date:05/27/24 _x000a_ _x000a_all config blocked start date:na _x000a_ _x000a_all config blocked end date:na _x000a_ _x000a_config end date:05/28/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07/05/2024 _x000a_ _x000a_all client blocked start date:na _x000a_ _x000a_all client blocked end date:na _x000a_ _x000a_all client rework required end date:07/05/2024 _x000a_ _x000a_-------------------------------------------------------------------------------------------- _x000a_ _x000a_verification complete date: 07/09/2024 _x000a_ _x000a_ready to migrate date:07/31/2024"/>
    <x v="2"/>
    <x v="2"/>
    <e v="#VALUE!"/>
    <n v="0"/>
    <x v="1"/>
    <n v="1"/>
    <x v="1"/>
    <n v="0"/>
    <n v="0"/>
    <x v="1"/>
    <n v="0"/>
    <n v="0"/>
    <n v="0"/>
    <n v="0"/>
    <x v="1"/>
    <n v="1"/>
    <n v="1"/>
    <x v="1"/>
    <e v="#VALUE!"/>
    <n v="0"/>
    <x v="1"/>
    <d v="2024-07-09T00:00:00"/>
    <d v="2024-07-31T00:00:00"/>
    <x v="1"/>
    <x v="0"/>
    <x v="0"/>
    <x v="1"/>
    <x v="1"/>
    <x v="1"/>
    <b v="1"/>
    <m/>
    <m/>
    <m/>
    <m/>
    <m/>
    <m/>
    <b v="1"/>
    <m/>
    <m/>
    <m/>
    <b v="1"/>
    <m/>
    <m/>
    <m/>
    <m/>
    <b v="1"/>
  </r>
  <r>
    <s v="htjouXX650OuJuwzzca5J2UABBc9"/>
    <x v="312"/>
    <x v="15"/>
    <s v="Rhoda Gill - Network;Raquel Bolanos - Network;Raquel Bolaños;Nannette Umpierre;Rhoda Gill"/>
    <s v="Test Method;Drug substance;am;Skeleton Build;Finished Product;New"/>
    <s v="sop # api-g1287-local _x000a_ _x000a_important: indy method_x000a_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e v="#VALUE!"/>
    <n v="0"/>
    <x v="1"/>
    <n v="1"/>
    <x v="1"/>
    <n v="0"/>
    <n v="0"/>
    <x v="1"/>
    <n v="0"/>
    <n v="0"/>
    <n v="0"/>
    <n v="0"/>
    <x v="1"/>
    <n v="1"/>
    <n v="1"/>
    <x v="1"/>
    <n v="0"/>
    <n v="0"/>
    <x v="1"/>
    <d v="2024-07-01T00:00:00"/>
    <m/>
    <x v="1"/>
    <x v="0"/>
    <x v="0"/>
    <x v="1"/>
    <x v="1"/>
    <x v="0"/>
    <b v="1"/>
    <m/>
    <m/>
    <m/>
    <m/>
    <m/>
    <m/>
    <b v="1"/>
    <m/>
    <m/>
    <m/>
    <b v="1"/>
    <m/>
    <m/>
    <m/>
    <m/>
    <b v="1"/>
  </r>
  <r>
    <s v="2eDj9gDC_0etMU63mUKbyWUAFBB2"/>
    <x v="313"/>
    <x v="15"/>
    <s v="Sely Cheung;Nannette Umpierre"/>
    <s v="Test Method;Drug substance;am;Skeleton Build;Finished Product;New"/>
    <s v="sop # api-g1149-local _x000a_ _x000a_important: indy method to report only data analysis _x000a_ _x000a_config start date:05/28/24 _x000a_ _x000a_all config blocked start date:na _x000a_ _x000a_all config blocked end date:na _x000a_ _x000a_config end date: 05/29/24 _x000a_ _x000a_ -------------------------------------------------------------------------------------------- _x000a_ _x000a_all peer review start date:06/12/24 _x000a_ _x000a_all peer review end date:06/13/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3/24 _x000a_ _x000a_verification assigned to:nannette umpierre _x000a_ _x000a_all client verification start date:06/13/24 _x000a_ _x000a_all client verification end date:06/13/24 _x000a_ _x000a_all client rework required start date:06/17/24 _x000a_ _x000a_all client blocked start date:na _x000a_ _x000a_all client blocked end date:na _x000a_ _x000a_all client rework required end date:07/05/24 _x000a_ _x000a_-------------------------------------------------------------------------------------------- _x000a_ _x000a_verification complete date: 07/09/2024 _x000a_ _x000a_ready to migrate date:"/>
    <x v="2"/>
    <x v="2"/>
    <e v="#VALUE!"/>
    <n v="0"/>
    <x v="1"/>
    <n v="1"/>
    <x v="1"/>
    <n v="0"/>
    <n v="0"/>
    <x v="1"/>
    <n v="0"/>
    <n v="0"/>
    <n v="0"/>
    <n v="0"/>
    <x v="1"/>
    <n v="1"/>
    <n v="1"/>
    <x v="1"/>
    <e v="#VALUE!"/>
    <n v="0"/>
    <x v="1"/>
    <d v="2024-07-09T00:00:00"/>
    <m/>
    <x v="1"/>
    <x v="0"/>
    <x v="0"/>
    <x v="1"/>
    <x v="1"/>
    <x v="0"/>
    <b v="1"/>
    <m/>
    <m/>
    <m/>
    <m/>
    <m/>
    <m/>
    <b v="1"/>
    <m/>
    <m/>
    <m/>
    <b v="1"/>
    <m/>
    <m/>
    <m/>
    <m/>
    <b v="1"/>
  </r>
  <r>
    <s v="E7dn0HZ5V0-HRFy_THLgQmUAFXof"/>
    <x v="314"/>
    <x v="15"/>
    <s v="Sely Cheung;Nannette Umpierre"/>
    <s v="Test Method;Drug substance;am;Skeleton Build;Finished Product;New"/>
    <s v="sop # api-g1148-local _x000a_ _x000a_important: indy method to report only data analysis  _x000a_ _x000a_config start date:05/28/24 _x000a_ _x000a_all config blocked start date:na _x000a_ _x000a_all config blocked end date:na _x000a_ _x000a_config end date:05/29/24 _x000a_ _x000a_ -------------------------------------------------------------------------------------------- _x000a_ _x000a_all peer review start date:06/17/24 _x000a_ _x000a_all peer review end date:06/17/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7/24 _x000a_ _x000a_verification assigned to:miguel lozada _x000a_ _x000a_all client verification start date:06/17/24 _x000a_ _x000a_all client verification end date:06/20/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2"/>
    <e v="#VALUE!"/>
    <n v="0"/>
    <x v="1"/>
    <n v="1"/>
    <x v="1"/>
    <n v="0"/>
    <n v="0"/>
    <x v="1"/>
    <n v="0"/>
    <n v="0"/>
    <n v="0"/>
    <n v="0"/>
    <x v="1"/>
    <n v="1"/>
    <n v="1"/>
    <x v="1"/>
    <n v="0"/>
    <n v="0"/>
    <x v="1"/>
    <d v="2024-06-25T00:00:00"/>
    <m/>
    <x v="1"/>
    <x v="0"/>
    <x v="0"/>
    <x v="1"/>
    <x v="1"/>
    <x v="0"/>
    <b v="1"/>
    <m/>
    <m/>
    <m/>
    <m/>
    <m/>
    <m/>
    <b v="1"/>
    <m/>
    <m/>
    <m/>
    <b v="1"/>
    <m/>
    <m/>
    <m/>
    <m/>
    <b v="1"/>
  </r>
  <r>
    <s v="PlK5iUU1GkKvuE3kwQ4gGWUADQz1"/>
    <x v="315"/>
    <x v="15"/>
    <s v="Giuliana Barahona;Nannette Umpierre"/>
    <s v="Test Method;Drug substance;am;Skeleton Build;Finished Product;New"/>
    <s v="sop # api-b13000-local _x000a_ _x000a_important: indy method to report only data analysis  _x000a_ _x000a_config start date:05/28/24 _x000a_ _x000a_all config blocked start date:na _x000a_ _x000a_all config blocked end date:na _x000a_ _x000a_config end date:05/28/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9/24 _x000a_ _x000a_verification assigned to:noel mendez _x000a_ _x000a_all client verification start date:06/19/24 _x000a_ _x000a_all client verification end date:06/21/24 _x000a_ _x000a_all client rework required start date: _x000a_ _x000a_all client blocked start date: _x000a_ _x000a_all client blocked end date: _x000a_ _x000a_all client rework required end date: _x000a_ _x000a_-------------------------------------------------------------------------------------------- _x000a_ _x000a_verification complete date:07/01/24 _x000a_ _x000a_ready to migrate date:"/>
    <x v="2"/>
    <x v="2"/>
    <e v="#VALUE!"/>
    <n v="0"/>
    <x v="1"/>
    <n v="1"/>
    <x v="1"/>
    <n v="0"/>
    <n v="0"/>
    <x v="1"/>
    <n v="0"/>
    <n v="0"/>
    <n v="0"/>
    <n v="0"/>
    <x v="1"/>
    <n v="1"/>
    <n v="1"/>
    <x v="1"/>
    <n v="0"/>
    <n v="0"/>
    <x v="1"/>
    <d v="2024-07-01T00:00:00"/>
    <m/>
    <x v="1"/>
    <x v="0"/>
    <x v="0"/>
    <x v="1"/>
    <x v="1"/>
    <x v="0"/>
    <b v="1"/>
    <m/>
    <m/>
    <m/>
    <m/>
    <m/>
    <m/>
    <b v="1"/>
    <m/>
    <m/>
    <m/>
    <b v="1"/>
    <m/>
    <m/>
    <m/>
    <m/>
    <b v="1"/>
  </r>
  <r>
    <s v="uFFeCfMrZkCtqgzWDOMIN2UAK91z"/>
    <x v="316"/>
    <x v="15"/>
    <s v="Rhoda Gill - Network;Shannon Blais - Network;Raquel Bolanos - Network;Raquel Bolaños;Nannette Umpierre;Rhoda Gill"/>
    <s v="Test Method;Drug substance;am;Skeleton Build;Finished Product;New"/>
    <s v="sop # api-b10389-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20/24 _x000a_ _x000a_all peer review end date:06/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07/08/2024 _x000a_ _x000a_all demo blocked start date: _x000a_ _x000a_all demo blocked end date: _x000a_ _x000a_all demo rework required end date: _x000a_ _x000a_-------------------------------------------------------------------------------------------- _x000a_ _x000a_all ready for client verification date:06/20/24 _x000a_ _x000a_verification assigned to: miguel lozada _x000a_ _x000a_all client verification start date: 06/20/2024 _x000a_ _x000a_all client verification end date: 06/21/2024 _x000a_ _x000a_all client rework required start date: 07/08/2024 _x000a_ _x000a_all client blocked start date: _x000a_ _x000a_all client blocked end date: _x000a_ _x000a_all client rework required end date:07/10/2024 _x000a_ _x000a_-------------------------------------------------------------------------------------------- _x000a_ _x000a_verification complete date:07/10/2024 _x000a_ _x000a_ready to migrate date:"/>
    <x v="2"/>
    <x v="2"/>
    <e v="#VALUE!"/>
    <n v="0"/>
    <x v="1"/>
    <n v="1"/>
    <x v="1"/>
    <n v="0"/>
    <n v="0"/>
    <x v="1"/>
    <n v="0"/>
    <n v="0"/>
    <e v="#VALUE!"/>
    <n v="0"/>
    <x v="1"/>
    <n v="1"/>
    <n v="1"/>
    <x v="1"/>
    <e v="#VALUE!"/>
    <n v="0"/>
    <x v="1"/>
    <d v="2024-07-10T00:00:00"/>
    <m/>
    <x v="1"/>
    <x v="0"/>
    <x v="0"/>
    <x v="1"/>
    <x v="1"/>
    <x v="0"/>
    <b v="1"/>
    <m/>
    <m/>
    <m/>
    <m/>
    <m/>
    <m/>
    <b v="1"/>
    <m/>
    <m/>
    <m/>
    <b v="1"/>
    <m/>
    <m/>
    <m/>
    <m/>
    <b v="1"/>
  </r>
  <r>
    <s v="NDxdN3beakOPdH31XBgJfGUAGH0M"/>
    <x v="317"/>
    <x v="15"/>
    <s v="Rhoda Gill - Network;Raquel Bolanos - Network;Raquel Bolaños;Nannette Umpierre;Rhoda Gill"/>
    <s v="Test Method;Drug substance;am;Skeleton Build;Finished Product;New"/>
    <s v="sop # api-b08917-local _x000a_ _x000a_important: indy method to report only data analysis _x000a_ _x000a_config start date:05/23/24 _x000a_ _x000a_all config blocked start date:na _x000a_ _x000a_all config blocked end date:na _x000a_ _x000a_config end date:05/23/24 _x000a_ _x000a_ -------------------------------------------------------------------------------------------- _x000a_ _x000a_all peer review start date:06/19/24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_x000a_ _x000a_all client blocked start date: _x000a_ _x000a_all client blocked end date: _x000a_ _x000a_all client rework required end date: _x000a_ _x000a_-------------------------------------------------------------------------------------------- _x000a_ _x000a_verification complete date: 07/01/2024 _x000a_ _x000a_ready to migrate date:"/>
    <x v="2"/>
    <x v="2"/>
    <e v="#VALUE!"/>
    <n v="0"/>
    <x v="1"/>
    <n v="1"/>
    <x v="1"/>
    <n v="0"/>
    <n v="0"/>
    <x v="1"/>
    <n v="0"/>
    <n v="0"/>
    <n v="0"/>
    <n v="0"/>
    <x v="1"/>
    <n v="1"/>
    <n v="1"/>
    <x v="1"/>
    <n v="0"/>
    <n v="0"/>
    <x v="1"/>
    <d v="2024-07-01T00:00:00"/>
    <m/>
    <x v="1"/>
    <x v="0"/>
    <x v="0"/>
    <x v="1"/>
    <x v="1"/>
    <x v="0"/>
    <b v="1"/>
    <m/>
    <m/>
    <m/>
    <m/>
    <m/>
    <m/>
    <b v="1"/>
    <m/>
    <m/>
    <m/>
    <b v="1"/>
    <m/>
    <m/>
    <m/>
    <m/>
    <b v="1"/>
  </r>
  <r>
    <s v="sbs65YNNqUyZPteFCt8ANGUACtP7"/>
    <x v="318"/>
    <x v="15"/>
    <s v="Andrea Fuentes;Nannette Umpierre"/>
    <s v="Test Method;Drug substance;am;Skeleton Build;Finished Product;New"/>
    <s v="sop # api-b08916-local _x000a_ _x000a_important: indy method to report only data analysis  _x000a_ _x000a_config start date:05/28/24 _x000a_ _x000a_all config blocked start date: na _x000a_ _x000a_all config blocked end date: na _x000a_ _x000a_config end date: 05/28/24 _x000a_ _x000a_ -------------------------------------------------------------------------------------------- _x000a_ _x000a_all peer review start date:06/11/24 _x000a_ _x000a_all peer review end date:06/11/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06/12/24;06/13/24 _x000a_ _x000a_verification assigned to:nannette umpierre _x000a_ _x000a_all client verification start date:06/12/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x v="2"/>
    <x v="2"/>
    <e v="#VALUE!"/>
    <n v="0"/>
    <x v="1"/>
    <n v="1"/>
    <x v="1"/>
    <n v="0"/>
    <n v="0"/>
    <x v="1"/>
    <n v="0"/>
    <n v="0"/>
    <n v="0"/>
    <n v="0"/>
    <x v="1"/>
    <n v="2"/>
    <n v="2"/>
    <x v="1"/>
    <e v="#VALUE!"/>
    <n v="0"/>
    <x v="1"/>
    <d v="2024-06-13T00:00:00"/>
    <m/>
    <x v="1"/>
    <x v="0"/>
    <x v="0"/>
    <x v="1"/>
    <x v="1"/>
    <x v="0"/>
    <b v="1"/>
    <m/>
    <m/>
    <m/>
    <m/>
    <m/>
    <m/>
    <b v="1"/>
    <m/>
    <m/>
    <m/>
    <b v="1"/>
    <m/>
    <m/>
    <m/>
    <m/>
    <b v="1"/>
  </r>
  <r>
    <s v="358s5cXvgUqNSclFdgAIn2UAMU11"/>
    <x v="319"/>
    <x v="16"/>
    <s v="Joshua Vargas - Network;Fabian Soma - Network;Daniel Bonilla - Network;Daniela Maroto - Network"/>
    <s v="Full Build"/>
    <s v="config start date: 04/29/24 _x000a_ _x000a_all config blocked start date: na _x000a_ _x000a_all config blocked end date: na _x000a_ _x000a_config end date:05/15/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05/14/24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1"/>
    <n v="0"/>
    <n v="0"/>
    <x v="1"/>
    <n v="0"/>
    <n v="0"/>
    <x v="0"/>
    <n v="0"/>
    <n v="0"/>
    <x v="1"/>
    <m/>
    <m/>
    <x v="0"/>
    <x v="0"/>
    <x v="1"/>
    <x v="0"/>
    <x v="0"/>
    <x v="0"/>
    <m/>
    <m/>
    <m/>
    <m/>
    <m/>
    <m/>
    <m/>
    <m/>
    <m/>
    <m/>
    <m/>
    <m/>
    <m/>
    <m/>
    <m/>
    <b v="1"/>
    <m/>
  </r>
  <r>
    <s v="QdKDUXphA0uekyLsE9xEImUAOYsC"/>
    <x v="320"/>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0w8HoxDU806HWNLYC2vlNWUAOx2K"/>
    <x v="321"/>
    <x v="4"/>
    <m/>
    <m/>
    <s v="sop #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m/>
    <m/>
    <m/>
    <m/>
    <m/>
    <m/>
    <m/>
    <m/>
  </r>
  <r>
    <s v="uvq_LTykZUC7WzcAdJoT22UACg5S"/>
    <x v="322"/>
    <x v="6"/>
    <s v="Ivan Solis - Network;Cristofer Orozco - Network;Melanny Camacho - Network;Raquel Bolaños;Andres Esquivel - Network"/>
    <m/>
    <s v="config start date:05/06/24 _x000a_ _x000a_all config blocked start date: _x000a_ _x000a_all config blocked end date: _x000a_ _x000a_config end date:05/2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m/>
    <m/>
    <m/>
    <m/>
    <m/>
    <m/>
    <m/>
    <m/>
  </r>
  <r>
    <s v="M97V9eF7ckqBGz3IjucqyWUAMRVm"/>
    <x v="323"/>
    <x v="6"/>
    <s v="Kimberly Mata - Network;Carlos Rocha - Network;Cristofer Orozco - Network;Melanny Camacho - Network;Raquel Bolanos - Network;Andres Esquivel - Network;Daniela Maroto - Network"/>
    <s v="Skeleton Build"/>
    <s v="config start date:04/29/24 _x000a_ _x000a_all config blocked start date: _x000a_ _x000a_all config blocked end date: _x000a_ _x000a_config end date:05/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m/>
    <m/>
    <m/>
    <m/>
    <m/>
    <m/>
    <m/>
    <b v="1"/>
  </r>
  <r>
    <s v="SkLcGKmLIEKdGtaXcraLKmUABZx-"/>
    <x v="324"/>
    <x v="1"/>
    <s v="Rhoda Gill - Network;Sely Cheung;Nannette Umpierre;Noel Mendez - Network"/>
    <s v="Test Method;Consumable;Raw material;am;Skeleton Build;New"/>
    <s v="config start date: 05/29/24 _x000a_ _x000a_all config blocked start date: _x000a_ _x000a_all config blocked end date: _x000a_ _x000a_config end date: 05/29/24 _x000a_ _x000a_ -------------------------------------------------------------------------------------------- _x000a_ _x000a_all peer review start date:06/19/24 _x000a_ _x000a_all peer review end date:06/19/24 _x000a_ _x000a_all peer review rework required start date: _x000a_ _x000a_all pr rework blocked start date: _x000a_ _x000a_all pr rework blocked end date: _x000a_ _x000a_all peer review rework required end date: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10/24 _x000a_ _x000a_verification assigned to: noel mendez _x000a_ _x000a_all client verification start date: 06/19/2024 _x000a_ _x000a_all client verification end date: 06/21/2024 _x000a_ _x000a_all client rework required start date:07/08/2024 _x000a_ _x000a_all client blocked start date: _x000a_ _x000a_all client blocked end date: _x000a_ _x000a_all client rework required end date:07/18/24 _x000a_ _x000a_-------------------------------------------------------------------------------------------- _x000a_ _x000a_verification complete date: _x000a_ _x000a_ready to migrate date:"/>
    <x v="2"/>
    <x v="1"/>
    <e v="#VALUE!"/>
    <n v="0"/>
    <x v="1"/>
    <n v="1"/>
    <x v="1"/>
    <n v="0"/>
    <n v="0"/>
    <x v="1"/>
    <n v="0"/>
    <n v="0"/>
    <n v="0"/>
    <n v="0"/>
    <x v="1"/>
    <n v="2"/>
    <n v="1"/>
    <x v="1"/>
    <e v="#VALUE!"/>
    <n v="0"/>
    <x v="1"/>
    <m/>
    <m/>
    <x v="1"/>
    <x v="0"/>
    <x v="0"/>
    <x v="1"/>
    <x v="1"/>
    <x v="0"/>
    <b v="1"/>
    <m/>
    <m/>
    <m/>
    <m/>
    <m/>
    <b v="1"/>
    <m/>
    <m/>
    <m/>
    <m/>
    <m/>
    <m/>
    <m/>
    <m/>
    <m/>
    <b v="1"/>
  </r>
  <r>
    <s v="_UlD_yXSwki6a4Yxlw6SNWUAD2CK"/>
    <x v="325"/>
    <x v="4"/>
    <m/>
    <s v="Micro method;New"/>
    <s v="sop # micro-pr-vesph-hyp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vNHI8-v8kCBuKjrkBW7f2UAPcAd"/>
    <x v="326"/>
    <x v="4"/>
    <m/>
    <s v="Micro method;New"/>
    <s v="sop # micro-pr-sodium-thio10%-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u2OPp7EmEazgIXdnpDkEGUAPPGP"/>
    <x v="327"/>
    <x v="4"/>
    <m/>
    <s v="Micro method;New"/>
    <s v="sop # micro-pr-sample-weight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CryVO5ZeikeCqASo6I-Ay2UAC8q-"/>
    <x v="328"/>
    <x v="4"/>
    <m/>
    <s v="Micro method;New"/>
    <s v="sop # micro-pr-rm-fp-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iH4QHpdgWEOxuuFBe9Go3mUACUTm"/>
    <x v="329"/>
    <x v="4"/>
    <m/>
    <s v="Micro method;New"/>
    <s v="sop # micro-pr-ref-std-inventor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1lEXc1RH0Gim_fMHLv1_2UAEGnz"/>
    <x v="330"/>
    <x v="4"/>
    <m/>
    <s v="Micro method;New"/>
    <s v="sop # micro-pr-primus-cycles-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I0ozvTdSE2JWIRksyTbJGUAHstb"/>
    <x v="331"/>
    <x v="4"/>
    <m/>
    <s v="Micro method;New"/>
    <s v="sop # micro-pr-plasmid-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hPMyByfI0qEaIRbE-Wzh2UAKeCn"/>
    <x v="332"/>
    <x v="4"/>
    <m/>
    <s v="Micro method;New"/>
    <s v="sop # micro-pr-phage-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Yz0wvcqfSkucFJVbSuQWwmUAJTtt"/>
    <x v="333"/>
    <x v="4"/>
    <m/>
    <s v="Micro method;New"/>
    <s v="sop # micro-pr-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axKERf2et0WsX1oE6iGKnWUALdxh"/>
    <x v="334"/>
    <x v="4"/>
    <m/>
    <s v="Micro method;New"/>
    <s v="sop # micro-pr-org-rehydratatio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8nAEqhT80u_bWw4q2DNZWUAJIWP"/>
    <x v="335"/>
    <x v="4"/>
    <m/>
    <s v="Micro method;New"/>
    <s v="sop # micro-pr-org-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Ps2Qp0I4Eq0i1i4yO5exWUAGc32"/>
    <x v="336"/>
    <x v="4"/>
    <m/>
    <s v="Micro method;New"/>
    <s v="sop # micro-pr-org-cult-re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CdCRxVZmEShHpKGbT7B52UANsr4"/>
    <x v="337"/>
    <x v="4"/>
    <m/>
    <s v="Micro method;New"/>
    <s v="sop # micro-pr-milli q-daily-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W-1ZJaya0Kum04aGwMUd2UAMNC8"/>
    <x v="338"/>
    <x v="4"/>
    <m/>
    <s v="Micro method;New"/>
    <s v="sop # micro-pr-media-tempering-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NDDihKvLPUuySRD_LpXCs2UAKP60"/>
    <x v="339"/>
    <x v="4"/>
    <m/>
    <s v="Micro method;New"/>
    <s v="sop # micro-pr-media-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HP3QmBDAXkCexmKfcnk102UAIqJn"/>
    <x v="340"/>
    <x v="4"/>
    <m/>
    <s v="Micro method;New"/>
    <s v="sop # micro-pr-mat-me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AJLEwhvDE-RqwMBuQm2tGUAD3uI"/>
    <x v="341"/>
    <x v="4"/>
    <m/>
    <s v="Micro method;New"/>
    <s v="sop # micro-pr-fluid-h-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ob_rcEkrXUm0eu4OTi-nMmUAGn-E"/>
    <x v="342"/>
    <x v="4"/>
    <m/>
    <s v="Micro method;New"/>
    <s v="sop # micro-pr-ecoli-cp1-profil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BDxunDuaz0CA58MkE-XCtmUADNj6"/>
    <x v="343"/>
    <x v="4"/>
    <m/>
    <s v="Micro method;New"/>
    <s v="sop # micro-pr-daily-raw-dat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ea-EBPC2UKF0W1RJ8HPwmUABadq"/>
    <x v="344"/>
    <x v="4"/>
    <m/>
    <s v="Micro method;New"/>
    <s v="sop # micro-pr-comp-air-filter-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7IQG42OMFU-NRKF8OkXm8mUAPasZ"/>
    <x v="345"/>
    <x v="4"/>
    <m/>
    <s v="Micro method;New"/>
    <s v="sop # micro-pr-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04aOcwt8E6AQTZoCZt-FGUAJs2R"/>
    <x v="346"/>
    <x v="4"/>
    <m/>
    <s v="Micro method;New"/>
    <s v="sop # micro-pr-cl-sa-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JYfDZyumEKm47fjTDbuPmUANo5P"/>
    <x v="347"/>
    <x v="4"/>
    <m/>
    <s v="Micro method;New"/>
    <s v="sop # micro-pr-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9hjBW4y25Ei9C5bAAowX62UACZgp"/>
    <x v="348"/>
    <x v="4"/>
    <m/>
    <s v="Micro method;New"/>
    <s v="sop # micro-pr-balance-cal-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NUMQ3DB_kasmLwieK8t3mUAJvCn"/>
    <x v="349"/>
    <x v="4"/>
    <m/>
    <s v="Micro method;New"/>
    <s v="sop # micro- pr-atc-probe-check-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jmE97W1N40u9V6rgJGyi7mUAL6ZS"/>
    <x v="350"/>
    <x v="4"/>
    <m/>
    <s v="Micro method;New"/>
    <s v="sop # micro-pr-amylase-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8xtXWxtKk27ZJ4RN3F1r2UAPrck"/>
    <x v="351"/>
    <x v="4"/>
    <m/>
    <s v="Micro method;New"/>
    <s v="sop # micro-pr-aborted-seq-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mZtPOTIiJEmOGyDmFHKcimUAF_EE"/>
    <x v="352"/>
    <x v="4"/>
    <m/>
    <s v="Micro method;New"/>
    <s v="sop # micro-b1310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IKzeumN3k-_vRq4GS3NVGUAN8JC"/>
    <x v="353"/>
    <x v="4"/>
    <m/>
    <s v="Micro method;New"/>
    <s v="sop # micro-b1228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F-O5t0APIUC5oIUw04uviWUAKPEX"/>
    <x v="354"/>
    <x v="4"/>
    <m/>
    <s v="Micro method;New"/>
    <s v="sop # micro-b1228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5VoqWUjrlEmYmVoxZbY2vmUAGVkL"/>
    <x v="355"/>
    <x v="4"/>
    <m/>
    <s v="Micro method;New"/>
    <s v="sop # micro-b1228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p97EIajMKUCeSirdEgWsEmUABzru"/>
    <x v="356"/>
    <x v="4"/>
    <m/>
    <s v="Micro method;New"/>
    <s v="sop # micro-b1228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OSwA90zTE-gFwAH8tj5VGUAFUeX"/>
    <x v="357"/>
    <x v="4"/>
    <m/>
    <s v="Micro method;New"/>
    <s v="sop # micro-b12282-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EMxMvlK0JEyt7Lrg4_MqPGUAE8iu"/>
    <x v="358"/>
    <x v="4"/>
    <m/>
    <s v="Micro method;New"/>
    <s v="sop # micro-b1228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COoaWYqckeozXHwJPw2n2UAPyj5"/>
    <x v="359"/>
    <x v="4"/>
    <m/>
    <s v="Micro method;New"/>
    <s v="sop # micro-b1228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JQZD78bhEuh-QlHEeDOYGUAF2K1"/>
    <x v="360"/>
    <x v="4"/>
    <m/>
    <s v="Micro method;New"/>
    <s v="sop # micro-b1227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b70BTJhk0e0knBprv3HCWUANuG4"/>
    <x v="361"/>
    <x v="4"/>
    <m/>
    <s v="Micro method;New"/>
    <s v="sop # micro-b12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pzcv7AohUiMhdg-Flr32WUAPwXP"/>
    <x v="362"/>
    <x v="4"/>
    <m/>
    <s v="Micro method;New"/>
    <s v="sop # micro-b1227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KdJArQGpk2r2dk3Ax5aTWUAJQqg"/>
    <x v="363"/>
    <x v="4"/>
    <m/>
    <s v="Micro method;New"/>
    <s v="sop # micro-b122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2Sz0Ms5FESDqOhm6SkMDGUAKVaI"/>
    <x v="364"/>
    <x v="4"/>
    <m/>
    <s v="Micro method;New"/>
    <s v="sop # micro-b12176-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_KkQ7Yiz0GTorgDJv0b-GUABN7Y"/>
    <x v="365"/>
    <x v="4"/>
    <m/>
    <s v="Micro method;New"/>
    <s v="sop # micro-b1127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r_Oj9E0AfUajSlL22EH7S2UAJgXy"/>
    <x v="366"/>
    <x v="4"/>
    <m/>
    <s v="Micro method;New"/>
    <s v="sop # micro-b10891-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Aw_LeJKZEmpAujGl4I5c2UAMNca"/>
    <x v="367"/>
    <x v="4"/>
    <m/>
    <s v="Micro method;New"/>
    <s v="sop # micro-b1052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28vu51fYfE2gxKIk0EqM7WUAFXka"/>
    <x v="368"/>
    <x v="4"/>
    <m/>
    <s v="Micro method;New"/>
    <s v="sop # micro-b0721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LX9L8ZWDr0eDwwiFtHwgA2UAI3yn"/>
    <x v="369"/>
    <x v="4"/>
    <m/>
    <s v="Micro method;New"/>
    <s v="sop # micro-b0388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zW4-TAeBF0al8iwVt1f4hWUAFbiQ"/>
    <x v="370"/>
    <x v="4"/>
    <m/>
    <s v="Micro method;New"/>
    <s v="sop # micro-b01959-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kXP0uPNFUUWRKzjUWimo92UALRKB"/>
    <x v="371"/>
    <x v="4"/>
    <m/>
    <s v="Micro method;New"/>
    <s v="sop # micro-000368-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z8KoY4p_Uuz8sWFjtJqsmUAIyqa"/>
    <x v="372"/>
    <x v="4"/>
    <m/>
    <s v="Micro method;New"/>
    <s v="sop # micro-00034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_J_W1mdPB02byZYzO24KS2UADyQB"/>
    <x v="373"/>
    <x v="4"/>
    <m/>
    <s v="Micro method;New"/>
    <s v="sop # micro-000335-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v4aXJMW6OUCJj3tTFc6NnGUAIXj5"/>
    <x v="374"/>
    <x v="4"/>
    <m/>
    <s v="Micro method;New"/>
    <s v="sop # micro-000334-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qNqnSWMB8k6GbAblma0qTGUAKRzk"/>
    <x v="375"/>
    <x v="4"/>
    <m/>
    <s v="Micro method;New"/>
    <s v="sop # micro-000237-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6VLx_n2ri0G9rEzKnVhoQWUAJNrl"/>
    <x v="376"/>
    <x v="4"/>
    <m/>
    <s v="Micro method;New"/>
    <s v="sop # micro-000230-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WYnqL3FPyUK4bYDyTVzKB2UAKvbP"/>
    <x v="377"/>
    <x v="4"/>
    <m/>
    <s v="Micro method;New"/>
    <s v="sop # micro-000206-local-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DN7elK_xvEC7XWvqPKvzsGUADYTI"/>
    <x v="378"/>
    <x v="4"/>
    <m/>
    <s v="Micro method;New"/>
    <s v="sop # ldc-micro-mth-18203-loc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b v="1"/>
    <m/>
    <m/>
    <m/>
    <m/>
    <m/>
    <m/>
    <m/>
    <m/>
  </r>
  <r>
    <s v="GCkii5PlHUOXl69TBMIjUWUAKR0E"/>
    <x v="379"/>
    <x v="5"/>
    <s v="Cristofer Orozco - Network"/>
    <s v="NMP method;New"/>
    <s v="sop # pr5-weights-registr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Vtv09IPiUyDkOczm_x8GmUAFgEf"/>
    <x v="380"/>
    <x v="12"/>
    <s v="Joshua Vargas - Network;Daniela Maroto - Network"/>
    <s v="NMP method;New;Do not delete"/>
    <s v="sop # pr5-sul-buf-prep-nmp _x000a_  _x000a_config start date: 07/08/2024 _x000a_ _x000a_all config blocked start date:  _x000a_ _x000a_all config blocked end date:   _x000a_ _x000a_config end date: 07/0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4ZnSOHC1ckiul1q0PX1XPWUAOhJw"/>
    <x v="381"/>
    <x v="12"/>
    <s v="Javier Coronado - Network"/>
    <s v="NMP method;New;Do not delete"/>
    <s v="sop # pr5-std-prep-nmp _x000a_ _x000a_config start date: 07/18/2024 _x000a_ _x000a_all config blocked start date:  _x000a_ _x000a_all config blocked end date:   _x000a_ _x000a_config end date: 07/19/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e5FzUCI2KEyI96hALiTJgmUAIfh-"/>
    <x v="382"/>
    <x v="4"/>
    <s v="Carlos Rocha - Network"/>
    <s v="NMP method;New"/>
    <s v="sop # pr5-standardiz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EQCTlAJzkG6JxXu-iz_mWUAA3YR"/>
    <x v="383"/>
    <x v="12"/>
    <s v="Ivan Solis - Network;Nannette Umpierre"/>
    <s v="NMP method;am;New"/>
    <s v="sop # pr5-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bz8JWNFuXEGhu9WkD3tU_WUACtIF"/>
    <x v="384"/>
    <x v="12"/>
    <s v="Ivan Solis - Network;Miguel A Lozada;Nannette Umpierre"/>
    <s v="Consumable;NMP method;am;New"/>
    <s v="sop # pr5-soln-9.6n hc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2gnzskbp0qOwnSEioTZzWUAK0vv"/>
    <x v="385"/>
    <x v="7"/>
    <s v="Fabian Soma - Network"/>
    <s v="Blocked;NMP method;New"/>
    <s v="sop # pr5-smart5-cal-nmp _x000a_  _x000a_config start date:07/18/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oGveTZBH3UaWyobTQ2ixdWUACMz-"/>
    <x v="386"/>
    <x v="4"/>
    <s v="Fabian Soma - Network"/>
    <s v="NMP method;New"/>
    <s v="sop # pr5-rm-ts-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N355_J4ryEC26EWPAO0YLWUAOpnW"/>
    <x v="387"/>
    <x v="7"/>
    <s v="Ivan Solis - Network"/>
    <s v="NMP method;New"/>
    <s v="sop # pr5-rm-sr-oldd-nmp _x000a_  _x000a_config start date: 7/26/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yofOa4Qo30SFIgB9uAS6_mUANiIh"/>
    <x v="388"/>
    <x v="5"/>
    <s v="Daniel Bonilla - Network"/>
    <s v="NMP method;New"/>
    <s v="sop # pr5-rm-serine-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qexxvS_aU-w7OE3D4a882UAOB2S"/>
    <x v="389"/>
    <x v="7"/>
    <s v="Joshua Vargas - Network"/>
    <s v="NMP method;New"/>
    <s v="sop # pr5-rm-mp-oldd-nmp _x000a_ _x000a_config start date: 07/2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6hd5VC-GQUS1OEj2kk0-yWUAAX3T"/>
    <x v="390"/>
    <x v="6"/>
    <s v="Daniela Maroto - Network"/>
    <s v="NMP method;New"/>
    <s v="sop # pr5-rm-kf-factor-nmp _x000a_ _x000a_config start date: 07/01/2024 _x000a_ _x000a_all config blocked start date: 07/01/2024 _x000a_ _x000a_all config blocked end date: 07/17/2024  _x000a_ _x000a_config end date: 7/2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e v="#VALUE!"/>
    <x v="1"/>
    <n v="0"/>
    <x v="0"/>
    <n v="0"/>
    <n v="0"/>
    <x v="1"/>
    <n v="0"/>
    <n v="0"/>
    <n v="0"/>
    <n v="0"/>
    <x v="1"/>
    <n v="0"/>
    <n v="0"/>
    <x v="0"/>
    <n v="0"/>
    <n v="0"/>
    <x v="1"/>
    <m/>
    <m/>
    <x v="0"/>
    <x v="0"/>
    <x v="0"/>
    <x v="0"/>
    <x v="0"/>
    <x v="0"/>
    <m/>
    <m/>
    <m/>
    <m/>
    <m/>
    <m/>
    <m/>
    <m/>
    <m/>
    <b v="1"/>
    <m/>
    <m/>
    <m/>
    <m/>
    <m/>
    <m/>
    <m/>
  </r>
  <r>
    <s v="l6Ivr9x-S0mHmwmewMlI-mUAMcQY"/>
    <x v="391"/>
    <x v="5"/>
    <s v="Daniel Bonilla - Network"/>
    <s v="NMP method;New"/>
    <s v="sop # pr5-rm-iron-oldd-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4r7vldajck-HXFiVyaT2zGUAGQj2"/>
    <x v="392"/>
    <x v="6"/>
    <m/>
    <s v="NMP method;am;New"/>
    <s v="sop # pr5-rm-drying_x000a_materials-nmp _x000a_ _x000a_config start date: 07/01/2024 _x000a_ _x000a_all config blocked start date:07/01/2024 _x000a_ _x000a_all config blocked end date: 07/17/2024 _x000a_ _x000a_config end date: 0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e v="#VALUE!"/>
    <x v="1"/>
    <n v="0"/>
    <x v="0"/>
    <n v="0"/>
    <n v="0"/>
    <x v="1"/>
    <n v="0"/>
    <n v="0"/>
    <n v="0"/>
    <n v="0"/>
    <x v="1"/>
    <n v="0"/>
    <n v="0"/>
    <x v="0"/>
    <n v="0"/>
    <n v="0"/>
    <x v="1"/>
    <m/>
    <m/>
    <x v="0"/>
    <x v="0"/>
    <x v="0"/>
    <x v="0"/>
    <x v="0"/>
    <x v="0"/>
    <m/>
    <m/>
    <m/>
    <m/>
    <m/>
    <m/>
    <m/>
    <m/>
    <m/>
    <b v="1"/>
    <m/>
    <m/>
    <m/>
    <m/>
    <m/>
    <m/>
    <m/>
  </r>
  <r>
    <s v="82KzvaKjHk2VrLLzbG3uTmUAMIhk"/>
    <x v="393"/>
    <x v="12"/>
    <m/>
    <s v="NMP method;New"/>
    <s v="sop # pr5-ref-std-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zSlh--tWU-_YTwEFDyem2UAD_DJ"/>
    <x v="394"/>
    <x v="12"/>
    <m/>
    <s v="NMP method;New"/>
    <s v="sop # pr5-reagen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v725g2l35Uet5qh3mFmA-WUAIWsq"/>
    <x v="395"/>
    <x v="4"/>
    <s v="Kimberly Mata - Network"/>
    <s v="NMP method;New"/>
    <s v="sop # pr5-plate-read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5kgwPrCKk-BQvPt5DPg5mUAAvrP"/>
    <x v="396"/>
    <x v="12"/>
    <s v="Javier Coronado - Network"/>
    <s v="NMP method;New"/>
    <s v="sop # pr5-pipette-cal-check-nmp _x000a_ _x000a_config start date: 07/23/2024 _x000a_ _x000a_all config blocked start date:  _x000a_ _x000a_all config blocked end date:   _x000a_ _x000a_config end date: 07/2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jSB7MKRTAEOEjNFvyysIdmUAEgur"/>
    <x v="397"/>
    <x v="4"/>
    <m/>
    <s v="NMP method;New"/>
    <s v="sop # pr5-ph-meter-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hGyrjBPaw0ON80oPLdoJxGUAD24u"/>
    <x v="398"/>
    <x v="4"/>
    <m/>
    <s v="NMP method;New"/>
    <s v="sop # pr5-ph-determination-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7_o19svnyUqujhz0JgMqDGUAH5Tx"/>
    <x v="399"/>
    <x v="6"/>
    <s v="Daniel Bonilla - Network;Rhoda Gill"/>
    <s v="NMP method;am;New"/>
    <s v="sop # pr5-osa-lod-nmp _x000a_ _x000a_config start date:05/13/24 _x000a_ _x000a_all config blocked start date: _x000a_ _x000a_all config blocked end date: _x000a_ _x000a_config end date:05/1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BwScA_7wE0KnoJW8Gd00x2UAHO3j"/>
    <x v="400"/>
    <x v="14"/>
    <s v="Joseph Alexander - Network"/>
    <s v="Instrument;NMP method;am"/>
    <s v="sop # pr5-milli-q-daily-check-nmp _x000a_ _x000a_config start date: 06/03/24 _x000a_ _x000a_all config blocked start date: _x000a_ _x000a_all config blocked end date: _x000a_ _x000a_config end date: 06/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b v="1"/>
    <m/>
    <m/>
    <m/>
    <m/>
    <m/>
    <m/>
    <b v="1"/>
    <m/>
    <m/>
    <m/>
    <m/>
    <m/>
    <m/>
    <m/>
  </r>
  <r>
    <s v="MILMW3PEjEOWAQhltIPty2UAJua-"/>
    <x v="401"/>
    <x v="12"/>
    <s v="Joshua Vargas - Network"/>
    <s v="NMP method;am;New"/>
    <s v="sop # pr5-mat-reg-nmp_x000a_ _x000a_config start date: _x000a_ _x000a_all config blocked start date: 6/28/2024 _x000a_ _x000a_all config blocked end date: 7/18/2024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e v="#VALUE!"/>
    <x v="1"/>
    <n v="0"/>
    <x v="0"/>
    <n v="0"/>
    <n v="0"/>
    <x v="1"/>
    <n v="0"/>
    <n v="0"/>
    <n v="0"/>
    <n v="0"/>
    <x v="1"/>
    <n v="0"/>
    <n v="0"/>
    <x v="0"/>
    <n v="0"/>
    <n v="0"/>
    <x v="1"/>
    <m/>
    <m/>
    <x v="0"/>
    <x v="0"/>
    <x v="0"/>
    <x v="0"/>
    <x v="0"/>
    <x v="0"/>
    <m/>
    <m/>
    <m/>
    <m/>
    <m/>
    <m/>
    <m/>
    <m/>
    <m/>
    <b v="1"/>
    <m/>
    <m/>
    <m/>
    <m/>
    <m/>
    <m/>
    <m/>
  </r>
  <r>
    <s v="1JU9nu_Q3Ua0DaiicqHSO2UAL39X"/>
    <x v="402"/>
    <x v="5"/>
    <s v="Joshua Vargas - Network"/>
    <s v="NMP method;New"/>
    <s v="sop # pr5-glassware_x000a_cleaning-nmp _x000a_ _x000a_config start date: _x000a_ _x000a_all config blocked start date: 6/27/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e v="#VALUE!"/>
    <x v="1"/>
    <n v="0"/>
    <x v="0"/>
    <n v="0"/>
    <n v="0"/>
    <x v="1"/>
    <n v="0"/>
    <n v="0"/>
    <n v="0"/>
    <n v="0"/>
    <x v="1"/>
    <n v="0"/>
    <n v="0"/>
    <x v="0"/>
    <n v="0"/>
    <n v="0"/>
    <x v="1"/>
    <m/>
    <m/>
    <x v="0"/>
    <x v="0"/>
    <x v="0"/>
    <x v="0"/>
    <x v="0"/>
    <x v="0"/>
    <m/>
    <m/>
    <m/>
    <m/>
    <m/>
    <m/>
    <m/>
    <m/>
    <m/>
    <b v="1"/>
    <m/>
    <m/>
    <m/>
    <m/>
    <m/>
    <m/>
    <m/>
  </r>
  <r>
    <s v="bJUHsQwWMECt9vbEdZi-UGUACZQa"/>
    <x v="403"/>
    <x v="4"/>
    <m/>
    <s v="Blocked;NMP method;New"/>
    <s v="sop # pr5-g2141-system-sui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7tGsOO4o06YmjHcPOQIyGUAD1kF"/>
    <x v="404"/>
    <x v="7"/>
    <s v="Manu Serrano - Network"/>
    <s v="NMP method;New"/>
    <s v="//sop # pr5-g2141-std-prep-nmp _x000a_ _x000a_config start date:  7/29/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r2qVWiY1OE6CGaPG7BqQhmUABZgk"/>
    <x v="405"/>
    <x v="12"/>
    <s v="Daniel Bonilla - Network"/>
    <s v="NMP method;am;New"/>
    <s v="sop # pr5-g2141-soln-prep-nmp _x000a_ _x000a_config start date: 07/02/2024 _x000a_ _x000a_all config blocked start date:  _x000a_ _x000a_all config blocked end date:   _x000a_ _x000a_config end date: 07/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I83fk5pyjUmC0rFYvgA0UmUAPquy"/>
    <x v="406"/>
    <x v="4"/>
    <s v="Carlos Rocha - Network"/>
    <s v="NMP method;New"/>
    <s v="sop # pr5-column-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MkOmB_NCpUi0777qk3JTwGUAEuzH"/>
    <x v="407"/>
    <x v="4"/>
    <s v="Carlos Rocha - Network"/>
    <s v="NMP method;New"/>
    <s v="sop # pr5-coat-buffer-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eQSPYIrfki6KNFXk3ESW2UAOnBE"/>
    <x v="408"/>
    <x v="4"/>
    <m/>
    <s v="NMP method;New"/>
    <s v="sop # pr5-cm-pm-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sEbgX6Og6kqZ2u7_lq6HL2UAIDr6"/>
    <x v="409"/>
    <x v="4"/>
    <s v="Carlos Rocha - Network"/>
    <s v="NMP method;New"/>
    <s v="sop # pr5-blotto-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D0zvzGaoEUOQwFrRhsEeNGUAMTWG"/>
    <x v="410"/>
    <x v="4"/>
    <m/>
    <s v="NMP method;New"/>
    <s v="sop # pr5-basic-statistics-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LFA1l9Ueb0a4ucmnwBQv2WUANySq"/>
    <x v="411"/>
    <x v="4"/>
    <s v="Carlos Rocha - Network"/>
    <s v="NMP method;New"/>
    <s v="sop # pr5-balance-wt-set-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c4EhXQoySEGbzi0UMpUFm2UAL35z"/>
    <x v="412"/>
    <x v="4"/>
    <m/>
    <s v="NMP method;New"/>
    <s v="sop # pr5-balance-req-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6SPvuvdIBE-_dvq1g3-TjWUAFr1s"/>
    <x v="413"/>
    <x v="14"/>
    <s v="Joseph Alexander - Network;Rhoda Gill"/>
    <s v="Instrument;NMP method;am"/>
    <s v="sop # pr5-balance-cal-check-nmp _x000a_ _x000a_config start date: 05/29/24 _x000a_ _x000a_all config blocked start date: _x000a_ _x000a_all config blocked end date: _x000a_ _x000a_config end date: 06/0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b v="1"/>
    <m/>
    <m/>
    <m/>
    <m/>
    <m/>
    <m/>
    <b v="1"/>
    <m/>
    <m/>
    <m/>
    <m/>
    <m/>
    <m/>
    <m/>
  </r>
  <r>
    <s v="bVy0T2FPQU2DUaDKYxwTDWUAOdUV"/>
    <x v="414"/>
    <x v="4"/>
    <m/>
    <s v="NMP method;New"/>
    <s v="sop # pr5-b13269-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jvC5fhK8i0WpYbybbEmSymUAMqsa"/>
    <x v="415"/>
    <x v="5"/>
    <s v="Fabian Soma - Network"/>
    <s v="Blocked;NMP method;New"/>
    <s v="sop # pr5-b13269-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ettBFOv0akCbRvMr16-LOWUAPTrB"/>
    <x v="416"/>
    <x v="5"/>
    <s v="Fabian Soma - Network"/>
    <s v="Blocked;NMP method;New"/>
    <s v="sop # pr5-b13269-cal-curve-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Z0iyWRt2AEWAY89NV3UaKWUAKHAM"/>
    <x v="417"/>
    <x v="12"/>
    <s v="Ivan Solis - Network;Nannette Umpierre"/>
    <s v="NMP method;am;New"/>
    <s v="sop # pr5-b10527-analyte-conc-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WTJGpcCwWE2f8XuHUti9cGUAKcEY"/>
    <x v="418"/>
    <x v="6"/>
    <s v="Ivan Solis - Network"/>
    <s v="NMP method;am;New"/>
    <s v="sop # pr5-b10042-std-prep-nmp _x000a_ _x000a_config start date: 07/04/24 _x000a_ _x000a_all config blocked start date:  _x000a_ _x000a_all config blocked end date:   _x000a_ _x000a_config end date: 07/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3DhhRqFAT0ePHLWWQM_hoWUAPaMD"/>
    <x v="419"/>
    <x v="12"/>
    <s v="Joshua Vargas - Network"/>
    <s v="NMP method;New;Do not delete"/>
    <s v="sop # pr5-b09997-2 pct hno3-prep-nmp _x000a_ _x000a_config start date: 06/25/2024 _x000a_ _x000a_all config blocked start date:  _x000a_ _x000a_all config blocked end date:   _x000a_ _x000a_config end date: 07/0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gIqzb623SUeP0igvMWBIPWUAMtSS"/>
    <x v="420"/>
    <x v="12"/>
    <s v="Cristofer Orozco - Network"/>
    <s v="NMP method;am;New"/>
    <s v="sop # pr5-b09997-01 pct hno3-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2KQRsJYM0kuH6dUOinXiK2UAMwCm"/>
    <x v="421"/>
    <x v="12"/>
    <s v="Daniela Maroto - Network"/>
    <s v="NMP method;New;Do not delete"/>
    <s v="sop # pr5-b09143-std-prep-nmp _x000a_ _x000a_config start date:07/08/2024 _x000a_ _x000a_all config blocked start date: _x000a_ _x000a_all config blocked end date: _x000a_ _x000a_config end date:0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zTv3LKvDA0CWHzIAQSnWdGUABzKK"/>
    <x v="422"/>
    <x v="6"/>
    <s v="Melanny Camacho - Network"/>
    <s v="NMP method;am;New"/>
    <s v="sop # pr5-b05054-std-prep-nmp _x000a_ _x000a_config start date: 07/10/2024 _x000a_ _x000a_all config blocked start date:na _x000a_ _x000a_all config blocked end date:na _x000a_ _x000a_config end date: 07/16/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w-3s84BRHkOWeUCOzYlW3mUAKepb"/>
    <x v="423"/>
    <x v="4"/>
    <s v="Kimberly Mata - Network"/>
    <s v="NMP method;New"/>
    <s v="sop # pr5-b0505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PzPfFm1a3Ueb2amm2o-_4WUAKz_y"/>
    <x v="424"/>
    <x v="12"/>
    <s v="Daniel Bonilla - Network"/>
    <s v="NMP method;am;New"/>
    <s v="sop # pr5-b03884-std-prep-nmp _x000a_ _x000a_config start date:  7/10/2024 _x000a_ _x000a_all config blocked start date: n/a _x000a_ _x000a_all config blocked end date:  n/a _x000a_ _x000a_config end date: 7/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K-lgsTNDI0K4m3TgVr4_QmUAFNcr"/>
    <x v="425"/>
    <x v="12"/>
    <s v="Kimberly Mata - Network"/>
    <s v="NMP method;am;New"/>
    <s v="sop # pr5-b03884-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DeAuMLp4GkyitzgxwEns1GUAOGhS"/>
    <x v="426"/>
    <x v="12"/>
    <s v="Kimberly Mata - Network"/>
    <s v="NMP method;New"/>
    <s v="sop # pr5-b0362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hw_oQCytikSbehMbyK6cf2UANIl2"/>
    <x v="427"/>
    <x v="7"/>
    <s v="Melanny Camacho - Network"/>
    <s v="NMP method;New"/>
    <s v="sop # pr5-b00834-std-prep-nmp _x000a_ _x000a_config start date: 07/15/2024 _x000a_ _x000a_all config blocked start date: 07/16/2024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e v="#VALUE!"/>
    <x v="1"/>
    <n v="0"/>
    <x v="0"/>
    <n v="0"/>
    <n v="0"/>
    <x v="1"/>
    <n v="0"/>
    <n v="0"/>
    <n v="0"/>
    <n v="0"/>
    <x v="1"/>
    <n v="0"/>
    <n v="0"/>
    <x v="0"/>
    <n v="0"/>
    <n v="0"/>
    <x v="1"/>
    <m/>
    <m/>
    <x v="0"/>
    <x v="0"/>
    <x v="0"/>
    <x v="0"/>
    <x v="0"/>
    <x v="0"/>
    <m/>
    <m/>
    <m/>
    <m/>
    <m/>
    <m/>
    <m/>
    <m/>
    <m/>
    <b v="1"/>
    <m/>
    <m/>
    <m/>
    <m/>
    <m/>
    <m/>
    <m/>
  </r>
  <r>
    <s v="cSdTbS6KrEOWfjp6qnlNMmUANIVe"/>
    <x v="428"/>
    <x v="12"/>
    <s v="Javier Coronado - Network"/>
    <s v="NMP method;New;Do not delete"/>
    <s v="sop # pr5-b00834-eluent1-prep-nmp _x000a_ _x000a_config start date: 07/04/24 _x000a_ _x000a_all config blocked start date:  _x000a_ _x000a_all config blocked end date:   _x000a_ _x000a_config end date: 07/08/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zXhSfwvzQk-aZANOp50ZwWUADxvg"/>
    <x v="429"/>
    <x v="12"/>
    <s v="Javier Coronado - Network"/>
    <s v="NMP method;New;Do not delete"/>
    <s v="sop # pr5-b00782-soln-prep-nmp _x000a_ _x000a_config start date: 07/02/24 _x000a_ _x000a_all config blocked start date:  _x000a_ _x000a_all config blocked end date:   _x000a_ _x000a_config end date: 07/04/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m/>
    <m/>
    <m/>
    <m/>
    <m/>
    <m/>
    <m/>
    <m/>
    <m/>
    <b v="1"/>
    <m/>
    <m/>
    <m/>
    <m/>
    <m/>
    <m/>
    <m/>
  </r>
  <r>
    <s v="k8Bk-cg35EaUiaCH2mcwrGUAHsmX"/>
    <x v="430"/>
    <x v="12"/>
    <s v="Cristofer Orozco - Network"/>
    <s v="NMP method;New"/>
    <s v="sop # pr5-b00781-eluents-ss-prep-nmp _x000a_ _x000a_config start date:07/16/24 _x000a_ _x000a_all config blocked start date:07/17/24 _x000a_ _x000a_all config blocked end date: 07/17/24 _x000a_ _x000a_config end date: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e v="#VALUE!"/>
    <x v="1"/>
    <n v="0"/>
    <x v="0"/>
    <n v="0"/>
    <n v="0"/>
    <x v="1"/>
    <n v="0"/>
    <n v="0"/>
    <n v="0"/>
    <n v="0"/>
    <x v="1"/>
    <n v="0"/>
    <n v="0"/>
    <x v="0"/>
    <n v="0"/>
    <n v="0"/>
    <x v="1"/>
    <m/>
    <m/>
    <x v="0"/>
    <x v="0"/>
    <x v="0"/>
    <x v="0"/>
    <x v="0"/>
    <x v="0"/>
    <m/>
    <m/>
    <m/>
    <m/>
    <m/>
    <m/>
    <m/>
    <m/>
    <m/>
    <b v="1"/>
    <m/>
    <m/>
    <m/>
    <m/>
    <m/>
    <m/>
    <m/>
  </r>
  <r>
    <s v="59Uq1C8CIkOcW6xGl52DEWUANALL"/>
    <x v="431"/>
    <x v="14"/>
    <s v="Joseph Alexander - Network;Rhoda Gill"/>
    <s v="Instrument;NMP method;am"/>
    <s v="sop # pr5-atc-probe-check-nmp _x000a_ _x000a_config start date: 06/05/24 _x000a_ _x000a_all config blocked start date: _x000a_ _x000a_all config blocked end date: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b v="1"/>
    <m/>
    <m/>
    <m/>
    <m/>
    <m/>
    <m/>
    <b v="1"/>
    <m/>
    <m/>
    <m/>
    <m/>
    <m/>
    <m/>
    <m/>
  </r>
  <r>
    <s v="Bm9o55Rcj02FkFh5eo6dNGUAO2oc"/>
    <x v="432"/>
    <x v="12"/>
    <s v="Joshua Vargas - Network"/>
    <s v="NMP method;New;Do not delete"/>
    <s v="sop # pr5-a13454-general assay-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q9J94zqziEy9ssilyDccx2UAFmlb"/>
    <x v="433"/>
    <x v="12"/>
    <s v="Cristofer Orozco - Network"/>
    <s v="NMP method;am;New"/>
    <s v="sop # pr5-01n hcl-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XrcfZYqSmUqvdwq-nGCRiWUAJufZ"/>
    <x v="434"/>
    <x v="5"/>
    <s v="Ivan Solis - Network"/>
    <s v="Blocked;NMP method;New"/>
    <s v="sop # pr5-aborted-seq-lo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GkE2bNgaE6_8PPKgv9E22UAGiWu"/>
    <x v="435"/>
    <x v="7"/>
    <s v="Joshua Vargas - Network"/>
    <s v="NMP method;New"/>
    <s v="sop # pr5-000346-std-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Xg2o6Amy202jboMbEnuFU2UAIgwy"/>
    <x v="436"/>
    <x v="7"/>
    <s v="Joshua Vargas - Network"/>
    <s v="NMP method;am;New"/>
    <s v="sop # pr5-000346-soln-prep-nmp _x000a_ _x000a_config start date: 7/3/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nWJq6DOKXUGnRFacZgqu0mUAEqCb"/>
    <x v="437"/>
    <x v="5"/>
    <s v="Andres Esquivel - Network"/>
    <s v="Blocked;NMP method;New"/>
    <s v="sop # pr5-000346-cal-curve-nmp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n v="0"/>
    <n v="0"/>
    <x v="1"/>
    <n v="0"/>
    <x v="0"/>
    <n v="0"/>
    <n v="0"/>
    <x v="1"/>
    <n v="0"/>
    <n v="0"/>
    <n v="0"/>
    <n v="0"/>
    <x v="1"/>
    <n v="0"/>
    <n v="0"/>
    <x v="0"/>
    <n v="0"/>
    <n v="0"/>
    <x v="1"/>
    <m/>
    <m/>
    <x v="0"/>
    <x v="0"/>
    <x v="0"/>
    <x v="0"/>
    <x v="0"/>
    <x v="0"/>
    <m/>
    <m/>
    <m/>
    <m/>
    <m/>
    <m/>
    <m/>
    <m/>
    <m/>
    <b v="1"/>
    <m/>
    <m/>
    <m/>
    <m/>
    <m/>
    <m/>
    <m/>
  </r>
  <r>
    <s v="JXFdJ4ZszkC7ZrhanP3m4mUAGrx-"/>
    <x v="438"/>
    <x v="6"/>
    <s v="Andres Esquivel - Network"/>
    <s v="NMP method;am;New"/>
    <s v="sop # pr5-000342-std-prep-nmp _x000a_ _x000a_config start date: 05/06/24 _x000a_ _x000a_all config blocked start date:  _x000a_ _x000a_all config blocked end date:   _x000a_ _x000a_config end date: 07/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m/>
    <m/>
    <m/>
    <m/>
    <m/>
    <m/>
    <m/>
    <m/>
    <m/>
    <b v="1"/>
    <m/>
    <m/>
    <m/>
    <m/>
    <m/>
    <m/>
    <m/>
  </r>
  <r>
    <s v="Pn5_MuJMgkWJyACQq32_YmUAGb_Q"/>
    <x v="439"/>
    <x v="12"/>
    <s v="Cristofer Orozco - Network"/>
    <s v="NMP method;am;New"/>
    <s v="sop # pr5-000342-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n v="0"/>
    <n v="0"/>
    <x v="1"/>
    <n v="0"/>
    <x v="0"/>
    <n v="0"/>
    <n v="0"/>
    <x v="1"/>
    <n v="0"/>
    <n v="0"/>
    <n v="0"/>
    <n v="0"/>
    <x v="1"/>
    <n v="0"/>
    <n v="0"/>
    <x v="0"/>
    <n v="0"/>
    <n v="0"/>
    <x v="1"/>
    <m/>
    <m/>
    <x v="0"/>
    <x v="0"/>
    <x v="0"/>
    <x v="0"/>
    <x v="0"/>
    <x v="0"/>
    <m/>
    <m/>
    <m/>
    <m/>
    <m/>
    <m/>
    <m/>
    <m/>
    <m/>
    <b v="1"/>
    <m/>
    <m/>
    <m/>
    <m/>
    <m/>
    <m/>
    <m/>
  </r>
  <r>
    <s v="tWckGhz940GnLsxRGq4QhWUALW4R"/>
    <x v="440"/>
    <x v="4"/>
    <s v="Carlos Rocha - Network"/>
    <s v="NMP method;New"/>
    <s v="sop # pr5-000231-std-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YQNMrLxSFkW2r0gE6UC5aGUACu8_"/>
    <x v="441"/>
    <x v="4"/>
    <s v="Carlos Rocha - Network"/>
    <s v="NMP method;New"/>
    <s v="sop # pr5-000231-soln-prep-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Eoqb0qOHuEOKjCPBMNucfGUAP9rM"/>
    <x v="442"/>
    <x v="4"/>
    <m/>
    <s v="NMP method;New"/>
    <s v="sop # pr05-hplc-pm-cal-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1XdfzioVEUOyAjrJJAeKtWUAFDDt"/>
    <x v="443"/>
    <x v="4"/>
    <m/>
    <s v="NMP method;New"/>
    <s v="sop # micro-pr-weight-set-reg-nmp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m/>
    <m/>
    <m/>
    <m/>
    <m/>
    <m/>
    <m/>
    <m/>
    <b v="1"/>
    <m/>
    <m/>
    <m/>
    <m/>
    <m/>
    <m/>
    <m/>
  </r>
  <r>
    <s v="bFVyGaPotkWhZja6XhutfWUAJdMK"/>
    <x v="444"/>
    <x v="4"/>
    <m/>
    <s v="Test Method;Consumable;In Process;New;Full Build"/>
    <s v="sop # b04338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m/>
    <m/>
    <m/>
    <b v="1"/>
    <m/>
  </r>
  <r>
    <s v="kbvdvC-hEE-UtimAjWJmEmUABJTS"/>
    <x v="445"/>
    <x v="7"/>
    <s v="Fabian Soma - Network;Daniel Bonilla - Network;Daniela Maroto - Network"/>
    <s v="Test Method;Consumable;In Process;New;Full Build"/>
    <s v="sop#b04331 _x000a_ _x000a_config start date: 07/31/2024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m/>
    <m/>
    <m/>
    <m/>
    <b v="1"/>
    <m/>
    <m/>
    <m/>
    <m/>
    <b v="1"/>
    <m/>
  </r>
  <r>
    <s v="30KoR4ccs0mGhCTSndNFMmUAPvLa"/>
    <x v="446"/>
    <x v="12"/>
    <s v="Rhoda Gill;Daniela Maroto - Network"/>
    <s v="Test Method;Raw material;Skeleton Build;New"/>
    <s v="sop#b04261 _x000a_ _x000a_config start date:05/22/24 _x000a_ _x000a_all config blocked start date: _x000a_ _x000a_all config blocked end date: _x000a_ _x000a_config end date: 05/2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b v="1"/>
    <m/>
    <m/>
    <m/>
    <m/>
    <m/>
    <b v="1"/>
    <m/>
    <m/>
    <m/>
    <m/>
    <m/>
    <m/>
    <m/>
    <m/>
    <m/>
    <b v="1"/>
  </r>
  <r>
    <s v="dcbIhSczA0OGAIn9yZDJOWUAGVZ2"/>
    <x v="447"/>
    <x v="4"/>
    <m/>
    <s v="Test Method;Consumable;In Process;Empower ;New;Full Build"/>
    <s v="sop # b0388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GjH5bYfMY0C29xlCx4AExWUADedp"/>
    <x v="448"/>
    <x v="10"/>
    <s v="Rhoda Gill - Network;Raquel Bolanos - Network;Raquel Bolaños;Nannette Umpierre;Rhoda Gill"/>
    <s v="Test Method;Raw material;am;Skeleton Build;New"/>
    <s v="sop # b02744 _x000a_ _x000a_config start date: 05/15/2024 _x000a_ _x000a_all config blocked start date: na _x000a_ _x000a_all config blocked end date:  na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10/2024 _x000a_ _x000a_all client blocked start date: 06/30/2024 _x000a_ _x000a_all client blocked end date:  07/08/2024 _x000a_ _x000a_all client rework required end date: 07/10/2024 _x000a_ _x000a_------------------------------------------------------------------------------------------- _x000a_ _x000a_verification complete date: 07/10/2024 _x000a_ _x000a_ready to migrate date:07/30/2024"/>
    <x v="2"/>
    <x v="2"/>
    <e v="#VALUE!"/>
    <n v="0"/>
    <x v="1"/>
    <n v="1"/>
    <x v="1"/>
    <n v="0"/>
    <n v="0"/>
    <x v="1"/>
    <n v="0"/>
    <n v="0"/>
    <n v="0"/>
    <n v="0"/>
    <x v="1"/>
    <n v="1"/>
    <n v="1"/>
    <x v="1"/>
    <e v="#VALUE!"/>
    <e v="#VALUE!"/>
    <x v="1"/>
    <d v="2024-07-10T00:00:00"/>
    <d v="2024-07-30T00:00:00"/>
    <x v="1"/>
    <x v="0"/>
    <x v="0"/>
    <x v="1"/>
    <x v="1"/>
    <x v="1"/>
    <b v="1"/>
    <m/>
    <m/>
    <m/>
    <m/>
    <m/>
    <b v="1"/>
    <m/>
    <m/>
    <m/>
    <m/>
    <m/>
    <m/>
    <m/>
    <m/>
    <m/>
    <b v="1"/>
  </r>
  <r>
    <s v="zN_P7tmfSEKRnJRJLGl7NmUAPp_P"/>
    <x v="449"/>
    <x v="12"/>
    <s v="Rhoda Gill - Network;Raquel Bolanos - Network;Raquel Bolaños;Nannette Umpierre;Rhoda Gill"/>
    <s v="Test Method;Raw material;Skeleton Build;New"/>
    <s v="sop # b01949 _x000a_ _x000a_config start date: 05/14/2024 _x000a_ _x000a_all config blocked start date:  _x000a_ _x000a_all config blocked end date:   _x000a_ _x000a_config end date: 05/2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1"/>
    <x v="1"/>
    <n v="0"/>
    <n v="0"/>
    <x v="1"/>
    <n v="0"/>
    <n v="0"/>
    <n v="0"/>
    <n v="0"/>
    <x v="1"/>
    <n v="1"/>
    <n v="0"/>
    <x v="0"/>
    <n v="0"/>
    <n v="0"/>
    <x v="1"/>
    <m/>
    <m/>
    <x v="1"/>
    <x v="0"/>
    <x v="0"/>
    <x v="1"/>
    <x v="0"/>
    <x v="0"/>
    <b v="1"/>
    <m/>
    <m/>
    <m/>
    <m/>
    <m/>
    <b v="1"/>
    <m/>
    <m/>
    <m/>
    <m/>
    <m/>
    <m/>
    <m/>
    <m/>
    <m/>
    <b v="1"/>
  </r>
  <r>
    <s v="PjR7tiFuyEWXtDxtUTiOzWUAEtRT"/>
    <x v="450"/>
    <x v="17"/>
    <s v="Rhoda Gill - Network;Alejandra Robles - Network;Miguel A Lozada;Caroline Morice - Network;Nannette Umpierre"/>
    <s v="Test Method;Raw material;am;Skeleton Build;New"/>
    <s v="sop # b01796 _x000a_ _x000a_config start date: 05/23/2024 _x000a_ _x000a_all config blocked start date: na _x000a_ _x000a_all config blocked end date:  na _x000a_ _x000a_config end date: 05/28/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_x000a_ _x000a_verification assigned to:  nannette umpierre _x000a_ _x000a_all client verification start date: 06/20/2024 _x000a_ _x000a_all client verification end date: 07/23/2024 _x000a_ _x000a_all client rework required start date: 07/23/2024 _x000a_ _x000a_all client blocked start date:  _x000a_ _x000a_all client blocked end date:   _x000a_ _x000a_all client rework required end date:   _x000a_ _x000a_------------------------------------------------------------------------------------------- _x000a_ _x000a_verification complete date:   _x000a_ _x000a_ready to migrate date:"/>
    <x v="2"/>
    <x v="4"/>
    <e v="#VALUE!"/>
    <n v="0"/>
    <x v="1"/>
    <n v="1"/>
    <x v="1"/>
    <n v="0"/>
    <n v="0"/>
    <x v="1"/>
    <n v="0"/>
    <n v="0"/>
    <n v="0"/>
    <n v="0"/>
    <x v="1"/>
    <n v="1"/>
    <n v="1"/>
    <x v="1"/>
    <e v="#VALUE!"/>
    <n v="0"/>
    <x v="1"/>
    <m/>
    <m/>
    <x v="1"/>
    <x v="0"/>
    <x v="0"/>
    <x v="1"/>
    <x v="1"/>
    <x v="0"/>
    <b v="1"/>
    <m/>
    <m/>
    <m/>
    <m/>
    <m/>
    <b v="1"/>
    <m/>
    <m/>
    <m/>
    <m/>
    <m/>
    <m/>
    <m/>
    <m/>
    <m/>
    <b v="1"/>
  </r>
  <r>
    <s v="gJZJ_m7fDkudKYJZ5KKjJWUALpaK"/>
    <x v="451"/>
    <x v="12"/>
    <s v="Sely Cheung"/>
    <s v="Test Method;Raw material;Skeleton Build;New;Do not delete"/>
    <s v="sop # b01619 _x000a_ _x000a_config start date: 05/28/2024 _x000a_ _x000a_all config blocked start date: na _x000a_ _x000a_all config blocked end date:  na _x000a_ _x000a_config end date: 05/28/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0"/>
    <e v="#VALUE!"/>
    <n v="0"/>
    <x v="1"/>
    <n v="0"/>
    <x v="0"/>
    <n v="0"/>
    <n v="0"/>
    <x v="1"/>
    <n v="0"/>
    <n v="0"/>
    <n v="0"/>
    <n v="0"/>
    <x v="1"/>
    <n v="0"/>
    <n v="0"/>
    <x v="0"/>
    <n v="0"/>
    <n v="0"/>
    <x v="1"/>
    <m/>
    <m/>
    <x v="0"/>
    <x v="0"/>
    <x v="0"/>
    <x v="0"/>
    <x v="0"/>
    <x v="0"/>
    <b v="1"/>
    <m/>
    <m/>
    <m/>
    <m/>
    <m/>
    <b v="1"/>
    <m/>
    <m/>
    <m/>
    <m/>
    <m/>
    <m/>
    <m/>
    <m/>
    <m/>
    <b v="1"/>
  </r>
  <r>
    <s v="hoO4SWuqEUWDTq3cOEU80mUAGWj3"/>
    <x v="452"/>
    <x v="4"/>
    <m/>
    <s v="Test Method;Consumable;Empower ;Finished Product;New;Full Build"/>
    <s v="sop # b0083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Y3qqK-wi_EmLpzeC5PXK7mUAMwWx"/>
    <x v="453"/>
    <x v="4"/>
    <m/>
    <s v="Test Method;Consumable;Raw material;Empower ;New;Full Build"/>
    <s v="sop # b0505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5jJbk7oH50i9I71sm7BloWUABBR2"/>
    <x v="454"/>
    <x v="10"/>
    <s v="Shannon Blais - Network;Fabian Soma - Network;Nannette Umpierre;Rhoda Gill"/>
    <s v="Test Method;Raw material;am;Skeleton Build;New"/>
    <s v="sop # a0388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1/2024 _x000a_ _x000a_all client rework required start date: 06/27/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1/2024"/>
    <x v="2"/>
    <x v="2"/>
    <e v="#VALUE!"/>
    <n v="0"/>
    <x v="1"/>
    <n v="1"/>
    <x v="1"/>
    <n v="0"/>
    <n v="0"/>
    <x v="1"/>
    <n v="0"/>
    <n v="0"/>
    <n v="0"/>
    <n v="0"/>
    <x v="1"/>
    <n v="2"/>
    <n v="1"/>
    <x v="1"/>
    <e v="#VALUE!"/>
    <n v="0"/>
    <x v="1"/>
    <d v="2024-07-01T00:00:00"/>
    <d v="2024-07-31T00:00:00"/>
    <x v="1"/>
    <x v="0"/>
    <x v="0"/>
    <x v="1"/>
    <x v="1"/>
    <x v="1"/>
    <b v="1"/>
    <m/>
    <m/>
    <m/>
    <m/>
    <m/>
    <b v="1"/>
    <m/>
    <m/>
    <m/>
    <m/>
    <m/>
    <m/>
    <m/>
    <m/>
    <m/>
    <b v="1"/>
  </r>
  <r>
    <s v="a9iAXokl5UCAN2Z2rBUFE2UAKP9z"/>
    <x v="455"/>
    <x v="12"/>
    <s v="Shannon Blais - Network;Nannette Umpierre;Rhoda Gill;Daniela Maroto - Network"/>
    <s v="Test Method;Raw material;Skeleton Build;New;Do not delete"/>
    <s v="sop # 000364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e v="#VALUE!"/>
    <n v="0"/>
    <x v="1"/>
    <n v="1"/>
    <x v="1"/>
    <n v="0"/>
    <n v="0"/>
    <x v="1"/>
    <n v="0"/>
    <n v="0"/>
    <n v="0"/>
    <n v="0"/>
    <x v="1"/>
    <n v="1"/>
    <n v="0"/>
    <x v="0"/>
    <n v="0"/>
    <n v="0"/>
    <x v="1"/>
    <m/>
    <m/>
    <x v="1"/>
    <x v="0"/>
    <x v="0"/>
    <x v="1"/>
    <x v="0"/>
    <x v="0"/>
    <b v="1"/>
    <m/>
    <m/>
    <m/>
    <m/>
    <m/>
    <b v="1"/>
    <m/>
    <m/>
    <m/>
    <m/>
    <m/>
    <m/>
    <m/>
    <m/>
    <m/>
    <b v="1"/>
  </r>
  <r>
    <s v="dRp-dsI9tU2f02y0P_AHNGUAKNI6"/>
    <x v="456"/>
    <x v="12"/>
    <s v="Shannon Blais - Network;Nannette Umpierre;Rhoda Gill;Daniela Maroto - Network"/>
    <s v="Test Method;Raw material;Skeleton Build;New;Do not delete"/>
    <s v="sop # 000363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e v="#VALUE!"/>
    <n v="0"/>
    <x v="1"/>
    <n v="1"/>
    <x v="1"/>
    <n v="0"/>
    <n v="0"/>
    <x v="1"/>
    <n v="0"/>
    <n v="0"/>
    <n v="0"/>
    <n v="0"/>
    <x v="1"/>
    <n v="1"/>
    <n v="0"/>
    <x v="0"/>
    <n v="0"/>
    <n v="0"/>
    <x v="1"/>
    <m/>
    <m/>
    <x v="1"/>
    <x v="0"/>
    <x v="0"/>
    <x v="1"/>
    <x v="0"/>
    <x v="0"/>
    <b v="1"/>
    <m/>
    <m/>
    <m/>
    <m/>
    <m/>
    <b v="1"/>
    <m/>
    <m/>
    <m/>
    <m/>
    <m/>
    <m/>
    <m/>
    <m/>
    <m/>
    <b v="1"/>
  </r>
  <r>
    <s v="N5mFqdWYHEm5Sh6sSGNspmUAF9g9"/>
    <x v="457"/>
    <x v="10"/>
    <s v="Giuliana Barahona;Nannette Umpierre;Noel Mendez - Network"/>
    <s v="Test Method;am;Skeleton Build;New"/>
    <s v="sop # b0626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08/2024 _x000a_ _x000a_all client blocked start date: na _x000a_ _x000a_all client blocked end date:  na _x000a_ _x000a_all client rework required end date:  07/11/2024 _x000a_ _x000a_------------------------------------------------------------------------------------------- _x000a_ _x000a_verification complete date:  07/11/2024 _x000a_ _x000a_ready to migrate date: 07/31/2024"/>
    <x v="2"/>
    <x v="2"/>
    <e v="#VALUE!"/>
    <n v="0"/>
    <x v="1"/>
    <n v="1"/>
    <x v="1"/>
    <n v="0"/>
    <n v="0"/>
    <x v="1"/>
    <n v="0"/>
    <n v="0"/>
    <n v="0"/>
    <n v="0"/>
    <x v="1"/>
    <n v="1"/>
    <n v="1"/>
    <x v="1"/>
    <e v="#VALUE!"/>
    <n v="0"/>
    <x v="1"/>
    <d v="2024-07-11T00:00:00"/>
    <d v="2024-07-31T00:00:00"/>
    <x v="1"/>
    <x v="0"/>
    <x v="0"/>
    <x v="1"/>
    <x v="1"/>
    <x v="1"/>
    <b v="1"/>
    <m/>
    <m/>
    <m/>
    <m/>
    <m/>
    <m/>
    <m/>
    <m/>
    <m/>
    <m/>
    <m/>
    <m/>
    <m/>
    <m/>
    <m/>
    <b v="1"/>
  </r>
  <r>
    <s v="Tc0CHo_9gUqvJTZtSVDv8mUALMXR"/>
    <x v="458"/>
    <x v="10"/>
    <s v="Glenda Fernandez - Network;Nannette Umpierre;Rhoda Gill;Daniela Maroto - Network"/>
    <s v="Test Method;Raw material;am;Skeleton Build;New"/>
    <s v="sop # b06403 _x000a_ _x000a_config start date: 05/22/2024 _x000a_ _x000a_all config blocked start date: na _x000a_ _x000a_all config blocked end date:  na _x000a_ _x000a_config end date: 05/31/2024 _x000a_ _x000a_ -------------------------------------------------------------------------------------------- _x000a_ _x000a_all peer review start date: 06/19/2024 _x000a_ _x000a_all peer review end date: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na _x000a_ _x000a_all client blocked start date: na _x000a_ _x000a_all client blocked end date:  na _x000a_ _x000a_all client rework required end date:  na _x000a_ _x000a_------------------------------------------------------------------------------------------- _x000a_ _x000a_verification complete date:  06/30/2024 _x000a_ _x000a_ready to migrate date:07/31/2024"/>
    <x v="2"/>
    <x v="2"/>
    <e v="#VALUE!"/>
    <n v="0"/>
    <x v="1"/>
    <n v="1"/>
    <x v="1"/>
    <n v="0"/>
    <n v="0"/>
    <x v="1"/>
    <n v="0"/>
    <n v="0"/>
    <n v="0"/>
    <n v="0"/>
    <x v="1"/>
    <n v="1"/>
    <n v="1"/>
    <x v="1"/>
    <n v="0"/>
    <n v="0"/>
    <x v="1"/>
    <d v="2024-06-30T00:00:00"/>
    <d v="2024-07-31T00:00:00"/>
    <x v="1"/>
    <x v="0"/>
    <x v="0"/>
    <x v="1"/>
    <x v="1"/>
    <x v="1"/>
    <b v="1"/>
    <m/>
    <m/>
    <m/>
    <m/>
    <m/>
    <b v="1"/>
    <m/>
    <m/>
    <m/>
    <m/>
    <m/>
    <m/>
    <m/>
    <m/>
    <m/>
    <b v="1"/>
  </r>
  <r>
    <s v="VChwL-aDuUyahlQYDvWWB2UADM6D"/>
    <x v="459"/>
    <x v="12"/>
    <s v="Shannon Blais - Network;Nannette Umpierre;Rhoda Gill;Daniela Maroto - Network"/>
    <s v="Test Method;Raw material;Skeleton Build;New;Do not delete"/>
    <s v="sop # 000362 _x000a_ _x000a_config start date: 06/10/2024 _x000a_ _x000a_all config blocked start date: na _x000a_ _x000a_all config blocked end date:  na _x000a_ _x000a_config end date: 06/11/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 **important**: check global test method"/>
    <x v="2"/>
    <x v="0"/>
    <e v="#VALUE!"/>
    <n v="0"/>
    <x v="1"/>
    <n v="1"/>
    <x v="1"/>
    <n v="0"/>
    <n v="0"/>
    <x v="1"/>
    <n v="0"/>
    <n v="0"/>
    <n v="0"/>
    <n v="0"/>
    <x v="1"/>
    <n v="1"/>
    <n v="0"/>
    <x v="0"/>
    <n v="0"/>
    <n v="0"/>
    <x v="1"/>
    <m/>
    <m/>
    <x v="1"/>
    <x v="0"/>
    <x v="0"/>
    <x v="1"/>
    <x v="0"/>
    <x v="0"/>
    <b v="1"/>
    <m/>
    <m/>
    <m/>
    <m/>
    <m/>
    <b v="1"/>
    <m/>
    <m/>
    <m/>
    <m/>
    <m/>
    <m/>
    <m/>
    <m/>
    <m/>
    <b v="1"/>
  </r>
  <r>
    <s v="PR0Au9E0U0uX8GccqobE9mUAJDO7"/>
    <x v="460"/>
    <x v="12"/>
    <s v="Joshua Vargas - Network"/>
    <s v="Test Method;Consumable;Raw material;Skeleton Build;New;Do not delete"/>
    <s v="sop # 000321 _x000a_ _x000a_config start date: 06/04/2024 _x000a_ _x000a_all config blocked start date: na _x000a_ _x000a_all config blocked end date:  na _x000a_ _x000a_config end date: 06/1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e v="#VALUE!"/>
    <n v="0"/>
    <x v="1"/>
    <n v="0"/>
    <x v="0"/>
    <n v="0"/>
    <n v="0"/>
    <x v="1"/>
    <n v="0"/>
    <n v="0"/>
    <n v="0"/>
    <n v="0"/>
    <x v="1"/>
    <n v="0"/>
    <n v="0"/>
    <x v="0"/>
    <n v="0"/>
    <n v="0"/>
    <x v="1"/>
    <m/>
    <m/>
    <x v="0"/>
    <x v="0"/>
    <x v="0"/>
    <x v="0"/>
    <x v="0"/>
    <x v="0"/>
    <b v="1"/>
    <m/>
    <m/>
    <m/>
    <m/>
    <m/>
    <b v="1"/>
    <m/>
    <m/>
    <m/>
    <m/>
    <m/>
    <m/>
    <m/>
    <m/>
    <m/>
    <b v="1"/>
  </r>
  <r>
    <s v="PRqAvnpI9k-gb_EELDedh2UAPd-D"/>
    <x v="461"/>
    <x v="10"/>
    <s v="Nannette Umpierre;Rhoda Gill;Daniela Maroto - Network"/>
    <s v="Test Method;Raw material;am;Skeleton Build;New"/>
    <s v="sop # b0644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e v="#VALUE!"/>
    <n v="0"/>
    <x v="1"/>
    <n v="1"/>
    <x v="1"/>
    <n v="0"/>
    <n v="0"/>
    <x v="1"/>
    <n v="0"/>
    <n v="0"/>
    <n v="0"/>
    <n v="0"/>
    <x v="1"/>
    <n v="1"/>
    <n v="1"/>
    <x v="1"/>
    <n v="0"/>
    <n v="0"/>
    <x v="1"/>
    <d v="2024-06-26T00:00:00"/>
    <d v="2024-07-30T00:00:00"/>
    <x v="1"/>
    <x v="0"/>
    <x v="0"/>
    <x v="1"/>
    <x v="1"/>
    <x v="1"/>
    <b v="1"/>
    <m/>
    <m/>
    <m/>
    <m/>
    <m/>
    <b v="1"/>
    <m/>
    <m/>
    <m/>
    <m/>
    <m/>
    <m/>
    <m/>
    <m/>
    <m/>
    <b v="1"/>
  </r>
  <r>
    <s v="t9db71Rb-06B3waxCOt6_GUAMMfd"/>
    <x v="462"/>
    <x v="4"/>
    <m/>
    <s v="Test Method;Consumable;Raw material;Empower ;New;Full Build"/>
    <s v="sop # b0647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F-qJFIZfmk6dco_ZG1sWu2UAMPQ1"/>
    <x v="463"/>
    <x v="5"/>
    <s v="Rhoda Gill - Network;Alejandra Robles - Network;Glenda Fernandez - Network;Miguel A Lozada;Nannette Umpierre;Rhoda Gill"/>
    <s v="Test Method;Raw material;am;Skeleton Build;New"/>
    <s v="config start date: 05/29/2024 _x000a_ _x000a_all config blocked start date: na _x000a_ _x000a_all config blocked end date:  na _x000a_ _x000a_config end date: 05/29/2024 _x000a_ _x000a_ -------------------------------------------------------------------------------------------- _x000a_ _x000a_all peer review start date: 06/11/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2/2024 _x000a_ _x000a_verification assigned to:  nannette umpierre  _x000a_ _x000a_all client verification start date: 06/12/2024 _x000a_ _x000a_all client verification end date:  _x000a_ _x000a_all client rework required start date: 06/12/2024 _x000a_ _x000a_all client blocked start date: 07/10/2024 _x000a_ _x000a_all client blocked end date:   _x000a_ _x000a_all client rework required end date:  _x000a_ _x000a_------------------------------------------------------------------------------------------- _x000a_ _x000a_verification complete date:   _x000a_ _x000a_ready to migrate date:"/>
    <x v="2"/>
    <x v="4"/>
    <e v="#VALUE!"/>
    <n v="0"/>
    <x v="1"/>
    <n v="1"/>
    <x v="1"/>
    <n v="0"/>
    <n v="0"/>
    <x v="1"/>
    <n v="0"/>
    <n v="0"/>
    <n v="0"/>
    <n v="0"/>
    <x v="1"/>
    <n v="1"/>
    <n v="1"/>
    <x v="1"/>
    <e v="#VALUE!"/>
    <e v="#VALUE!"/>
    <x v="1"/>
    <m/>
    <m/>
    <x v="1"/>
    <x v="0"/>
    <x v="0"/>
    <x v="1"/>
    <x v="1"/>
    <x v="0"/>
    <b v="1"/>
    <m/>
    <m/>
    <m/>
    <m/>
    <m/>
    <b v="1"/>
    <m/>
    <m/>
    <m/>
    <m/>
    <m/>
    <m/>
    <m/>
    <m/>
    <m/>
    <b v="1"/>
  </r>
  <r>
    <s v="cQLAil4F3kGMGq9y8qEIdmUANNew"/>
    <x v="464"/>
    <x v="14"/>
    <s v="Cristofer Orozco - Network"/>
    <s v="Test Method;Consumable;am;Finished Product;New;Full Build"/>
    <s v="sop # b09980 _x000a_ _x000a_config start date:05/25/2024 _x000a_ _x000a_all config blocked start date: _x000a_ _x000a_all config blocked end date: _x000a_ _x000a_config end date:06/21/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m/>
    <m/>
    <m/>
    <m/>
    <m/>
    <b v="1"/>
    <m/>
    <m/>
    <m/>
    <b v="1"/>
    <m/>
  </r>
  <r>
    <s v="dLUAvRBNOEuoiqckSYneKWUACTk8"/>
    <x v="465"/>
    <x v="4"/>
    <m/>
    <s v="Test Method;Consumable;Empower ;Finished Product;New;Full Build"/>
    <s v="sop # b100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XsemX59ih06qBUgmq_4KQWUABmwp"/>
    <x v="466"/>
    <x v="10"/>
    <s v="Daniel Bonilla - Network;Nannette Umpierre;Rhoda Gill"/>
    <s v="Test Method;Consumable;Raw material;am;Skeleton Build;New"/>
    <s v="sop # b10602 _x000a_ _x000a_config start date: 05/20/2024 _x000a_ _x000a_all config blocked start date: na _x000a_ _x000a_all config blocked end date:  na _x000a_ _x000a_config end date: 05/22/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e v="#VALUE!"/>
    <n v="0"/>
    <x v="1"/>
    <n v="1"/>
    <x v="1"/>
    <n v="0"/>
    <n v="0"/>
    <x v="1"/>
    <n v="0"/>
    <n v="0"/>
    <n v="0"/>
    <n v="0"/>
    <x v="1"/>
    <n v="1"/>
    <n v="1"/>
    <x v="1"/>
    <n v="0"/>
    <n v="0"/>
    <x v="1"/>
    <d v="2024-06-24T00:00:00"/>
    <d v="2024-07-31T00:00:00"/>
    <x v="1"/>
    <x v="0"/>
    <x v="0"/>
    <x v="1"/>
    <x v="1"/>
    <x v="1"/>
    <b v="1"/>
    <m/>
    <m/>
    <m/>
    <m/>
    <m/>
    <b v="1"/>
    <m/>
    <m/>
    <m/>
    <m/>
    <m/>
    <m/>
    <m/>
    <m/>
    <m/>
    <b v="1"/>
  </r>
  <r>
    <s v="b3RNirftP0e9bupiNl_r0GUAJYuR"/>
    <x v="467"/>
    <x v="10"/>
    <s v="Shannon Blais - Network;Andrea Fuentes;Nannette Umpierre"/>
    <s v="Test Method;Raw material;am;Skeleton Build;New"/>
    <s v="sop # b11181 _x000a_ _x000a_config start date: 05/29/2024 _x000a_ _x000a_all config blocked start date: na _x000a_ _x000a_all config blocked end date:  na _x000a_ _x000a_config end date: 06/0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07/01/2024 _x000a_ _x000a_all client blocked start date: na _x000a_ _x000a_all client blocked end date:  na _x000a_ _x000a_all client rework required end date:  07/03/2024 _x000a_ _x000a_------------------------------------------------------------------------------------------- _x000a_ _x000a_verification complete date:  07/09/2024 _x000a_ _x000a_ready to migrate date: 07/31/2024"/>
    <x v="2"/>
    <x v="2"/>
    <e v="#VALUE!"/>
    <n v="0"/>
    <x v="1"/>
    <n v="1"/>
    <x v="1"/>
    <n v="0"/>
    <n v="0"/>
    <x v="1"/>
    <n v="0"/>
    <n v="0"/>
    <n v="0"/>
    <n v="0"/>
    <x v="1"/>
    <n v="1"/>
    <n v="1"/>
    <x v="1"/>
    <e v="#VALUE!"/>
    <n v="0"/>
    <x v="1"/>
    <d v="2024-07-09T00:00:00"/>
    <d v="2024-07-31T00:00:00"/>
    <x v="1"/>
    <x v="0"/>
    <x v="0"/>
    <x v="1"/>
    <x v="1"/>
    <x v="1"/>
    <b v="1"/>
    <m/>
    <m/>
    <m/>
    <m/>
    <m/>
    <b v="1"/>
    <m/>
    <m/>
    <m/>
    <m/>
    <m/>
    <m/>
    <m/>
    <m/>
    <m/>
    <b v="1"/>
  </r>
  <r>
    <s v="HH8ub8qMDEiUo10lYEbWM2UAB4Tn"/>
    <x v="468"/>
    <x v="15"/>
    <s v="Rhoda Gill - Network;Alejandra Robles - Network;Miguel A Lozada;Nannette Umpierre"/>
    <s v="Test Method;In Process;am;Skeleton Build;New"/>
    <s v="sop # b11760 _x000a_ _x000a_config start date: 05/29/2024 _x000a_ _x000a_all config blocked start date: na _x000a_ _x000a_all config blocked end date:  na _x000a_ _x000a_config end date: 05/29/2024 _x000a_ _x000a_ -------------------------------------------------------------------------------------------- _x000a_ _x000a_all peer review start date: 06/20/2024 _x000a_ _x000a_all peer review end date: 06/20/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20/2024;07/10/24 _x000a_ _x000a_verification assigned to:  miguel lozada _x000a_ _x000a_all client verification start date:  06/20/2024 _x000a_ _x000a_all client verification end date: 06/21/2024 _x000a_ _x000a_all client rework required start date:07/09/2024 _x000a_ _x000a_all client blocked start date:na  _x000a_ _x000a_all client blocked end date:  na _x000a_ _x000a_all client rework required end date:07/10/24 _x000a_ _x000a_------------------------------------------------------------------------------------------- _x000a_ _x000a_verification complete date:  07/12/2024 _x000a_ _x000a_ready to migrate date:"/>
    <x v="2"/>
    <x v="2"/>
    <e v="#VALUE!"/>
    <n v="0"/>
    <x v="1"/>
    <n v="1"/>
    <x v="1"/>
    <n v="0"/>
    <n v="0"/>
    <x v="1"/>
    <n v="0"/>
    <n v="0"/>
    <n v="0"/>
    <n v="0"/>
    <x v="1"/>
    <n v="2"/>
    <n v="1"/>
    <x v="1"/>
    <e v="#VALUE!"/>
    <n v="0"/>
    <x v="1"/>
    <d v="2024-07-12T00:00:00"/>
    <m/>
    <x v="1"/>
    <x v="0"/>
    <x v="0"/>
    <x v="1"/>
    <x v="1"/>
    <x v="0"/>
    <b v="1"/>
    <m/>
    <m/>
    <m/>
    <m/>
    <m/>
    <m/>
    <m/>
    <m/>
    <m/>
    <b v="1"/>
    <m/>
    <m/>
    <m/>
    <m/>
    <m/>
    <b v="1"/>
  </r>
  <r>
    <s v="gkxtWlDqGkWIgpF1-XXl1GUAKoMu"/>
    <x v="469"/>
    <x v="4"/>
    <m/>
    <s v="Test Method;Consumable;In Process;Empower ;New;Full Build"/>
    <s v="sop # g214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eKdOdBBnG0KCOhjSOx2uZmUAAT-h"/>
    <x v="470"/>
    <x v="12"/>
    <s v="Nannette Umpierre;Rhoda Gill;Daniela Maroto - Network"/>
    <s v="Test Method;Consumable;Raw material;Skeleton Build;New;Do not delete"/>
    <s v="sop # 000260 _x000a_ _x000a_config start date: 6/10/2024 _x000a_ _x000a_all config blocked start date: na  _x000a_ _x000a_all config blocked end date: na _x000a_ _x000a_config end date: 06/11/2024 _x000a_ _x000a_ -------------------------------------------------------------------------------------------- _x000a_ _x000a_all peer review start date: 6/12/2024 _x000a_ _x000a_all peer review end date: 06/12/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6/13/2024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important: check global test method**"/>
    <x v="2"/>
    <x v="0"/>
    <e v="#VALUE!"/>
    <n v="0"/>
    <x v="1"/>
    <n v="1"/>
    <x v="1"/>
    <n v="0"/>
    <n v="0"/>
    <x v="1"/>
    <n v="0"/>
    <n v="0"/>
    <n v="0"/>
    <n v="0"/>
    <x v="1"/>
    <n v="1"/>
    <n v="1"/>
    <x v="1"/>
    <n v="0"/>
    <n v="0"/>
    <x v="1"/>
    <m/>
    <m/>
    <x v="1"/>
    <x v="0"/>
    <x v="0"/>
    <x v="1"/>
    <x v="1"/>
    <x v="0"/>
    <b v="1"/>
    <m/>
    <m/>
    <m/>
    <m/>
    <m/>
    <b v="1"/>
    <m/>
    <m/>
    <m/>
    <m/>
    <m/>
    <m/>
    <m/>
    <m/>
    <m/>
    <b v="1"/>
  </r>
  <r>
    <s v="oLGgOaxwFEiGabuQKkKkj2UAJcup"/>
    <x v="471"/>
    <x v="4"/>
    <m/>
    <s v="Test Method;Consumable;In Process;Empower ;New;Full Build"/>
    <s v="sop # 000231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b v="1"/>
    <m/>
    <b v="1"/>
    <m/>
    <m/>
    <b v="1"/>
    <m/>
  </r>
  <r>
    <s v="Wit9rLYPi0iIJL4vczhWAWUAN8XB"/>
    <x v="472"/>
    <x v="4"/>
    <m/>
    <s v="Product"/>
    <s v="product id# qa232sv1e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pgNWPGguUaoBanSQdghrGUALsPO"/>
    <x v="473"/>
    <x v="4"/>
    <m/>
    <s v="Product"/>
    <s v="product id# qa503s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lP8sm9660-9xbPXeiYBbWUADfZl"/>
    <x v="474"/>
    <x v="4"/>
    <m/>
    <s v="Product"/>
    <s v="product id# qa243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uKwbR07QAUi0qJB_tDsxzGUANWOA"/>
    <x v="475"/>
    <x v="4"/>
    <m/>
    <s v="Product"/>
    <s v="product id# qa264q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cKruvICTkm1P8NdXqre-mUAB4tt"/>
    <x v="476"/>
    <x v="4"/>
    <m/>
    <s v="Product"/>
    <s v="product id# sc99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NX6oEqMSUCPq-t0dZcd2GUACkP5"/>
    <x v="477"/>
    <x v="4"/>
    <m/>
    <s v="Product"/>
    <s v="product id# qa437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OKzFk83EOBbaMVqr8c4GUAGeBP"/>
    <x v="478"/>
    <x v="4"/>
    <m/>
    <s v="Product"/>
    <s v="product id# qa463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mfZp42tA02uussODD4Wf2UAMSSm"/>
    <x v="479"/>
    <x v="4"/>
    <m/>
    <s v="Product"/>
    <s v="product id# cb847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eNN0uwRRkCh0ZF7-wNKbGUAHotX"/>
    <x v="480"/>
    <x v="4"/>
    <m/>
    <s v="Product"/>
    <s v="product id#sc9914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URJCusoVEW9PruCGSf1tGUAPwwy"/>
    <x v="481"/>
    <x v="4"/>
    <m/>
    <s v="Product"/>
    <s v="product id# qa510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9x6XobRUEyOoEEjTSJwbmUAAdAw"/>
    <x v="482"/>
    <x v="4"/>
    <m/>
    <s v="Product"/>
    <s v="product id# qa224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AuSN_DNIaE6Ey_cxwStf9WUALlaz"/>
    <x v="483"/>
    <x v="4"/>
    <m/>
    <s v="Product"/>
    <s v="product id# qa524y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KKQyPq2WkGMHKbdl4PtVmUAMczM"/>
    <x v="484"/>
    <x v="4"/>
    <m/>
    <s v="Product"/>
    <s v="product id# qa363h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hMAmtotUUuf-3P7ao3_DGUAKWRH"/>
    <x v="485"/>
    <x v="4"/>
    <m/>
    <s v="Product"/>
    <s v="product id# qa104v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Wzr3FaNNEufdAVk1g--HWUAAYjP"/>
    <x v="486"/>
    <x v="4"/>
    <m/>
    <s v="Product"/>
    <s v="product id# qa011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PVwTf_TFk-iw2fIe9CtVGUAICfe"/>
    <x v="487"/>
    <x v="4"/>
    <m/>
    <s v="Product"/>
    <s v="product id# qa596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qC-E6J3mkmsVjjU5g3KCWUAIbft"/>
    <x v="488"/>
    <x v="4"/>
    <m/>
    <s v="Product"/>
    <s v="product id# qa018l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6ScXJtQeEiqEK3eSZEwr2UADFYw"/>
    <x v="489"/>
    <x v="4"/>
    <m/>
    <s v="Product"/>
    <s v="product id# qa268v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7Pj6DVDMEySh6_P5NlXwWUADTfx"/>
    <x v="490"/>
    <x v="4"/>
    <m/>
    <s v="Product"/>
    <s v="product id# bt5990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XsgFzfsKUCicNhDKvfka2UAAZtm"/>
    <x v="491"/>
    <x v="4"/>
    <m/>
    <s v="Product"/>
    <s v="product id# qa266k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_wWqLrG70aTG4NfteSni2UAEiPA"/>
    <x v="492"/>
    <x v="4"/>
    <m/>
    <s v="Product"/>
    <s v="product id# qa460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PiEWAxzEmwCDiWGGg7gmUAA65J"/>
    <x v="493"/>
    <x v="4"/>
    <m/>
    <s v="Product"/>
    <s v="product id# mx0034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fn_4Bzj5hUmnDrXQtcp2cmUAGak8"/>
    <x v="494"/>
    <x v="4"/>
    <m/>
    <s v="Product"/>
    <s v="product id# qa01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2kxNZgyNUCJlCwS-KoixmUAEjCq"/>
    <x v="495"/>
    <x v="4"/>
    <m/>
    <s v="Product"/>
    <s v="product id# qa539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5GDtaVDukSko2INmTiqIWUAAWGe"/>
    <x v="496"/>
    <x v="4"/>
    <m/>
    <s v="Product"/>
    <s v="product id# qa074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kTm2LbU80KzjHcHfnkuomUAIhav"/>
    <x v="497"/>
    <x v="4"/>
    <m/>
    <s v="Product"/>
    <s v="product id# qa267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puw2gUECZBEb2inXgCmUAEBpN"/>
    <x v="498"/>
    <x v="4"/>
    <m/>
    <s v="Product;Raw material"/>
    <s v="product id# qa004n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MTKfxvciqEOqIO2AVqETvGUAP6mF"/>
    <x v="499"/>
    <x v="4"/>
    <m/>
    <s v="Product"/>
    <s v="product id# qa010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HT0eG1pZ0aDKuo3VLw0I2UAFZVW"/>
    <x v="500"/>
    <x v="4"/>
    <m/>
    <s v="Product"/>
    <s v="product id# qa419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Fsr5oOBx0OxdAvr2l3uH2UAL-aS"/>
    <x v="501"/>
    <x v="4"/>
    <m/>
    <s v="Product"/>
    <s v="product id# qa143z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ByzONWY30S3gzIwaTunfmUALOpi"/>
    <x v="502"/>
    <x v="4"/>
    <m/>
    <s v="Product"/>
    <s v="product id# qa305p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Y-3kEhTC0mbr-MFcNoQf2UAMcY0"/>
    <x v="503"/>
    <x v="4"/>
    <m/>
    <s v="Product"/>
    <s v="product id# qa451v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RxOis7GEz0ORNCjh3nEr1WUAADkw"/>
    <x v="504"/>
    <x v="4"/>
    <m/>
    <s v="Product"/>
    <s v="product id# mx641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BcsXB4kgUGyaXxbefvMq2UACSRN"/>
    <x v="505"/>
    <x v="4"/>
    <m/>
    <s v="Product"/>
    <s v="product id# qa509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7B7LzN7pkyFEzQVdxK5nWUAG5YC"/>
    <x v="506"/>
    <x v="4"/>
    <m/>
    <s v="Product"/>
    <s v="product id# qa13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VI3LVd5AkSEt14WY58jBWUAAmPl"/>
    <x v="507"/>
    <x v="4"/>
    <m/>
    <s v="Product"/>
    <s v="product id# qa257a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kz5iQpNB0W9NKtmWcVAeWUAOLSC"/>
    <x v="508"/>
    <x v="4"/>
    <m/>
    <s v="Product"/>
    <s v="product id# qa479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StP5Gfg0kOC6obfRCr9AmUAEuc-"/>
    <x v="509"/>
    <x v="4"/>
    <m/>
    <s v="Product"/>
    <s v="product id# bt5992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vrk25FhwEiTrMA30MoHoWUAM0QU"/>
    <x v="510"/>
    <x v="4"/>
    <m/>
    <s v="Product"/>
    <s v="product id# qa127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OKhqIwfE2nDDBUnEaR1GUADz6T"/>
    <x v="511"/>
    <x v="4"/>
    <m/>
    <s v="Product"/>
    <s v="product id# qa458j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j-pyjcM30iR9-epdZH8CmUAGpLA"/>
    <x v="512"/>
    <x v="4"/>
    <m/>
    <s v="Product"/>
    <s v="product id# qa270z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8BqNBKf4EUOxlqFBs6H7c2UANAzD"/>
    <x v="513"/>
    <x v="4"/>
    <m/>
    <s v="Product"/>
    <s v="product id# qa442u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upaQXMxEWrprvOr9qRtWUACP60"/>
    <x v="514"/>
    <x v="4"/>
    <m/>
    <s v="Product"/>
    <s v="product id# qa310k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i-ZdDS1oUuTz58PG0jgJGUAHWg9"/>
    <x v="515"/>
    <x v="4"/>
    <m/>
    <s v="Product"/>
    <s v="product id# qa524q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mrjY1FsiUmJxy4BEZWMKWUAIZ_3"/>
    <x v="516"/>
    <x v="4"/>
    <m/>
    <s v="Product"/>
    <s v="product id# cb8258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0pz2TY0RUmVbvbyJapNMGUAARYP"/>
    <x v="517"/>
    <x v="4"/>
    <m/>
    <s v="Product"/>
    <s v="product id# qa128d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3Jp3mzNKU-O0x_4qBnoNmUANDCk"/>
    <x v="518"/>
    <x v="4"/>
    <m/>
    <s v="Product"/>
    <s v="product id# qa022s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4RQwXrN70-spIjIiekhb2UAGGnG"/>
    <x v="519"/>
    <x v="4"/>
    <m/>
    <s v="Product"/>
    <s v="product id# qa309f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kM-pVut40qQdJmQwIdeE2UADnsT"/>
    <x v="520"/>
    <x v="4"/>
    <m/>
    <s v="Product"/>
    <s v="product id# qa044l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5pLOVLrKk-ClF_LvYqYrWUAPvq_"/>
    <x v="521"/>
    <x v="4"/>
    <m/>
    <s v="Product"/>
    <s v="product id# qa138c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1i4gGK82kixD07IGA8xuWUADZTB"/>
    <x v="522"/>
    <x v="4"/>
    <m/>
    <s v="Product"/>
    <s v="product id# qa609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Q46lvjy00WNCHQJbJsQtWUAP_nj"/>
    <x v="523"/>
    <x v="4"/>
    <m/>
    <s v="Product"/>
    <s v="product id# qa205h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lHwUHS5lkWNzPTyurMsnmUAJFkw"/>
    <x v="524"/>
    <x v="4"/>
    <m/>
    <s v="Product"/>
    <s v="product id # qa065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7eH_lfQIKEmqmMtkRNqb3WUAI5fC"/>
    <x v="525"/>
    <x v="4"/>
    <m/>
    <s v="Product"/>
    <s v="product id# qa006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5ueeT8MFtkKSMRDgUY5hDGUABOAv"/>
    <x v="526"/>
    <x v="4"/>
    <m/>
    <s v="Product"/>
    <s v="product id# qa116w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2NKwhgXDUeXC-AhBMCXxGUAJfpc"/>
    <x v="527"/>
    <x v="4"/>
    <m/>
    <s v="Product"/>
    <s v="product id# qa163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pf656l5T20auT324ZLuCFGUAPeTk"/>
    <x v="528"/>
    <x v="4"/>
    <m/>
    <s v="Product"/>
    <s v="product id# qa058t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0EKf9YrjEK8_21Ds6Fd0WUAPF3i"/>
    <x v="529"/>
    <x v="4"/>
    <m/>
    <s v="Product"/>
    <s v="product id# qa458v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15BEuKiUC0gG9s2m5rQ2UADLCm"/>
    <x v="530"/>
    <x v="4"/>
    <m/>
    <s v="Product"/>
    <s v="product id# qa233tv1e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lOQG-HR20SmuCiLCGuqnmUALGCL"/>
    <x v="531"/>
    <x v="4"/>
    <m/>
    <s v="Product"/>
    <s v="product id# qa175c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yiMxMC9_G0666PdEZrTQRWUAJ1n9"/>
    <x v="532"/>
    <x v="4"/>
    <m/>
    <s v="Product"/>
    <s v="product id# qa139y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UPRhtvjvk6QBCER3BMMsGUAOw9m"/>
    <x v="533"/>
    <x v="4"/>
    <m/>
    <s v="Product"/>
    <s v="product id# qa264s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0vsxAmnbkSjdCLC3RmbxGUANlpo"/>
    <x v="534"/>
    <x v="4"/>
    <m/>
    <s v="Product;Raw material"/>
    <s v="product id# qa454j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b v="1"/>
    <m/>
    <m/>
    <m/>
    <m/>
    <m/>
    <m/>
    <m/>
    <m/>
    <m/>
    <m/>
  </r>
  <r>
    <s v="K5qcatUy8EaPXf2_U2EGymUAMKMj"/>
    <x v="535"/>
    <x v="4"/>
    <m/>
    <s v="Product"/>
    <s v="product id# qa308w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EY6ukpJwkWZqd6txkpeEGUAO-GJ"/>
    <x v="536"/>
    <x v="4"/>
    <m/>
    <s v="Product"/>
    <s v="product id#qa426p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gzUxpDD-0SajLaW479FnmUAEB8a"/>
    <x v="537"/>
    <x v="4"/>
    <m/>
    <s v="Product"/>
    <s v="product id# qa442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N84I45uikiDJ51FO3MQW2UAKEkE"/>
    <x v="538"/>
    <x v="4"/>
    <m/>
    <s v="Product"/>
    <s v="product id#qa596g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QI0JwdBp02Bfq9uQr9onWUAK3dS"/>
    <x v="539"/>
    <x v="4"/>
    <m/>
    <s v="Product"/>
    <s v="product id# qa479v01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48ImB6ag0eKN6Oh2JVoRGUABVhf"/>
    <x v="540"/>
    <x v="4"/>
    <m/>
    <s v="Product"/>
    <s v="product id# qa565f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Z_Cppqug0GgXkW31zusWWUALjxT"/>
    <x v="541"/>
    <x v="4"/>
    <m/>
    <s v="Product"/>
    <s v="product id# qa188kpur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VhRXxhRUUajrKDgpzU4t2UAJ93V"/>
    <x v="542"/>
    <x v="4"/>
    <m/>
    <s v="Product"/>
    <s v="product id# qa445u _x000a_ _x000a_product type: raw material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ohn6wIpz02vlyugwaEZgWUAPcPm"/>
    <x v="543"/>
    <x v="4"/>
    <m/>
    <s v="Product;Intermediate"/>
    <s v="product id#qs54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RMkpDTknkS8YGDirhzr0mUAEh3S"/>
    <x v="544"/>
    <x v="4"/>
    <m/>
    <s v="Product;Intermediate"/>
    <s v="product id#qs65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ScWYycMXWk2e0Lg8xhVJrmUAHlZg"/>
    <x v="545"/>
    <x v="4"/>
    <m/>
    <s v="Product;Intermediate"/>
    <s v="product id#qs54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BzxWIaahvUW1XiyTuDvs4mUAKXD7"/>
    <x v="546"/>
    <x v="4"/>
    <m/>
    <s v="Product;Intermediate"/>
    <s v="product id#qs269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6KmpE6RmOkiN8fXl59oG22UAO52p"/>
    <x v="547"/>
    <x v="4"/>
    <m/>
    <s v="Product;Intermediate"/>
    <s v="product id#qs36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kNz0QgTB5EWAsDFt6qHWWGUAACHe"/>
    <x v="548"/>
    <x v="4"/>
    <m/>
    <s v="Product;Intermediate"/>
    <s v="product id#qs3602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1k91RvP_0yhrXyy95QUuGUADv7M"/>
    <x v="549"/>
    <x v="4"/>
    <m/>
    <s v="Product;Intermediate"/>
    <s v="product id# qs54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dBs50OYxbkiiEGPN4tJU52UAD6GO"/>
    <x v="550"/>
    <x v="4"/>
    <m/>
    <s v="Product;Intermediate"/>
    <s v="product id#qs657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bm0xOReyUmHd4Ro0xcE-GUALx7_"/>
    <x v="551"/>
    <x v="4"/>
    <m/>
    <s v="Product;Intermediate"/>
    <s v="product id# qs54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RXhf3t5mUyiN1Ubo9_8aGUAEARS"/>
    <x v="552"/>
    <x v="4"/>
    <m/>
    <s v="Product;Intermediate"/>
    <s v="product id# qs65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lKhQZDo0yEiU8Viv9epm3GUAABNq"/>
    <x v="553"/>
    <x v="4"/>
    <m/>
    <s v="Product;Intermediate"/>
    <s v="product id# qs713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cW8TbrcG_EygHAxgzcygKGUAI8ER"/>
    <x v="554"/>
    <x v="4"/>
    <m/>
    <s v="Product;Intermediate"/>
    <s v="product id#qs5301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iFU-pum5k2zgW2JgC0vJmUAIUyA"/>
    <x v="555"/>
    <x v="4"/>
    <m/>
    <s v="Product;Intermediate"/>
    <s v="product id# qa103l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UiK1Ns8SEWvuLNw-4qtl2UADQP4"/>
    <x v="556"/>
    <x v="4"/>
    <m/>
    <s v="Product;Intermediate"/>
    <s v="product id# qs652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IiX4szJy0efUXZP_DvYWmUAI1Fg"/>
    <x v="557"/>
    <x v="4"/>
    <m/>
    <s v="Product;Intermediate"/>
    <s v="product id#qs652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NxC24UxEkEGGhk-a5JjniWUAJFvZ"/>
    <x v="558"/>
    <x v="4"/>
    <m/>
    <s v="Product;Intermediate"/>
    <s v="product id# qs711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wV2sxZKKrUGAHPrUWy194GUAD3zj"/>
    <x v="559"/>
    <x v="4"/>
    <m/>
    <s v="Product;Intermediate"/>
    <s v="product id# qs2693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zV9K5SAKkOsAiF-FH4D-WUAMwtU"/>
    <x v="560"/>
    <x v="4"/>
    <m/>
    <s v="Product;Intermediate"/>
    <s v="product id# qs65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_e_pRicASkqJMxdqb63ElGUAP66W"/>
    <x v="561"/>
    <x v="4"/>
    <m/>
    <s v="Product;Intermediate"/>
    <s v="product id# qs650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6OmtBFwtUSJHfrBtUJ6xmUAAcky"/>
    <x v="562"/>
    <x v="4"/>
    <m/>
    <s v="Product;Intermediate"/>
    <s v="product id#qs530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H44Gl3jmtkKfSYFxubQpwGUAJfG0"/>
    <x v="563"/>
    <x v="4"/>
    <m/>
    <s v="Product;Intermediate"/>
    <s v="product id# qs2697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xxikFL7J906uuq7tlRaUWmUAFvyZ"/>
    <x v="564"/>
    <x v="4"/>
    <m/>
    <s v="Product;Intermediate"/>
    <s v="product id# qs545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gX0tPONCG0iFWcnl9irWaWUAAf67"/>
    <x v="565"/>
    <x v="4"/>
    <m/>
    <s v="Product;Intermediate"/>
    <s v="product id#qs5415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t4CsYFJcEexDHt1s0eWPWUAN0e8"/>
    <x v="566"/>
    <x v="4"/>
    <m/>
    <s v="Product;Intermediate"/>
    <s v="product id# qs5304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VUkGfTvOl0Sg6oopwoj58mUAI2po"/>
    <x v="567"/>
    <x v="4"/>
    <m/>
    <s v="Product;Intermediate"/>
    <s v="product id# qs7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YkfVzgzB0GH9lQfGchk4WUAG_cz"/>
    <x v="568"/>
    <x v="4"/>
    <m/>
    <s v="Product;Intermediate"/>
    <s v="product id#qs3601v1e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o_oyrnGm0enugVMRdyms2UAE6J1"/>
    <x v="569"/>
    <x v="4"/>
    <m/>
    <s v="Product;Intermediate"/>
    <s v="product id# qs51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99irBMf45kKtehEgo4sAwmUAPW2P"/>
    <x v="570"/>
    <x v="4"/>
    <m/>
    <s v="Product;Intermediate"/>
    <s v="product id#qs6515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egmuQqK6EGiPlqvJEdSl2UAMnt1"/>
    <x v="571"/>
    <x v="4"/>
    <m/>
    <s v="Product;Intermediate"/>
    <s v="product id#qs6513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4NLvM-6UM0usI2QHpPUCeGUAFLdA"/>
    <x v="572"/>
    <x v="4"/>
    <m/>
    <s v="Product;Drug substance"/>
    <s v="product id# qa535z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3Jcag_Lak0GL3dCCjgBj8WUAI0ec"/>
    <x v="573"/>
    <x v="4"/>
    <m/>
    <s v="Product;Drug substance"/>
    <s v="product id# qa524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n7FtzDj4WUGuc6UsCQJDDGUAH91N"/>
    <x v="574"/>
    <x v="4"/>
    <m/>
    <s v="Product;Intermediate"/>
    <s v="product id#qs54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mhElX2jBM0iR--OYYlkNkWUAB77k"/>
    <x v="575"/>
    <x v="4"/>
    <m/>
    <s v="Product;Drug substance"/>
    <s v="product id# qa571x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vWCdcVIXS0-u3vvXwks6AmUAJ5zu"/>
    <x v="576"/>
    <x v="4"/>
    <m/>
    <s v="Product;Drug substance"/>
    <s v="product id# qa541j _x000a_ _x000a_product type: drug substanc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Y6ntMQ6ijEyN8Y9cKFutC2UADaFk"/>
    <x v="577"/>
    <x v="4"/>
    <m/>
    <s v="Product;Intermediate"/>
    <s v="product id#qs653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tWwxNQ5jCE6SNxlqXf4tB2UAIT9_"/>
    <x v="578"/>
    <x v="4"/>
    <m/>
    <s v="Product;Intermediate"/>
    <s v="product id#qs651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2iGnaavNdEStitbW2IoF_mUAKIGM"/>
    <x v="579"/>
    <x v="4"/>
    <m/>
    <s v="Product;Intermediate"/>
    <s v="product id# qs5470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zjhu16oAWk6LpD6Lhnk342UAMYw1"/>
    <x v="580"/>
    <x v="4"/>
    <m/>
    <s v="Product;Drug substance"/>
    <s v="product id# qa485u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b v="1"/>
    <m/>
    <m/>
    <m/>
    <m/>
    <m/>
    <m/>
    <m/>
    <m/>
    <m/>
  </r>
  <r>
    <s v="JvaJ0dxLj0uyj3MTBxdgV2UAE2Qe"/>
    <x v="581"/>
    <x v="4"/>
    <m/>
    <s v="Product;Intermediate"/>
    <s v="product id# qs6319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1yjOiWnHzkiQLLYncNYH-2UABBA7"/>
    <x v="582"/>
    <x v="4"/>
    <m/>
    <s v="Product;Intermediate"/>
    <s v="product id# qs6240 _x000a_ _x000a_product type: intermediate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0ax92l6ME0yI6mQZRjVq8mUAAe6E"/>
    <x v="538"/>
    <x v="4"/>
    <m/>
    <s v="Product;Utility"/>
    <s v="product id# qa596g _x000a_product type: utility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m/>
    <b v="1"/>
    <m/>
    <m/>
    <m/>
    <m/>
    <m/>
    <m/>
    <m/>
    <m/>
    <m/>
    <m/>
    <m/>
    <m/>
    <m/>
    <m/>
    <m/>
  </r>
  <r>
    <s v="em5PJ3GgWk62jgZCPm9-82UAKLBJ"/>
    <x v="583"/>
    <x v="13"/>
    <s v="Daniela Azofeifa;Nannette Umpierre"/>
    <s v="Test Method;Raw material;am;Skeleton Build"/>
    <s v="sop # a07933 _x000a_ _x000a_config start date: 05/28/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
    <x v="2"/>
    <x v="1"/>
    <e v="#VALUE!"/>
    <n v="0"/>
    <x v="1"/>
    <n v="1"/>
    <x v="1"/>
    <n v="0"/>
    <n v="0"/>
    <x v="1"/>
    <n v="0"/>
    <n v="0"/>
    <n v="0"/>
    <n v="0"/>
    <x v="1"/>
    <n v="1"/>
    <n v="1"/>
    <x v="1"/>
    <n v="0"/>
    <n v="0"/>
    <x v="1"/>
    <d v="2024-06-26T00:00:00"/>
    <m/>
    <x v="1"/>
    <x v="0"/>
    <x v="0"/>
    <x v="1"/>
    <x v="1"/>
    <x v="0"/>
    <b v="1"/>
    <m/>
    <m/>
    <m/>
    <m/>
    <m/>
    <b v="1"/>
    <m/>
    <m/>
    <m/>
    <m/>
    <m/>
    <m/>
    <m/>
    <m/>
    <m/>
    <b v="1"/>
  </r>
  <r>
    <s v="DFmKtJg9ak-C7LhCy13OOmUABbdn"/>
    <x v="584"/>
    <x v="10"/>
    <s v="Shannon Blais - Network;Caroline Morice - Network;Nannette Umpierre"/>
    <s v="Test Method;Raw material;am;Skeleton Build"/>
    <s v="sop # a07932 _x000a_ _x000a_config start date: 05/28/2024 _x000a_ _x000a_all config blocked start date: na _x000a_ _x000a_all config blocked end date:  na _x000a_ _x000a_config end date: 05/28/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8/2024 _x000a_ _x000a_verification assigned to:  noel mendez _x000a_ _x000a_all client verification start date: 06/17/2024; 06/18/2024 _x000a_ _x000a_all client verification end date: 06/17/2024; 06/18/2024 _x000a_ _x000a_all client rework required start date: 06/18/2024 _x000a_ _x000a_all client blocked start date: na _x000a_ _x000a_all client blocked end date:  na _x000a_ _x000a_all client rework required end date: 06/18/2024   _x000a_ _x000a_------------------------------------------------------------------------------------------- _x000a_ _x000a_verification complete date:  06/27/2024 _x000a_ _x000a_ready to migrate date: 7/29/2024"/>
    <x v="2"/>
    <x v="2"/>
    <e v="#VALUE!"/>
    <n v="0"/>
    <x v="1"/>
    <n v="1"/>
    <x v="1"/>
    <n v="0"/>
    <n v="0"/>
    <x v="1"/>
    <n v="0"/>
    <n v="0"/>
    <n v="0"/>
    <n v="0"/>
    <x v="1"/>
    <n v="2"/>
    <n v="2"/>
    <x v="1"/>
    <e v="#VALUE!"/>
    <n v="0"/>
    <x v="1"/>
    <d v="2024-06-27T00:00:00"/>
    <d v="2024-07-29T00:00:00"/>
    <x v="1"/>
    <x v="0"/>
    <x v="0"/>
    <x v="1"/>
    <x v="1"/>
    <x v="1"/>
    <b v="1"/>
    <m/>
    <m/>
    <m/>
    <m/>
    <m/>
    <b v="1"/>
    <m/>
    <m/>
    <m/>
    <m/>
    <m/>
    <m/>
    <m/>
    <m/>
    <m/>
    <b v="1"/>
  </r>
  <r>
    <s v="4G2faGYWSEKaZPDadfFrsmUAKc2l"/>
    <x v="585"/>
    <x v="15"/>
    <s v="Javier Coronado - Network;Nannette Umpierre;Rhoda Gill"/>
    <s v="Test Method;Raw material;am;Skeleton Build"/>
    <s v="sop # a07918 _x000a_ _x000a_config start date: 05/26/2024 _x000a_ _x000a_all config blocked start date:  _x000a_ _x000a_all config blocked end date:   _x000a_ _x000a_config end date: 06/11/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_x000a_ _x000a_all client blocked start date:  _x000a_ _x000a_all client blocked end date:   _x000a_ _x000a_all client rework required end date:   _x000a_ _x000a_------------------------------------------------------------------------------------------- _x000a_ _x000a_verification complete date:  06/13/2024 _x000a_ _x000a_ready to migrate date:"/>
    <x v="2"/>
    <x v="2"/>
    <e v="#VALUE!"/>
    <n v="0"/>
    <x v="1"/>
    <n v="1"/>
    <x v="1"/>
    <n v="0"/>
    <n v="0"/>
    <x v="1"/>
    <n v="0"/>
    <n v="0"/>
    <n v="0"/>
    <n v="0"/>
    <x v="1"/>
    <n v="1"/>
    <n v="1"/>
    <x v="1"/>
    <n v="0"/>
    <n v="0"/>
    <x v="1"/>
    <d v="2024-06-13T00:00:00"/>
    <m/>
    <x v="1"/>
    <x v="0"/>
    <x v="0"/>
    <x v="1"/>
    <x v="1"/>
    <x v="0"/>
    <b v="1"/>
    <m/>
    <m/>
    <m/>
    <m/>
    <m/>
    <b v="1"/>
    <m/>
    <m/>
    <m/>
    <m/>
    <m/>
    <m/>
    <m/>
    <m/>
    <m/>
    <b v="1"/>
  </r>
  <r>
    <s v="CICkQLGFmkGIArZlpNVr4GUAF_4B"/>
    <x v="586"/>
    <x v="10"/>
    <s v="Shannon Blais - Network;Nannette Umpierre;Daniela Maroto - Network"/>
    <s v="Test Method;Raw material;am;Skeleton Build"/>
    <s v="sop # a0791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e v="#VALUE!"/>
    <n v="0"/>
    <x v="1"/>
    <n v="1"/>
    <x v="1"/>
    <n v="0"/>
    <n v="0"/>
    <x v="1"/>
    <n v="0"/>
    <n v="0"/>
    <n v="0"/>
    <n v="0"/>
    <x v="1"/>
    <n v="1"/>
    <n v="1"/>
    <x v="1"/>
    <n v="0"/>
    <n v="0"/>
    <x v="1"/>
    <d v="2024-06-14T00:00:00"/>
    <d v="2024-07-29T00:00:00"/>
    <x v="1"/>
    <x v="0"/>
    <x v="0"/>
    <x v="1"/>
    <x v="1"/>
    <x v="1"/>
    <b v="1"/>
    <m/>
    <m/>
    <m/>
    <m/>
    <m/>
    <b v="1"/>
    <m/>
    <m/>
    <m/>
    <m/>
    <m/>
    <m/>
    <m/>
    <m/>
    <m/>
    <b v="1"/>
  </r>
  <r>
    <s v="lbsaFi9ztEq77u3GzRjdGWUAA5i8"/>
    <x v="587"/>
    <x v="10"/>
    <s v="Nannette Umpierre;Rhoda Gill;Daniela Maroto - Network"/>
    <s v="Test Method;Raw material;am;Skeleton Build"/>
    <s v="sop # a07500 _x000a_ _x000a_verification complete: 06/26/2024 _x000a_ _x000a_config start date: 05/29/2024 _x000a_ _x000a_all config blocked start date: na  _x000a_ _x000a_all config blocked end date:  na _x000a_ _x000a_config end date: 05/30/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6/2024 _x000a_ _x000a_ready to migrate date:07/30/2024"/>
    <x v="2"/>
    <x v="2"/>
    <e v="#VALUE!"/>
    <n v="0"/>
    <x v="1"/>
    <n v="1"/>
    <x v="1"/>
    <n v="0"/>
    <n v="0"/>
    <x v="1"/>
    <n v="0"/>
    <n v="0"/>
    <n v="0"/>
    <n v="0"/>
    <x v="1"/>
    <n v="1"/>
    <n v="1"/>
    <x v="1"/>
    <n v="0"/>
    <n v="0"/>
    <x v="1"/>
    <d v="2024-06-26T00:00:00"/>
    <d v="2024-07-30T00:00:00"/>
    <x v="1"/>
    <x v="0"/>
    <x v="0"/>
    <x v="1"/>
    <x v="1"/>
    <x v="1"/>
    <b v="1"/>
    <m/>
    <m/>
    <m/>
    <m/>
    <m/>
    <b v="1"/>
    <m/>
    <m/>
    <m/>
    <m/>
    <m/>
    <m/>
    <m/>
    <m/>
    <m/>
    <b v="1"/>
  </r>
  <r>
    <s v="s-iT1iQVS0GILLjnTC8mOGUAAOuA"/>
    <x v="588"/>
    <x v="15"/>
    <s v="Fabian Soma - Network;Alejandra Robles - Network;Daniel Bonilla - Network;Nannette Umpierre;Daniela Maroto - Network"/>
    <s v="Test Method;Raw material;am;Skeleton Build"/>
    <s v="sop # a07499 _x000a_ _x000a_config start date:06/10/2024 _x000a_ _x000a_all config blocked start date:  _x000a_ _x000a_all config blocked end date:   _x000a_ _x000a_config end date: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_x000a_ _x000a_all client blocked end date:   _x000a_ _x000a_all client rework required end date:  06/14/2024 _x000a_ _x000a_------------------------------------------------------------------------------------------- _x000a_ _x000a_verification complete date:  06/14/2024 _x000a_ _x000a_ready to migrate date:"/>
    <x v="2"/>
    <x v="2"/>
    <e v="#VALUE!"/>
    <n v="0"/>
    <x v="1"/>
    <n v="1"/>
    <x v="1"/>
    <n v="0"/>
    <n v="0"/>
    <x v="1"/>
    <n v="0"/>
    <n v="0"/>
    <n v="0"/>
    <n v="0"/>
    <x v="1"/>
    <n v="1"/>
    <n v="1"/>
    <x v="1"/>
    <e v="#VALUE!"/>
    <n v="0"/>
    <x v="1"/>
    <d v="2024-06-14T00:00:00"/>
    <m/>
    <x v="1"/>
    <x v="0"/>
    <x v="0"/>
    <x v="1"/>
    <x v="1"/>
    <x v="0"/>
    <b v="1"/>
    <m/>
    <m/>
    <m/>
    <m/>
    <m/>
    <b v="1"/>
    <m/>
    <m/>
    <m/>
    <m/>
    <m/>
    <m/>
    <m/>
    <m/>
    <m/>
    <b v="1"/>
  </r>
  <r>
    <s v="wcpi8mRlQUGOeJo2uzovOmUAOMpu"/>
    <x v="589"/>
    <x v="14"/>
    <s v="Fabian Soma - Network"/>
    <s v="Test Method;Consumable;Raw material;am;Full Build"/>
    <s v="sop # a07278 _x000a_ _x000a_config start date: 05/24/2024 _x000a_ _x000a_all config blocked start date:  _x000a_ _x000a_all config blocked end date: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pHJpRsbQJkyDtnygokXr2mUAHR1y"/>
    <x v="590"/>
    <x v="13"/>
    <s v="Alejandra Robles - Network;Daniel Bonilla - Network;Nannette Umpierre;Rhoda Gill"/>
    <s v="Test Method;Consumable;Raw material;am;Skeleton Build"/>
    <s v="sop # a06928 _x000a_ _x000a_config start date: 05/29/2024 _x000a_ _x000a_all config blocked start date: na _x000a_ _x000a_all config blocked end date:  na _x000a_ _x000a_config end date: 05/31/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miguel lozada _x000a_ _x000a_all client verification start date: 06/14/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x v="2"/>
    <x v="1"/>
    <e v="#VALUE!"/>
    <n v="0"/>
    <x v="1"/>
    <n v="1"/>
    <x v="1"/>
    <n v="0"/>
    <n v="0"/>
    <x v="1"/>
    <n v="0"/>
    <n v="0"/>
    <n v="0"/>
    <n v="0"/>
    <x v="1"/>
    <n v="1"/>
    <n v="1"/>
    <x v="1"/>
    <n v="0"/>
    <n v="0"/>
    <x v="1"/>
    <d v="2024-06-25T00:00:00"/>
    <m/>
    <x v="1"/>
    <x v="0"/>
    <x v="0"/>
    <x v="1"/>
    <x v="1"/>
    <x v="0"/>
    <b v="1"/>
    <m/>
    <m/>
    <m/>
    <m/>
    <m/>
    <b v="1"/>
    <m/>
    <m/>
    <m/>
    <m/>
    <m/>
    <m/>
    <m/>
    <m/>
    <m/>
    <b v="1"/>
  </r>
  <r>
    <s v="PPyLdiWwDke6vEmgZSxENmUAO8AG"/>
    <x v="591"/>
    <x v="10"/>
    <s v="Shannon Blais - Network;Nannette Umpierre;Rhoda Gill;Daniela Maroto - Network"/>
    <s v="Test Method;Raw material;am;Skeleton Build"/>
    <s v="sop # a06927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e v="#VALUE!"/>
    <n v="0"/>
    <x v="1"/>
    <n v="1"/>
    <x v="1"/>
    <n v="0"/>
    <n v="0"/>
    <x v="1"/>
    <n v="0"/>
    <n v="0"/>
    <n v="0"/>
    <n v="0"/>
    <x v="1"/>
    <n v="1"/>
    <n v="1"/>
    <x v="1"/>
    <n v="0"/>
    <n v="0"/>
    <x v="1"/>
    <d v="2024-06-27T00:00:00"/>
    <d v="2024-07-30T00:00:00"/>
    <x v="1"/>
    <x v="0"/>
    <x v="0"/>
    <x v="1"/>
    <x v="1"/>
    <x v="1"/>
    <b v="1"/>
    <m/>
    <m/>
    <m/>
    <m/>
    <m/>
    <b v="1"/>
    <m/>
    <m/>
    <m/>
    <m/>
    <m/>
    <m/>
    <m/>
    <m/>
    <m/>
    <b v="1"/>
  </r>
  <r>
    <s v="F4yVP6deK0Gqid7CGWy5lGUAHi0-"/>
    <x v="592"/>
    <x v="10"/>
    <s v="Fabian Soma - Network;Nannette Umpierre;Rhoda Gill"/>
    <s v="Test Method;Raw material;am;Skeleton Build"/>
    <s v="sop # a06925 _x000a_ _x000a_config start date: 05/27/2024 _x000a_ _x000a_all config blocked start date: na _x000a_ _x000a_all config blocked end date:  na _x000a_ _x000a_config end date: 05/31/2024 _x000a_ _x000a_ -------------------------------------------------------------------------------------------- _x000a_ _x000a_all peer review start date: 06/18/2024 _x000a_ _x000a_all peer review end date: 06/18/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8/2024 _x000a_ _x000a_verification assigned to:  noel mendez _x000a_ _x000a_all client verification start date:  06/18/2024 _x000a_ _x000a_all client verification end date: 06/19/2024 _x000a_ _x000a_all client rework required start date: na _x000a_ _x000a_all client blocked start date: na _x000a_ _x000a_all client blocked end date:  na _x000a_ _x000a_all client rework required end date:  na _x000a_ _x000a_------------------------------------------------------------------------------------------- _x000a_ _x000a_verification complete date:  07/10/2024 _x000a_ _x000a_ready to migrate date:07/30/2024"/>
    <x v="2"/>
    <x v="2"/>
    <e v="#VALUE!"/>
    <n v="0"/>
    <x v="1"/>
    <n v="1"/>
    <x v="1"/>
    <n v="0"/>
    <n v="0"/>
    <x v="1"/>
    <n v="0"/>
    <n v="0"/>
    <n v="0"/>
    <n v="0"/>
    <x v="1"/>
    <n v="1"/>
    <n v="1"/>
    <x v="1"/>
    <n v="0"/>
    <n v="0"/>
    <x v="1"/>
    <d v="2024-07-10T00:00:00"/>
    <d v="2024-07-30T00:00:00"/>
    <x v="1"/>
    <x v="0"/>
    <x v="0"/>
    <x v="1"/>
    <x v="1"/>
    <x v="1"/>
    <b v="1"/>
    <m/>
    <m/>
    <m/>
    <m/>
    <m/>
    <b v="1"/>
    <m/>
    <m/>
    <m/>
    <m/>
    <m/>
    <m/>
    <m/>
    <m/>
    <m/>
    <b v="1"/>
  </r>
  <r>
    <s v="_965G-dEwka1pdpCRXQab2UAB74Z"/>
    <x v="593"/>
    <x v="10"/>
    <s v="Daniel Bonilla - Network;Nannette Umpierre"/>
    <s v="Test Method;Consumable;Raw material;am;Skeleton Build"/>
    <s v="sop # a06302 _x000a_ _x000a_config start date: 06/10/2024 _x000a_ _x000a_all config blocked start date: na _x000a_ _x000a_all config blocked end date:  na _x000a_ _x000a_config end date: 06/10/2024 _x000a_ _x000a_ -------------------------------------------------------------------------------------------- _x000a_ _x000a_all peer review start date: 06/10/2024 _x000a_ _x000a_all peer review end date: 06/1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1/2024 _x000a_ _x000a_verification assigned to:  nannette umpierre _x000a_ _x000a_all client verification start date: 06/11/2024 _x000a_ _x000a_all client verification end date: 06/12/2024 _x000a_ _x000a_all client rework required start date: na _x000a_ _x000a_all client blocked start date: na _x000a_ _x000a_all client blocked end date:  na _x000a_ _x000a_all client rework required end date:  na _x000a_ _x000a_------------------------------------------------------------------------------------------- _x000a_ _x000a_verification complete date:  06/12/2024 _x000a_ _x000a_ready to migrate date:  06/12/2024"/>
    <x v="2"/>
    <x v="2"/>
    <e v="#VALUE!"/>
    <n v="0"/>
    <x v="1"/>
    <n v="1"/>
    <x v="1"/>
    <n v="0"/>
    <n v="0"/>
    <x v="1"/>
    <n v="0"/>
    <n v="0"/>
    <n v="0"/>
    <n v="0"/>
    <x v="1"/>
    <n v="1"/>
    <n v="1"/>
    <x v="1"/>
    <n v="0"/>
    <n v="0"/>
    <x v="1"/>
    <d v="2024-06-12T00:00:00"/>
    <d v="2024-06-12T00:00:00"/>
    <x v="1"/>
    <x v="0"/>
    <x v="0"/>
    <x v="1"/>
    <x v="1"/>
    <x v="1"/>
    <b v="1"/>
    <m/>
    <m/>
    <m/>
    <m/>
    <m/>
    <b v="1"/>
    <m/>
    <m/>
    <m/>
    <m/>
    <m/>
    <m/>
    <m/>
    <m/>
    <m/>
    <b v="1"/>
  </r>
  <r>
    <s v="qHcgK1W3C0iv-QHohlE5fmUAFimt"/>
    <x v="594"/>
    <x v="10"/>
    <s v="Nannette Umpierre;Rhoda Gill;Daniela Maroto - Network"/>
    <s v="Test Method;Consumable;Raw material;am;Skeleton Build"/>
    <s v="sop # a06301 _x000a_ _x000a_config start date: 05/20/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1/2024 _x000a_ _x000a_verification assigned to: miguel lozada  _x000a_ _x000a_all client verification start date: 06/20/2024 _x000a_ _x000a_all client verification end date: 06/21/2024 _x000a_ _x000a_all client rework required start date: 07/01/2024 _x000a_ _x000a_all client blocked start date: na _x000a_ _x000a_all client blocked end date: na _x000a_ _x000a_all client rework required end date: 07/01/2024  _x000a_ _x000a_------------------------------------------------------------------------------------------- _x000a_ _x000a_re-verification: 07/01/2024 _x000a_ _x000a_verification complete date: 07/01/2024 _x000a_ _x000a_ready to migrate date:07/30/2024"/>
    <x v="2"/>
    <x v="2"/>
    <e v="#VALUE!"/>
    <n v="0"/>
    <x v="1"/>
    <n v="1"/>
    <x v="1"/>
    <n v="0"/>
    <n v="0"/>
    <x v="1"/>
    <n v="0"/>
    <n v="0"/>
    <n v="0"/>
    <n v="0"/>
    <x v="1"/>
    <n v="2"/>
    <n v="1"/>
    <x v="1"/>
    <e v="#VALUE!"/>
    <n v="0"/>
    <x v="1"/>
    <d v="2024-07-01T00:00:00"/>
    <d v="2024-07-30T00:00:00"/>
    <x v="1"/>
    <x v="0"/>
    <x v="0"/>
    <x v="1"/>
    <x v="1"/>
    <x v="1"/>
    <b v="1"/>
    <m/>
    <m/>
    <m/>
    <m/>
    <m/>
    <b v="1"/>
    <m/>
    <m/>
    <m/>
    <m/>
    <m/>
    <m/>
    <m/>
    <m/>
    <m/>
    <b v="1"/>
  </r>
  <r>
    <s v="qLfIorIJt0CFjYBqfmQdkWUALJY_"/>
    <x v="595"/>
    <x v="10"/>
    <s v="Shannon Blais - Network;Fabian Soma - Network;Nannette Umpierre;Rhoda Gill"/>
    <s v="Test Method;Consumable;Raw material;am;Skeleton Build"/>
    <s v="sop # a0629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8/2024 _x000a_ _x000a_ready to migrate date:07/30/2024"/>
    <x v="2"/>
    <x v="2"/>
    <e v="#VALUE!"/>
    <n v="0"/>
    <x v="1"/>
    <n v="1"/>
    <x v="1"/>
    <n v="0"/>
    <n v="0"/>
    <x v="1"/>
    <n v="0"/>
    <n v="0"/>
    <n v="0"/>
    <n v="0"/>
    <x v="1"/>
    <n v="1"/>
    <n v="1"/>
    <x v="1"/>
    <n v="0"/>
    <n v="0"/>
    <x v="1"/>
    <d v="2024-06-28T00:00:00"/>
    <d v="2024-07-30T00:00:00"/>
    <x v="1"/>
    <x v="0"/>
    <x v="0"/>
    <x v="1"/>
    <x v="1"/>
    <x v="1"/>
    <b v="1"/>
    <m/>
    <m/>
    <m/>
    <m/>
    <m/>
    <b v="1"/>
    <m/>
    <m/>
    <m/>
    <m/>
    <m/>
    <m/>
    <m/>
    <m/>
    <m/>
    <b v="1"/>
  </r>
  <r>
    <s v="Zh1eTJMk2EarcfXW-v1ND2UABzwP"/>
    <x v="596"/>
    <x v="10"/>
    <s v="Sely Cheung;Nannette Umpierre"/>
    <s v="Test Method;Consumable;Raw material;am;Skeleton Build"/>
    <s v="sop # a06298 _x000a_ _x000a_config start date: 05/31/2024 _x000a_ _x000a_all config blocked start date: na _x000a_ _x000a_all config blocked end date:  na _x000a_ _x000a_config end date: 05/3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miguel lozada _x000a_ _x000a_all client verification start date: 06/13/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4/2024 _x000a_ _x000a_ready to migrate date:07/31/2024"/>
    <x v="2"/>
    <x v="2"/>
    <e v="#VALUE!"/>
    <n v="0"/>
    <x v="1"/>
    <n v="1"/>
    <x v="1"/>
    <n v="0"/>
    <n v="0"/>
    <x v="1"/>
    <n v="0"/>
    <n v="0"/>
    <n v="0"/>
    <n v="0"/>
    <x v="1"/>
    <n v="1"/>
    <n v="1"/>
    <x v="1"/>
    <n v="0"/>
    <n v="0"/>
    <x v="1"/>
    <d v="2024-06-24T00:00:00"/>
    <d v="2024-07-31T00:00:00"/>
    <x v="1"/>
    <x v="0"/>
    <x v="0"/>
    <x v="1"/>
    <x v="1"/>
    <x v="1"/>
    <b v="1"/>
    <m/>
    <m/>
    <m/>
    <m/>
    <m/>
    <b v="1"/>
    <m/>
    <m/>
    <m/>
    <m/>
    <m/>
    <m/>
    <m/>
    <m/>
    <m/>
    <b v="1"/>
  </r>
  <r>
    <s v="T6lzweMvuUmi8Cw7HqFkDGUAOqyk"/>
    <x v="597"/>
    <x v="10"/>
    <s v="Glenda Fernandez - Network;Daniel Bonilla - Network;Nannette Umpierre"/>
    <s v="Test Method;Raw material;am;Skeleton Build"/>
    <s v="sop # a06297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_x000a_ _x000a_all pr rework blocked start date:  _x000a_ _x000a_all pr rework blocked end date:   _x000a_ _x000a_all peer review rework required end date:  _x000a_ _x000a_-------------------------------------------------------------------------------------------- _x000a_ _x000a_all ready for demo date: na _x000a_ _x000a_all demo date: na _x000a_ _x000a_all demo rework required start date:  _x000a_ _x000a_all demo blocked start date:  _x000a_ _x000a_all demo blocked end date:  _x000a_ _x000a_all demo rework required end date:  _x000a_ _x000a_-------------------------------------------------------------------------------------------- _x000a_ _x000a_all ready for client verification date: 06/13/2024; 06/14/2024 _x000a_ _x000a_verification assigned to:  nannette umpierre _x000a_ _x000a_all client verification start date: 06/13/2024; 06/14/2024 _x000a_ _x000a_all client verification end date: 06/13/2024;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x v="2"/>
    <x v="2"/>
    <e v="#VALUE!"/>
    <n v="0"/>
    <x v="1"/>
    <n v="1"/>
    <x v="1"/>
    <n v="0"/>
    <n v="0"/>
    <x v="1"/>
    <n v="0"/>
    <n v="0"/>
    <n v="0"/>
    <n v="0"/>
    <x v="1"/>
    <n v="2"/>
    <n v="2"/>
    <x v="1"/>
    <e v="#VALUE!"/>
    <n v="0"/>
    <x v="1"/>
    <d v="2024-06-14T00:00:00"/>
    <m/>
    <x v="1"/>
    <x v="0"/>
    <x v="0"/>
    <x v="1"/>
    <x v="1"/>
    <x v="0"/>
    <b v="1"/>
    <m/>
    <m/>
    <m/>
    <m/>
    <m/>
    <b v="1"/>
    <m/>
    <m/>
    <m/>
    <m/>
    <m/>
    <m/>
    <m/>
    <m/>
    <m/>
    <b v="1"/>
  </r>
  <r>
    <s v="FECL_A-Yf0S2dDnDJ_ksF2UAOfhb"/>
    <x v="598"/>
    <x v="13"/>
    <s v="Daniela Azofeifa;Nannette Umpierre"/>
    <s v="Test Method;Raw material;am;Skeleton Build"/>
    <s v="sop # a06296 _x000a_ _x000a_config start date: 05/29/2024 _x000a_ _x000a_all config blocked start date: na _x000a_ _x000a_all config blocked end date:  na _x000a_ _x000a_config end date: 05/29/2024 _x000a_ _x000a_ -------------------------------------------------------------------------------------------- _x000a_ _x000a_all peer review start date: 06/18/2024 _x000a_ _x000a_all peer review end date: 06/18/2024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06/18/2024 _x000a_ _x000a_verification assigned to:  noel mendez  _x000a_ _x000a_all client verification start date: 06/18/2024 _x000a_ _x000a_all client verification end date: 06/20/2024 _x000a_ _x000a_all client rework required start date:  _x000a_ _x000a_all client blocked start date:  _x000a_ _x000a_all client blocked end date:   _x000a_ _x000a_all client rework required end date:   _x000a_ _x000a_------------------------------------------------------------------------------------------- _x000a_ _x000a_verification complete date:  06/25/2024 _x000a_ _x000a_ready to migrate date:"/>
    <x v="2"/>
    <x v="1"/>
    <e v="#VALUE!"/>
    <n v="0"/>
    <x v="1"/>
    <n v="1"/>
    <x v="1"/>
    <n v="0"/>
    <n v="0"/>
    <x v="1"/>
    <n v="0"/>
    <n v="0"/>
    <n v="0"/>
    <n v="0"/>
    <x v="1"/>
    <n v="1"/>
    <n v="1"/>
    <x v="1"/>
    <n v="0"/>
    <n v="0"/>
    <x v="1"/>
    <d v="2024-06-25T00:00:00"/>
    <m/>
    <x v="1"/>
    <x v="0"/>
    <x v="0"/>
    <x v="1"/>
    <x v="1"/>
    <x v="0"/>
    <b v="1"/>
    <m/>
    <m/>
    <m/>
    <m/>
    <m/>
    <b v="1"/>
    <m/>
    <m/>
    <m/>
    <m/>
    <m/>
    <m/>
    <m/>
    <m/>
    <m/>
    <b v="1"/>
  </r>
  <r>
    <s v="A862-TBbm0OrTXG9Clorw2UAOrLj"/>
    <x v="599"/>
    <x v="10"/>
    <s v="Glenda Fernandez - Network;Daniel Bonilla - Network;Nannette Umpierre"/>
    <s v="Test Method;Raw material;am;Skeleton Build"/>
    <s v="sop # a05926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oel mendez _x000a_ _x000a_all client verification start date: 06/14/2024 _x000a_ _x000a_all client verification end date: 06/14/2024 _x000a_ _x000a_all client rework required start date: na _x000a_ _x000a_all client blocked start date: na _x000a_ _x000a_all client blocked end date:  na _x000a_ _x000a_all client rework required end date:  na _x000a_ _x000a_------------------------------------------------------------------------------------------- _x000a_ _x000a_verification complete date:  06/14/2024 _x000a_ _x000a_ready to migrate date: 7/29/2024"/>
    <x v="2"/>
    <x v="2"/>
    <e v="#VALUE!"/>
    <n v="0"/>
    <x v="1"/>
    <n v="1"/>
    <x v="1"/>
    <n v="0"/>
    <n v="0"/>
    <x v="1"/>
    <n v="0"/>
    <n v="0"/>
    <n v="0"/>
    <n v="0"/>
    <x v="1"/>
    <n v="1"/>
    <n v="1"/>
    <x v="1"/>
    <n v="0"/>
    <n v="0"/>
    <x v="1"/>
    <d v="2024-06-14T00:00:00"/>
    <d v="2024-07-29T00:00:00"/>
    <x v="1"/>
    <x v="0"/>
    <x v="0"/>
    <x v="1"/>
    <x v="1"/>
    <x v="1"/>
    <b v="1"/>
    <m/>
    <m/>
    <m/>
    <m/>
    <m/>
    <b v="1"/>
    <m/>
    <m/>
    <m/>
    <m/>
    <m/>
    <m/>
    <m/>
    <m/>
    <m/>
    <b v="1"/>
  </r>
  <r>
    <s v="BLDhlUgWYEODxnRLPBQfNmUAGdDH"/>
    <x v="600"/>
    <x v="10"/>
    <s v="Daniel Bonilla - Network;Nannette Umpierre;Rhoda Gill"/>
    <s v="Test Method;Consumable;Raw material;am;Skeleton Build"/>
    <s v="sop # a05919 _x000a_ _x000a_config start date: 05/21/2024 _x000a_ _x000a_all config blocked start date: na _x000a_ _x000a_all config blocked end date: na _x000a_ _x000a_config end date:  05/22/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miguel lozada _x000a_ _x000a_all client verification start date: 06/19/2024; 07/01/2024 _x000a_ _x000a_all client verification end date: 06/21/2024; 07/01/2024 _x000a_ _x000a_all client rework required start date: 07/01/2024 _x000a_ _x000a_all client blocked start date: na _x000a_ _x000a_all client blocked end date: na  _x000a_ _x000a_all client rework required end date: 07/01/2024 _x000a_ _x000a_------------------------------------------------------------------------------------------- _x000a_ _x000a_verification complete date: 07/01/2024 _x000a_ _x000a_ready to migrate date:07/31/2024"/>
    <x v="2"/>
    <x v="2"/>
    <e v="#VALUE!"/>
    <n v="0"/>
    <x v="1"/>
    <n v="1"/>
    <x v="1"/>
    <n v="0"/>
    <n v="0"/>
    <x v="1"/>
    <n v="0"/>
    <n v="0"/>
    <n v="0"/>
    <n v="0"/>
    <x v="1"/>
    <n v="2"/>
    <n v="2"/>
    <x v="1"/>
    <e v="#VALUE!"/>
    <n v="0"/>
    <x v="1"/>
    <d v="2024-07-01T00:00:00"/>
    <d v="2024-07-31T00:00:00"/>
    <x v="1"/>
    <x v="0"/>
    <x v="0"/>
    <x v="1"/>
    <x v="1"/>
    <x v="1"/>
    <b v="1"/>
    <m/>
    <m/>
    <m/>
    <m/>
    <m/>
    <b v="1"/>
    <m/>
    <m/>
    <m/>
    <m/>
    <m/>
    <m/>
    <m/>
    <m/>
    <m/>
    <b v="1"/>
  </r>
  <r>
    <s v="R_yH1QLRZkOagaAGugDTrGUAHsZ3"/>
    <x v="601"/>
    <x v="10"/>
    <s v="Rhoda Gill - Network;Shannon Blais - Network;Alejandra Robles - Network;Miguel A Lozada;Nannette Umpierre"/>
    <s v="Test Method;Raw material;am;Skeleton Build"/>
    <s v="sop # a05918 _x000a_ _x000a_config start date: 05/31/2024 _x000a_ _x000a_all config blocked start date:  _x000a_ _x000a_all config blocked end date:   _x000a_ _x000a_config end date: 06/03/2024 _x000a_ _x000a_ -------------------------------------------------------------------------------------------- _x000a_ _x000a_all peer review start date: 06/20/2024 _x000a_ _x000a_all peer review end date: 06/20/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20/2024; 07/03/2024 _x000a_ _x000a_verification assigned to:  miguel lozada _x000a_ _x000a_all client verification start date: 06/20/2024 _x000a_ _x000a_all client verification end date: 06/20/2024 _x000a_ _x000a_all client rework required start date: 07/03/2024 _x000a_ _x000a_all client blocked start date: na _x000a_ _x000a_all client blocked end date:  na _x000a_ _x000a_all client rework required end date:  07/03/2024 _x000a_ _x000a_------------------------------------------------------------------------------------------- _x000a_ _x000a_verification complete date:  07/10/2024 _x000a_ _x000a_ready to migrate date:07/30/2024"/>
    <x v="2"/>
    <x v="2"/>
    <e v="#VALUE!"/>
    <n v="0"/>
    <x v="1"/>
    <n v="1"/>
    <x v="1"/>
    <n v="0"/>
    <n v="0"/>
    <x v="1"/>
    <n v="0"/>
    <n v="0"/>
    <n v="0"/>
    <n v="0"/>
    <x v="1"/>
    <n v="2"/>
    <n v="1"/>
    <x v="1"/>
    <e v="#VALUE!"/>
    <n v="0"/>
    <x v="1"/>
    <d v="2024-07-10T00:00:00"/>
    <d v="2024-07-30T00:00:00"/>
    <x v="1"/>
    <x v="0"/>
    <x v="0"/>
    <x v="1"/>
    <x v="1"/>
    <x v="1"/>
    <b v="1"/>
    <m/>
    <m/>
    <m/>
    <m/>
    <m/>
    <b v="1"/>
    <m/>
    <m/>
    <m/>
    <m/>
    <m/>
    <m/>
    <m/>
    <m/>
    <m/>
    <b v="1"/>
  </r>
  <r>
    <s v="S_91INsVG0itooyHEGPvymUABivL"/>
    <x v="602"/>
    <x v="10"/>
    <s v="Shannon Blais - Network;Fabian Soma - Network;Nannette Umpierre;Rhoda Gill"/>
    <s v="Test Method;Raw material;am;Skeleton Build"/>
    <s v="sop # a05916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e v="#VALUE!"/>
    <n v="0"/>
    <x v="1"/>
    <n v="1"/>
    <x v="1"/>
    <n v="0"/>
    <n v="0"/>
    <x v="1"/>
    <n v="0"/>
    <n v="0"/>
    <n v="0"/>
    <n v="0"/>
    <x v="1"/>
    <n v="1"/>
    <n v="1"/>
    <x v="1"/>
    <n v="0"/>
    <n v="0"/>
    <x v="1"/>
    <d v="2024-06-27T00:00:00"/>
    <d v="2024-07-30T00:00:00"/>
    <x v="1"/>
    <x v="0"/>
    <x v="0"/>
    <x v="1"/>
    <x v="1"/>
    <x v="1"/>
    <b v="1"/>
    <m/>
    <m/>
    <m/>
    <m/>
    <m/>
    <b v="1"/>
    <m/>
    <m/>
    <m/>
    <m/>
    <m/>
    <m/>
    <m/>
    <m/>
    <m/>
    <b v="1"/>
  </r>
  <r>
    <s v="OO8SSyZ9Q0mt4P3ce_Gk4WUAHcBp"/>
    <x v="603"/>
    <x v="14"/>
    <s v="Rhoda Gill;Daniela Maroto - Network"/>
    <s v="Test Method;Consumable;Raw material;am;Full Build"/>
    <s v="sop # a04964 _x000a_ _x000a_config start date: 06/05/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xAqeRZ0KnUWaimuWLz8CrWUAD75x"/>
    <x v="604"/>
    <x v="14"/>
    <s v="Rhoda Gill - Network;Kimberly Mata - Network"/>
    <s v="Test Method;Consumable;Raw material;am;Full Build"/>
    <s v="sop # a04963 _x000a_ _x000a_config start date: 05/24/24 _x000a_ _x000a_all config blocked start date:na _x000a_ _x000a_all config blocked end date:na _x000a_ _x000a_config end date: 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A254g2lvVEuxG9y82Q9vb2UAH0MH"/>
    <x v="605"/>
    <x v="10"/>
    <s v="Alejandra Robles - Network;Daniel Bonilla - Network;Nannette Umpierre"/>
    <s v="Test Method;Raw material;am;Skeleton Build"/>
    <s v="sop # a04918 _x000a_ _x000a_config start date: 06/10/2024 _x000a_ _x000a_all config blocked start date: na _x000a_ _x000a_all config blocked end date:  na _x000a_ _x000a_config end date: 06/10/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  06/14/2024 _x000a_ _x000a_ready to migrate date: 7/29/2024"/>
    <x v="2"/>
    <x v="2"/>
    <e v="#VALUE!"/>
    <n v="0"/>
    <x v="1"/>
    <n v="1"/>
    <x v="1"/>
    <n v="0"/>
    <n v="0"/>
    <x v="1"/>
    <n v="0"/>
    <n v="0"/>
    <n v="0"/>
    <n v="0"/>
    <x v="1"/>
    <n v="2"/>
    <n v="1"/>
    <x v="1"/>
    <e v="#VALUE!"/>
    <n v="0"/>
    <x v="1"/>
    <d v="2024-06-14T00:00:00"/>
    <d v="2024-07-29T00:00:00"/>
    <x v="1"/>
    <x v="0"/>
    <x v="0"/>
    <x v="1"/>
    <x v="1"/>
    <x v="1"/>
    <b v="1"/>
    <m/>
    <m/>
    <m/>
    <m/>
    <m/>
    <b v="1"/>
    <m/>
    <m/>
    <m/>
    <m/>
    <m/>
    <m/>
    <m/>
    <m/>
    <m/>
    <b v="1"/>
  </r>
  <r>
    <s v="ors4Xj4BRkWa8vM9rHMEL2UALvwL"/>
    <x v="606"/>
    <x v="10"/>
    <s v="Nannette Umpierre;Rhoda Gill;Daniela Maroto - Network"/>
    <s v="Test Method;Raw material;am;Skeleton Build"/>
    <s v="sop # a04917 _x000a_ _x000a_config start date: 06/10/2024 _x000a_ _x000a_all config blocked start date: na _x000a_ _x000a_all config blocked end date:  na _x000a_ _x000a_config end date: 06/11/2024 _x000a_ _x000a_ -------------------------------------------------------------------------------------------- _x000a_ _x000a_all peer review start date: 06/13/2024 _x000a_ _x000a_all peer review end date: 06/13/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nannette umpierre _x000a_ _x000a_all client verification start date: 06/13/2024 _x000a_ _x000a_all client verification end date: 06/13/2024 _x000a_ _x000a_all client rework required start date: na _x000a_ _x000a_all client blocked start date: na _x000a_ _x000a_all client blocked end date:  na _x000a_ _x000a_all client rework required end date:  na _x000a_ _x000a_------------------------------------------------------------------------------------------- _x000a_ _x000a_verification complete date:  06/13/2024 _x000a_ _x000a_ready to migrate date: 7/29/2024"/>
    <x v="2"/>
    <x v="2"/>
    <e v="#VALUE!"/>
    <n v="0"/>
    <x v="1"/>
    <n v="1"/>
    <x v="1"/>
    <n v="0"/>
    <n v="0"/>
    <x v="1"/>
    <n v="0"/>
    <n v="0"/>
    <n v="0"/>
    <n v="0"/>
    <x v="1"/>
    <n v="1"/>
    <n v="1"/>
    <x v="1"/>
    <n v="0"/>
    <n v="0"/>
    <x v="1"/>
    <d v="2024-06-13T00:00:00"/>
    <d v="2024-07-29T00:00:00"/>
    <x v="1"/>
    <x v="0"/>
    <x v="0"/>
    <x v="1"/>
    <x v="1"/>
    <x v="1"/>
    <b v="1"/>
    <m/>
    <m/>
    <m/>
    <m/>
    <m/>
    <b v="1"/>
    <m/>
    <m/>
    <m/>
    <m/>
    <m/>
    <m/>
    <m/>
    <m/>
    <m/>
    <b v="1"/>
  </r>
  <r>
    <s v="tUTnWlPBZky7WoNgkVwuz2UAKraO"/>
    <x v="607"/>
    <x v="10"/>
    <s v="Shannon Blais - Network;Fabian Soma - Network;Nannette Umpierre;Rhoda Gill"/>
    <s v="Test Method;Raw material;am;Skeleton Build"/>
    <s v="sop # a0483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0/2024"/>
    <x v="2"/>
    <x v="2"/>
    <e v="#VALUE!"/>
    <n v="0"/>
    <x v="1"/>
    <n v="1"/>
    <x v="1"/>
    <n v="0"/>
    <n v="0"/>
    <x v="1"/>
    <n v="0"/>
    <n v="0"/>
    <n v="0"/>
    <n v="0"/>
    <x v="1"/>
    <n v="1"/>
    <n v="1"/>
    <x v="1"/>
    <n v="0"/>
    <n v="0"/>
    <x v="1"/>
    <d v="2024-06-27T00:00:00"/>
    <d v="2024-07-30T00:00:00"/>
    <x v="1"/>
    <x v="0"/>
    <x v="0"/>
    <x v="1"/>
    <x v="1"/>
    <x v="1"/>
    <b v="1"/>
    <m/>
    <m/>
    <m/>
    <m/>
    <m/>
    <b v="1"/>
    <m/>
    <m/>
    <m/>
    <m/>
    <m/>
    <m/>
    <m/>
    <m/>
    <m/>
    <b v="1"/>
  </r>
  <r>
    <s v="HlsQePkScUuuuzp7ZDPX_WUAAGp3"/>
    <x v="608"/>
    <x v="10"/>
    <s v="Shannon Blais - Network;Caroline Morice - Network;Nannette Umpierre"/>
    <s v="Test Method;Raw material;am;Skeleton Build"/>
    <s v="sop # a04837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4/2024 _x000a_ _x000a_verification assigned to:  noel mend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07/30/2024"/>
    <x v="2"/>
    <x v="2"/>
    <e v="#VALUE!"/>
    <n v="0"/>
    <x v="1"/>
    <n v="1"/>
    <x v="1"/>
    <n v="0"/>
    <n v="0"/>
    <x v="1"/>
    <n v="0"/>
    <n v="0"/>
    <n v="0"/>
    <n v="0"/>
    <x v="1"/>
    <n v="2"/>
    <n v="1"/>
    <x v="1"/>
    <e v="#VALUE!"/>
    <n v="0"/>
    <x v="1"/>
    <d v="2024-06-14T00:00:00"/>
    <d v="2024-07-30T00:00:00"/>
    <x v="1"/>
    <x v="0"/>
    <x v="0"/>
    <x v="1"/>
    <x v="1"/>
    <x v="1"/>
    <b v="1"/>
    <m/>
    <m/>
    <m/>
    <m/>
    <m/>
    <b v="1"/>
    <m/>
    <m/>
    <m/>
    <m/>
    <m/>
    <m/>
    <m/>
    <m/>
    <m/>
    <b v="1"/>
  </r>
  <r>
    <s v="_eTRv0raqESHsRFJB3nKZ2UAIhFN"/>
    <x v="609"/>
    <x v="10"/>
    <s v="Shannon Blais - Network;Caroline Morice - Network;Nannette Umpierre"/>
    <s v="Test Method;Raw material;am;Skeleton Build"/>
    <s v="sop # a0483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e v="#VALUE!"/>
    <n v="0"/>
    <x v="1"/>
    <n v="1"/>
    <x v="1"/>
    <n v="0"/>
    <n v="0"/>
    <x v="1"/>
    <n v="0"/>
    <n v="0"/>
    <n v="0"/>
    <n v="0"/>
    <x v="1"/>
    <n v="1"/>
    <n v="1"/>
    <x v="1"/>
    <n v="0"/>
    <n v="0"/>
    <x v="1"/>
    <d v="2024-06-25T00:00:00"/>
    <d v="2024-07-29T00:00:00"/>
    <x v="1"/>
    <x v="0"/>
    <x v="0"/>
    <x v="1"/>
    <x v="1"/>
    <x v="1"/>
    <b v="1"/>
    <m/>
    <m/>
    <m/>
    <m/>
    <m/>
    <b v="1"/>
    <m/>
    <m/>
    <m/>
    <m/>
    <m/>
    <m/>
    <m/>
    <m/>
    <m/>
    <b v="1"/>
  </r>
  <r>
    <s v="BcsUiK7enUCDCpXNQzEsP2UAGEHe"/>
    <x v="610"/>
    <x v="10"/>
    <s v="Shannon Blais - Network;Daniel Bonilla - Network;Nannette Umpierre;Rhoda Gill"/>
    <s v="Test Method;Raw material;am;Skeleton Build"/>
    <s v="sop # a04374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07/01/2024 _x000a_ _x000a_all client blocked start date: 07/01/2024 _x000a_ _x000a_all client blocked end date:   _x000a_ _x000a_all client rework required end date:  07/09/2024 _x000a_ _x000a_------------------------------------------------------------------------------------------- _x000a_ _x000a_verification complete date:  07/10/2024 _x000a_ _x000a_ready to migrate date:07/30/2024"/>
    <x v="2"/>
    <x v="2"/>
    <e v="#VALUE!"/>
    <n v="0"/>
    <x v="1"/>
    <n v="1"/>
    <x v="1"/>
    <n v="0"/>
    <n v="0"/>
    <x v="1"/>
    <n v="0"/>
    <n v="0"/>
    <n v="0"/>
    <n v="0"/>
    <x v="1"/>
    <n v="1"/>
    <n v="1"/>
    <x v="1"/>
    <e v="#VALUE!"/>
    <e v="#VALUE!"/>
    <x v="1"/>
    <d v="2024-07-10T00:00:00"/>
    <d v="2024-07-30T00:00:00"/>
    <x v="1"/>
    <x v="0"/>
    <x v="0"/>
    <x v="1"/>
    <x v="1"/>
    <x v="1"/>
    <b v="1"/>
    <m/>
    <m/>
    <m/>
    <m/>
    <m/>
    <b v="1"/>
    <m/>
    <m/>
    <m/>
    <m/>
    <m/>
    <m/>
    <m/>
    <m/>
    <m/>
    <b v="1"/>
  </r>
  <r>
    <s v="xZ6I3fu6HEqagzg6SWd31mUAJq7N"/>
    <x v="611"/>
    <x v="10"/>
    <s v="Shannon Blais - Network;Nannette Umpierre;Daniela Maroto - Network"/>
    <s v="Test Method;am;Skeleton Build"/>
    <s v="sop # a03893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1/2024  _x000a_ _x000a_verification assigned to: noel mendez  _x000a_ _x000a_all client verification start date: 06/19/2024 _x000a_ _x000a_all client verification end date: 06/20/2024 _x000a_ _x000a_all client rework required start date: 06/27/2024 _x000a_ _x000a_all client blocked start date: na _x000a_ _x000a_all client blocked end date: na _x000a_ _x000a_all client rework required end date: 07/01/2024 _x000a_ _x000a_------------------------------------------------------------------------------------------- _x000a_ _x000a_verification complete date:07/01/2024 _x000a_ _x000a_ready to migrate date:07/30/2024"/>
    <x v="2"/>
    <x v="2"/>
    <e v="#VALUE!"/>
    <n v="0"/>
    <x v="1"/>
    <n v="1"/>
    <x v="1"/>
    <n v="0"/>
    <n v="0"/>
    <x v="1"/>
    <n v="0"/>
    <n v="0"/>
    <n v="0"/>
    <n v="0"/>
    <x v="1"/>
    <n v="2"/>
    <n v="1"/>
    <x v="1"/>
    <e v="#VALUE!"/>
    <n v="0"/>
    <x v="1"/>
    <d v="2024-07-01T00:00:00"/>
    <d v="2024-07-30T00:00:00"/>
    <x v="1"/>
    <x v="0"/>
    <x v="0"/>
    <x v="1"/>
    <x v="1"/>
    <x v="1"/>
    <b v="1"/>
    <m/>
    <m/>
    <m/>
    <m/>
    <m/>
    <m/>
    <m/>
    <m/>
    <m/>
    <m/>
    <m/>
    <m/>
    <m/>
    <m/>
    <m/>
    <b v="1"/>
  </r>
  <r>
    <s v="Ixqkw7GvX06ShNoZNPOSD2UAHmxk"/>
    <x v="612"/>
    <x v="1"/>
    <s v="Daniel Bonilla - Network;Raquel Bolaños;Nannette Umpierre;Rhoda Gill"/>
    <s v="Test Method;Consumable;Raw material;Full Build"/>
    <s v="sop # a03891 _x000a_ _x000a_config start date: 04/17/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7/11/2024 _x000a_ _x000a_verification assigned to:  ivette lopez _x000a_ _x000a_all client verification start date: 06/06/2024 _x000a_ _x000a_all client verification end date: 06/10/2024 _x000a_ _x000a_all client rework required start date: 06/12/2024; 7/11/2024 _x000a_ _x000a_all client blocked start date:  _x000a_ _x000a_all client blocked end date:   _x000a_ _x000a_all client rework required end date:  06/17/2024; 7/11/2024 _x000a_ _x000a_------------------------------------------------------------------------------------------- _x000a_ _x000a_verification complete date:   _x000a_ _x000a_ready to migrate date:"/>
    <x v="2"/>
    <x v="1"/>
    <e v="#VALUE!"/>
    <n v="0"/>
    <x v="1"/>
    <n v="1"/>
    <x v="1"/>
    <n v="0"/>
    <n v="0"/>
    <x v="1"/>
    <n v="1"/>
    <n v="1"/>
    <e v="#VALUE!"/>
    <n v="0"/>
    <x v="1"/>
    <n v="2"/>
    <n v="1"/>
    <x v="1"/>
    <e v="#VALUE!"/>
    <n v="0"/>
    <x v="1"/>
    <m/>
    <m/>
    <x v="1"/>
    <x v="0"/>
    <x v="1"/>
    <x v="1"/>
    <x v="1"/>
    <x v="0"/>
    <b v="1"/>
    <m/>
    <m/>
    <m/>
    <m/>
    <m/>
    <b v="1"/>
    <m/>
    <m/>
    <m/>
    <m/>
    <m/>
    <m/>
    <m/>
    <m/>
    <b v="1"/>
    <m/>
  </r>
  <r>
    <s v="NAzIXtw2F02g6o-Sap9Ob2UADBRN"/>
    <x v="613"/>
    <x v="10"/>
    <s v="Shannon Blais - Network;Caroline Morice - Network;Nannette Umpierre"/>
    <s v="Test Method;Raw material;am;Skeleton Build"/>
    <s v="sop # a03890 _x000a_ _x000a_config start date: 05/30/2024 _x000a_ _x000a_all config blocked start date: na _x000a_ _x000a_all config blocked end date:  na _x000a_ _x000a_config end date: 05/30/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ivette lopez _x000a_ _x000a_all client verification start date: 06/14/2024 _x000a_ _x000a_all client verification end date: 06/14/2024 _x000a_ _x000a_all client rework required start date: 06/14/2024 _x000a_ _x000a_all client blocked start date: na _x000a_ _x000a_all client blocked end date:  na _x000a_ _x000a_all client rework required end date:  06/14/2024 _x000a_ _x000a_------------------------------------------------------------------------------------------- _x000a_ _x000a_verification complete date:06/14/2024 _x000a_ _x000a_ready to migrate date:7/30/2024"/>
    <x v="2"/>
    <x v="2"/>
    <e v="#VALUE!"/>
    <n v="0"/>
    <x v="1"/>
    <n v="1"/>
    <x v="1"/>
    <n v="0"/>
    <n v="0"/>
    <x v="1"/>
    <n v="0"/>
    <n v="0"/>
    <n v="0"/>
    <n v="0"/>
    <x v="1"/>
    <n v="1"/>
    <n v="1"/>
    <x v="1"/>
    <e v="#VALUE!"/>
    <n v="0"/>
    <x v="1"/>
    <d v="2024-06-14T00:00:00"/>
    <d v="2024-07-30T00:00:00"/>
    <x v="1"/>
    <x v="0"/>
    <x v="0"/>
    <x v="1"/>
    <x v="1"/>
    <x v="1"/>
    <b v="1"/>
    <m/>
    <m/>
    <m/>
    <m/>
    <m/>
    <b v="1"/>
    <m/>
    <m/>
    <m/>
    <m/>
    <m/>
    <m/>
    <m/>
    <m/>
    <m/>
    <b v="1"/>
  </r>
  <r>
    <s v="LFKYfU34Tke1rAASXXHfFmUAKrCb"/>
    <x v="614"/>
    <x v="10"/>
    <s v="Glenda Fernandez - Network;Caroline Morice - Network;Nannette Umpierre"/>
    <s v="Test Method;Raw material;am;Skeleton Build"/>
    <s v="sop # a03889 _x000a_ _x000a_config start date: 05/28/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06/17/2024 _x000a_ _x000a_verification assigned to:  noel mendez _x000a_ _x000a_all client verification start date: 06/14/2024; 06/27/2024 _x000a_ _x000a_all client verification end date: 06/14/2024; 06/27/2024 _x000a_ _x000a_all client rework required start date: 06/14/2024 _x000a_ _x000a_all client blocked start date:  na _x000a_ _x000a_all client blocked end date:  na _x000a_ _x000a_all client rework required end date:  06/17/2024 _x000a_ _x000a_------------------------------------------------------------------------------------------- _x000a_ _x000a_verification complete date:  06/27/2024 _x000a_ _x000a_ready to migrate date: 7/29/2024"/>
    <x v="2"/>
    <x v="2"/>
    <e v="#VALUE!"/>
    <n v="0"/>
    <x v="1"/>
    <n v="1"/>
    <x v="1"/>
    <n v="0"/>
    <n v="0"/>
    <x v="1"/>
    <n v="0"/>
    <n v="0"/>
    <n v="0"/>
    <n v="0"/>
    <x v="1"/>
    <n v="2"/>
    <n v="2"/>
    <x v="1"/>
    <e v="#VALUE!"/>
    <n v="0"/>
    <x v="1"/>
    <d v="2024-06-27T00:00:00"/>
    <d v="2024-07-29T00:00:00"/>
    <x v="1"/>
    <x v="0"/>
    <x v="0"/>
    <x v="1"/>
    <x v="1"/>
    <x v="1"/>
    <b v="1"/>
    <m/>
    <m/>
    <m/>
    <m/>
    <m/>
    <b v="1"/>
    <m/>
    <m/>
    <m/>
    <m/>
    <m/>
    <m/>
    <m/>
    <m/>
    <m/>
    <b v="1"/>
  </r>
  <r>
    <s v="uSPWBYfkD0WKTNaOTaINPmUAEG6U"/>
    <x v="615"/>
    <x v="10"/>
    <s v="Giuliana Barahona;Nannette Umpierre"/>
    <s v="Test Method;Raw material;am;Skeleton Build"/>
    <s v="sop # a03887 _x000a_ _x000a_config start date: 05/29/2024 _x000a_ _x000a_all config blocked start date: na _x000a_ _x000a_all config blocked end date:  na _x000a_ _x000a_config end date: 05/29/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0/2024 _x000a_ _x000a_all client rework required start date: na _x000a_ _x000a_all client blocked start date: na _x000a_ _x000a_all client blocked end date:  na _x000a_ _x000a_all client rework required end date:  na _x000a_ _x000a_------------------------------------------------------------------------------------------- _x000a_ _x000a_verification complete date:  06/27/2024 _x000a_ _x000a_ready to migrate date:07/31/2024"/>
    <x v="2"/>
    <x v="2"/>
    <e v="#VALUE!"/>
    <n v="0"/>
    <x v="1"/>
    <n v="1"/>
    <x v="1"/>
    <n v="0"/>
    <n v="0"/>
    <x v="1"/>
    <n v="0"/>
    <n v="0"/>
    <n v="0"/>
    <n v="0"/>
    <x v="1"/>
    <n v="1"/>
    <n v="1"/>
    <x v="1"/>
    <n v="0"/>
    <n v="0"/>
    <x v="1"/>
    <d v="2024-06-27T00:00:00"/>
    <d v="2024-07-31T00:00:00"/>
    <x v="1"/>
    <x v="0"/>
    <x v="0"/>
    <x v="1"/>
    <x v="1"/>
    <x v="1"/>
    <b v="1"/>
    <m/>
    <m/>
    <m/>
    <m/>
    <m/>
    <b v="1"/>
    <m/>
    <m/>
    <m/>
    <m/>
    <m/>
    <m/>
    <m/>
    <m/>
    <m/>
    <b v="1"/>
  </r>
  <r>
    <s v="ml4nXL89aE-wHstySgsNwmUAHNqN"/>
    <x v="616"/>
    <x v="10"/>
    <s v="Shannon Blais - Network;Caroline Morice - Network;Nannette Umpierre"/>
    <s v="Test Method;Raw material;am;Skeleton Build"/>
    <s v="sop # a03885 _x000a_ _x000a_config start date: 05/29/2024 _x000a_ _x000a_all config blocked start date: na _x000a_ _x000a_all config blocked end date:  na _x000a_ _x000a_config end date: 05/29/2024 _x000a_ _x000a_ -------------------------------------------------------------------------------------------- _x000a_ _x000a_all peer review start date: 06/14/2024 _x000a_ _x000a_all peer review end date: 06/14/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4/2024 _x000a_ _x000a_verification assigned to:  noel mendez _x000a_ _x000a_all client verification start date: 06/14/2024 _x000a_ _x000a_all client verification end date: 06/17/2024 _x000a_ _x000a_all client rework required start date: na _x000a_ _x000a_all client blocked start date: na _x000a_ _x000a_all client blocked end date:  na _x000a_ _x000a_all client rework required end date:  na _x000a_ _x000a_------------------------------------------------------------------------------------------- _x000a_ _x000a_verification complete date:  06/25/2024 _x000a_ _x000a_ready to migrate date: 7/29/2024"/>
    <x v="2"/>
    <x v="2"/>
    <e v="#VALUE!"/>
    <n v="0"/>
    <x v="1"/>
    <n v="1"/>
    <x v="1"/>
    <n v="0"/>
    <n v="0"/>
    <x v="1"/>
    <n v="0"/>
    <n v="0"/>
    <n v="0"/>
    <n v="0"/>
    <x v="1"/>
    <n v="1"/>
    <n v="1"/>
    <x v="1"/>
    <n v="0"/>
    <n v="0"/>
    <x v="1"/>
    <d v="2024-06-25T00:00:00"/>
    <d v="2024-07-29T00:00:00"/>
    <x v="1"/>
    <x v="0"/>
    <x v="0"/>
    <x v="1"/>
    <x v="1"/>
    <x v="1"/>
    <b v="1"/>
    <m/>
    <m/>
    <m/>
    <m/>
    <m/>
    <b v="1"/>
    <m/>
    <m/>
    <m/>
    <m/>
    <m/>
    <m/>
    <m/>
    <m/>
    <m/>
    <b v="1"/>
  </r>
  <r>
    <s v="BhVqczBixU2NydAz3B99V2UAMxF0"/>
    <x v="617"/>
    <x v="14"/>
    <s v="Fabian Soma - Network"/>
    <s v="Test Method;Consumable;Raw material;am;Full Build"/>
    <s v="sop # a03871 _x000a_ _x000a_config start date: 05/24/2024 _x000a_ _x000a_all config blocked start date: na _x000a_ _x000a_all config blocked end date:  na _x000a_ _x000a_config end date: 06/0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QuTX9b8_YE-bBGs0Wf2zGmUALiMj"/>
    <x v="618"/>
    <x v="14"/>
    <s v="Fabian Soma - Network;Daniel Bonilla - Network;Daniela Maroto - Network"/>
    <s v="Test Method;Consumable;Raw material;am;Full Build"/>
    <s v="sop # a03870 _x000a_ _x000a_config start date: 05/24/2024 _x000a_ _x000a_all config blocked start date: na _x000a_ _x000a_all config blocked end date:  na _x000a_ _x000a_config end date: 06/14/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CQOIQPqTekuWSzFGsZ98mmUAGvHb"/>
    <x v="619"/>
    <x v="10"/>
    <s v="Shannon Blais - Network;Daniel Bonilla - Network;Nannette Umpierre"/>
    <s v="Test Method;Raw material;am;Skeleton Build"/>
    <s v="sop # a03869 _x000a_ _x000a_config start date: 05/29/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06/27/2024 _x000a_ _x000a_verification assigned to: noel mendez  _x000a_ _x000a_all client verification start date: 06/19/2024;06/27/2024 _x000a_ _x000a_all client verification end date: 06/20/2024;06/27/2024 _x000a_ _x000a_all client rework required start date: 06/27/2024 _x000a_ _x000a_all client blocked start date: na _x000a_ _x000a_all client blocked end date: na _x000a_ _x000a_all client rework required end date: 06/27/2024 _x000a_ _x000a_------------------------------------------------------------------------------------------- _x000a_ _x000a_verification complete date: 06/27/2024 _x000a_ _x000a_ready to migrate date: 07/30/2024"/>
    <x v="2"/>
    <x v="2"/>
    <e v="#VALUE!"/>
    <n v="0"/>
    <x v="1"/>
    <n v="1"/>
    <x v="1"/>
    <n v="0"/>
    <n v="0"/>
    <x v="1"/>
    <n v="0"/>
    <n v="0"/>
    <n v="0"/>
    <n v="0"/>
    <x v="1"/>
    <n v="2"/>
    <n v="2"/>
    <x v="1"/>
    <e v="#VALUE!"/>
    <n v="0"/>
    <x v="1"/>
    <d v="2024-06-27T00:00:00"/>
    <d v="2024-07-30T00:00:00"/>
    <x v="1"/>
    <x v="0"/>
    <x v="0"/>
    <x v="1"/>
    <x v="1"/>
    <x v="1"/>
    <b v="1"/>
    <m/>
    <m/>
    <m/>
    <m/>
    <m/>
    <b v="1"/>
    <m/>
    <m/>
    <m/>
    <m/>
    <m/>
    <m/>
    <m/>
    <m/>
    <m/>
    <b v="1"/>
  </r>
  <r>
    <s v="Fh46tLjVdkGgOOGSlzG232UAAPXF"/>
    <x v="620"/>
    <x v="14"/>
    <s v="Fabian Soma - Network;Rhoda Gill"/>
    <s v="Test Method;Consumable;Raw material;am;Full Build"/>
    <s v="sop # a03868 _x000a_ _x000a_config start date: 06/11/2024 _x000a_ _x000a_all config blocked start date: na _x000a_ _x000a_all config blocked end date:  na _x000a_ _x000a_config end date: 06/17/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GqFdykRgfUC2YPbvvIh5MWUAGgxY"/>
    <x v="621"/>
    <x v="6"/>
    <s v="Manu Serrano - Network"/>
    <s v="Test Method;Consumable;Raw material;am;Full Build"/>
    <s v="sop # a03867 _x000a_ _x000a_config start date: 05/30/2024 _x000a_ _x000a_all config blocked start date: _x000a_ _x000a_all config blocked end date:  _x000a_ _x000a_config end date:  7/10/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mbSohaJQoUC0SRBCwyfurmUAOivB"/>
    <x v="622"/>
    <x v="14"/>
    <s v="Rhoda Gill;Daniela Maroto - Network"/>
    <s v="Test Method;Raw material;am;Full Build"/>
    <s v="sop # a03865 _x000a_ _x000a_config start date: 06/06/24 _x000a_ _x000a_all config blocked start date:na _x000a_ _x000a_all config blocked end date:na _x000a_ _x000a_config end date: 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1r_-0J8KcE2IwZtvdLUF1WUAEcpQ"/>
    <x v="623"/>
    <x v="10"/>
    <s v="Sely Cheung;Nannette Umpierre"/>
    <s v="Test Method;Consumable;Raw material;am;Skeleton Build"/>
    <s v="sop # a03253 _x000a_ _x000a_config start date:05/29/24 _x000a_ _x000a_all config blocked start date:na _x000a_ _x000a_all config blocked end date:na _x000a_ _x000a_config end date: 05/30/24 _x000a_ _x000a_ -------------------------------------------------------------------------------------------- _x000a_ _x000a_all peer review start date:06/11/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06/13/24 _x000a_ _x000a_verification assigned to:nannette umpierre _x000a_ _x000a_all client verification start date:06/11/24;06/13/24 _x000a_ _x000a_all client verification end date:06/12/24;06/13/24 _x000a_ _x000a_all client rework required start date:06/13/24 _x000a_ _x000a_all client blocked start date:na _x000a_ _x000a_all client blocked end date:na _x000a_ _x000a_all client rework required end date:06/13/24 _x000a_ _x000a_-------------------------------------------------------------------------------------------- _x000a_ _x000a_verification complete date:06/13/24 _x000a_ _x000a_ready to migrate date: 7/29/2024"/>
    <x v="2"/>
    <x v="2"/>
    <e v="#VALUE!"/>
    <n v="0"/>
    <x v="1"/>
    <n v="1"/>
    <x v="1"/>
    <n v="0"/>
    <n v="0"/>
    <x v="1"/>
    <n v="0"/>
    <n v="0"/>
    <n v="0"/>
    <n v="0"/>
    <x v="1"/>
    <n v="2"/>
    <n v="2"/>
    <x v="1"/>
    <e v="#VALUE!"/>
    <n v="0"/>
    <x v="1"/>
    <d v="2024-06-13T00:00:00"/>
    <d v="2024-07-29T00:00:00"/>
    <x v="1"/>
    <x v="0"/>
    <x v="0"/>
    <x v="1"/>
    <x v="1"/>
    <x v="1"/>
    <b v="1"/>
    <m/>
    <m/>
    <m/>
    <m/>
    <m/>
    <b v="1"/>
    <m/>
    <m/>
    <m/>
    <m/>
    <m/>
    <m/>
    <m/>
    <m/>
    <m/>
    <b v="1"/>
  </r>
  <r>
    <s v="D1MCQfbBPEuQEKfpTWvqc2UAJyno"/>
    <x v="624"/>
    <x v="13"/>
    <s v="Shannon Blais - Network;Daniela Azofeifa;Nannette Umpierre"/>
    <s v="Test Method;Raw material;am;Skeleton Build"/>
    <s v="sop # a03252 _x000a_ _x000a_config start date:05/29/24 _x000a_ _x000a_all config blocked start date: 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
    <x v="2"/>
    <x v="1"/>
    <e v="#VALUE!"/>
    <n v="0"/>
    <x v="1"/>
    <n v="1"/>
    <x v="1"/>
    <n v="0"/>
    <n v="0"/>
    <x v="1"/>
    <n v="0"/>
    <n v="0"/>
    <n v="0"/>
    <n v="0"/>
    <x v="1"/>
    <n v="1"/>
    <n v="1"/>
    <x v="1"/>
    <n v="0"/>
    <n v="0"/>
    <x v="1"/>
    <d v="2024-06-26T00:00:00"/>
    <m/>
    <x v="1"/>
    <x v="0"/>
    <x v="0"/>
    <x v="1"/>
    <x v="1"/>
    <x v="0"/>
    <b v="1"/>
    <m/>
    <m/>
    <m/>
    <m/>
    <m/>
    <b v="1"/>
    <m/>
    <m/>
    <m/>
    <m/>
    <m/>
    <m/>
    <m/>
    <m/>
    <m/>
    <b v="1"/>
  </r>
  <r>
    <s v="goL3rUujFESvWJXdv9lZCGUAG3jB"/>
    <x v="625"/>
    <x v="10"/>
    <s v="Shannon Blais - Network;Caroline Morice - Network;Nannette Umpierre"/>
    <s v="Test Method;Raw material;am;Skeleton Build"/>
    <s v="sop # a03251 _x000a_ _x000a_config start date:05/29/24 _x000a_ _x000a_all config blocked start date:na _x000a_ _x000a_all config blocked end date:na _x000a_ _x000a_config end date: 05/29/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y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e v="#VALUE!"/>
    <n v="0"/>
    <x v="1"/>
    <n v="1"/>
    <x v="1"/>
    <n v="0"/>
    <n v="0"/>
    <x v="1"/>
    <n v="0"/>
    <n v="0"/>
    <n v="0"/>
    <n v="0"/>
    <x v="1"/>
    <n v="2"/>
    <n v="2"/>
    <x v="1"/>
    <e v="#VALUE!"/>
    <n v="0"/>
    <x v="1"/>
    <d v="2024-06-27T00:00:00"/>
    <d v="2024-07-29T00:00:00"/>
    <x v="1"/>
    <x v="0"/>
    <x v="0"/>
    <x v="1"/>
    <x v="1"/>
    <x v="1"/>
    <b v="1"/>
    <m/>
    <m/>
    <m/>
    <m/>
    <m/>
    <b v="1"/>
    <m/>
    <m/>
    <m/>
    <m/>
    <m/>
    <m/>
    <m/>
    <m/>
    <m/>
    <b v="1"/>
  </r>
  <r>
    <s v="TAJiRG10CUiu5retmyzICWUAGFKW"/>
    <x v="626"/>
    <x v="14"/>
    <s v="Rhoda Gill;Daniela Maroto - Network"/>
    <s v="Test Method;Consumable;Raw material;am;Full Build"/>
    <s v="sop # a03158 _x000a_ _x000a_config start date: 05/24/24 _x000a_ _x000a_all config blocked start date: na _x000a_ _x000a_all config blocked end date: na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erfCPu3TyUGMsWA3rQay82UAPh_u"/>
    <x v="627"/>
    <x v="10"/>
    <s v="Alejandra Robles - Network;Daniela Azofeifa;Nannette Umpierre"/>
    <s v="Test Method;Consumable;am"/>
    <s v="sop #a03108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25/24 _x000a_ _x000a_ready to migrate date: 7/29/2024"/>
    <x v="2"/>
    <x v="2"/>
    <e v="#VALUE!"/>
    <n v="0"/>
    <x v="1"/>
    <n v="1"/>
    <x v="1"/>
    <n v="0"/>
    <n v="0"/>
    <x v="1"/>
    <n v="0"/>
    <n v="0"/>
    <n v="0"/>
    <n v="0"/>
    <x v="1"/>
    <n v="1"/>
    <n v="1"/>
    <x v="1"/>
    <n v="0"/>
    <n v="0"/>
    <x v="1"/>
    <d v="2024-06-25T00:00:00"/>
    <d v="2024-07-29T00:00:00"/>
    <x v="1"/>
    <x v="0"/>
    <x v="0"/>
    <x v="1"/>
    <x v="1"/>
    <x v="1"/>
    <b v="1"/>
    <m/>
    <m/>
    <m/>
    <m/>
    <m/>
    <m/>
    <m/>
    <m/>
    <m/>
    <m/>
    <m/>
    <m/>
    <m/>
    <m/>
    <m/>
    <m/>
  </r>
  <r>
    <s v="ApS0d0Fji0S5B2e_mLVPN2UAG5jA"/>
    <x v="628"/>
    <x v="13"/>
    <s v="Daniela Azofeifa;Nannette Umpierre"/>
    <s v="Test Method;Raw material;am;Skeleton Build"/>
    <s v="sop#a03106 _x000a_ _x000a_config start date:05/29/24 _x000a_ _x000a_all config blocked start date: na _x000a_ _x000a_all config blocked end date: na _x000a_ _x000a_config end date: 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 _x000a_ _x000a_verification assigned to:noel mendez _x000a_ _x000a_all client verification start date:06/18/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6/24 _x000a_ _x000a_ready to migrate date:"/>
    <x v="2"/>
    <x v="1"/>
    <e v="#VALUE!"/>
    <n v="0"/>
    <x v="1"/>
    <n v="1"/>
    <x v="1"/>
    <n v="0"/>
    <n v="0"/>
    <x v="1"/>
    <n v="0"/>
    <n v="0"/>
    <n v="0"/>
    <n v="0"/>
    <x v="1"/>
    <n v="1"/>
    <n v="1"/>
    <x v="1"/>
    <n v="0"/>
    <n v="0"/>
    <x v="1"/>
    <d v="2024-06-26T00:00:00"/>
    <m/>
    <x v="1"/>
    <x v="0"/>
    <x v="0"/>
    <x v="1"/>
    <x v="1"/>
    <x v="0"/>
    <b v="1"/>
    <m/>
    <m/>
    <m/>
    <m/>
    <m/>
    <b v="1"/>
    <m/>
    <m/>
    <m/>
    <m/>
    <m/>
    <m/>
    <m/>
    <m/>
    <m/>
    <b v="1"/>
  </r>
  <r>
    <s v="muA5oTKQIUy8njtwRhRbkGUAPbOb"/>
    <x v="629"/>
    <x v="10"/>
    <s v="Alejandra Robles - Network;Daniela Azofeifa;Nannette Umpierre"/>
    <s v="Test Method;Raw material;am;Skeleton Build"/>
    <s v="sop#a03105 _x000a_ _x000a_config start date: 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7/24 _x000a_ _x000a_verification assigned to:noel mendez _x000a_ _x000a_all client verification start date:06/17/24;06/27/24 _x000a_ _x000a_all client verification end date:06/18/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7/29/2024"/>
    <x v="2"/>
    <x v="2"/>
    <e v="#VALUE!"/>
    <n v="0"/>
    <x v="1"/>
    <n v="1"/>
    <x v="1"/>
    <n v="0"/>
    <n v="0"/>
    <x v="1"/>
    <n v="0"/>
    <n v="0"/>
    <n v="0"/>
    <n v="0"/>
    <x v="1"/>
    <n v="2"/>
    <n v="2"/>
    <x v="1"/>
    <e v="#VALUE!"/>
    <n v="0"/>
    <x v="1"/>
    <d v="2024-06-27T00:00:00"/>
    <d v="2024-07-29T00:00:00"/>
    <x v="1"/>
    <x v="0"/>
    <x v="0"/>
    <x v="1"/>
    <x v="1"/>
    <x v="1"/>
    <b v="1"/>
    <m/>
    <m/>
    <m/>
    <m/>
    <m/>
    <b v="1"/>
    <m/>
    <m/>
    <m/>
    <m/>
    <m/>
    <m/>
    <m/>
    <m/>
    <m/>
    <b v="1"/>
  </r>
  <r>
    <s v="QweJDtKMYEiQxi5bY5d3_mUAJkJH"/>
    <x v="630"/>
    <x v="10"/>
    <s v="Alejandra Robles - Network;Daniela Azofeifa;Nannette Umpierre"/>
    <s v="Test Method;Consumable;Raw material;am;Skeleton Build"/>
    <s v="sop#a03104 _x000a_ _x000a_config start date:05/29/24 _x000a_ _x000a_all config blocked start date: na _x000a_ _x000a_all config blocked end date: na _x000a_ _x000a_config end date: 05/29/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7/29/2024"/>
    <x v="2"/>
    <x v="2"/>
    <e v="#VALUE!"/>
    <n v="0"/>
    <x v="1"/>
    <n v="1"/>
    <x v="1"/>
    <n v="0"/>
    <n v="0"/>
    <x v="1"/>
    <n v="0"/>
    <n v="0"/>
    <n v="0"/>
    <n v="0"/>
    <x v="1"/>
    <n v="1"/>
    <n v="1"/>
    <x v="1"/>
    <n v="0"/>
    <n v="0"/>
    <x v="1"/>
    <d v="2024-06-25T00:00:00"/>
    <d v="2024-07-29T00:00:00"/>
    <x v="1"/>
    <x v="0"/>
    <x v="0"/>
    <x v="1"/>
    <x v="1"/>
    <x v="1"/>
    <b v="1"/>
    <m/>
    <m/>
    <m/>
    <m/>
    <m/>
    <b v="1"/>
    <m/>
    <m/>
    <m/>
    <m/>
    <m/>
    <m/>
    <m/>
    <m/>
    <m/>
    <b v="1"/>
  </r>
  <r>
    <s v="G05dEPQaFUiE16jnXpkYm2UANSwi"/>
    <x v="631"/>
    <x v="10"/>
    <s v="Shannon Blais - Network;Nannette Umpierre;Rhoda Gill;Daniela Maroto - Network"/>
    <s v="Test Method;Raw material;am;Skeleton Build"/>
    <s v="sop#a03103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6/24 _x000a_ _x000a_ready to migrate date:07/30/2024"/>
    <x v="2"/>
    <x v="2"/>
    <e v="#VALUE!"/>
    <n v="0"/>
    <x v="1"/>
    <n v="1"/>
    <x v="1"/>
    <n v="0"/>
    <n v="0"/>
    <x v="1"/>
    <n v="0"/>
    <n v="0"/>
    <n v="0"/>
    <n v="0"/>
    <x v="1"/>
    <n v="1"/>
    <n v="1"/>
    <x v="1"/>
    <n v="0"/>
    <n v="0"/>
    <x v="1"/>
    <d v="2024-06-26T00:00:00"/>
    <d v="2024-07-30T00:00:00"/>
    <x v="1"/>
    <x v="0"/>
    <x v="0"/>
    <x v="1"/>
    <x v="1"/>
    <x v="1"/>
    <b v="1"/>
    <m/>
    <m/>
    <m/>
    <m/>
    <m/>
    <b v="1"/>
    <m/>
    <m/>
    <m/>
    <m/>
    <m/>
    <m/>
    <m/>
    <m/>
    <m/>
    <b v="1"/>
  </r>
  <r>
    <s v="7_9lbUYJJUqdRYcjrmt4qWUAHaYj"/>
    <x v="632"/>
    <x v="10"/>
    <s v="Shannon Blais - Network;Fabian Soma - Network;Nannette Umpierre;Rhoda Gill"/>
    <s v="Test Method;Raw material;am;Skeleton Build"/>
    <s v="sop#a03100 _x000a_ _x000a_config start date:05/27/24 _x000a_ _x000a_all config blocked start date: na _x000a_ _x000a_all config blocked end date: na _x000a_ _x000a_config end date: 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 _x000a_ _x000a_verification assigned to:noel mendez _x000a_ _x000a_all client verification start date:06/19/24 _x000a_ _x000a_all client verification end date:06/20/24 _x000a_ _x000a_all client rework required start date:na _x000a_ _x000a_all client blocked start date:na _x000a_ _x000a_all client blocked end date:na _x000a_ _x000a_all client rework required end date:na _x000a_ _x000a_-------------------------------------------------------------------------------------------- _x000a_ _x000a_verification complete date:06/27/24 _x000a_ _x000a_ready to migrate date:07/30/2024"/>
    <x v="2"/>
    <x v="2"/>
    <e v="#VALUE!"/>
    <n v="0"/>
    <x v="1"/>
    <n v="1"/>
    <x v="1"/>
    <n v="0"/>
    <n v="0"/>
    <x v="1"/>
    <n v="0"/>
    <n v="0"/>
    <n v="0"/>
    <n v="0"/>
    <x v="1"/>
    <n v="1"/>
    <n v="1"/>
    <x v="1"/>
    <n v="0"/>
    <n v="0"/>
    <x v="1"/>
    <d v="2024-06-27T00:00:00"/>
    <d v="2024-07-30T00:00:00"/>
    <x v="1"/>
    <x v="0"/>
    <x v="0"/>
    <x v="1"/>
    <x v="1"/>
    <x v="1"/>
    <b v="1"/>
    <m/>
    <m/>
    <m/>
    <m/>
    <m/>
    <b v="1"/>
    <m/>
    <m/>
    <m/>
    <m/>
    <m/>
    <m/>
    <m/>
    <m/>
    <m/>
    <b v="1"/>
  </r>
  <r>
    <s v="IqsnjgOFtU6I-21Cn7rkzmUADLd9"/>
    <x v="633"/>
    <x v="15"/>
    <s v="Sely Cheung;Nannette Umpierre"/>
    <s v="Test Method;Consumable;Intermediate;Raw material;am;Skeleton Build"/>
    <s v="sop # a03094 _x000a_ _x000a_config start date: 05/29/2024 _x000a_ _x000a_all config blocked start date: na _x000a_ _x000a_all config blocked end date:  na _x000a_ _x000a_config end date: 05/29/2024 _x000a_ _x000a_ -------------------------------------------------------------------------------------------- _x000a_ _x000a_all peer review start date: 06/12/2024 _x000a_ _x000a_all peer review end date: 06/12/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3/2024 _x000a_ _x000a_verification assigned to:   _x000a_ _x000a_all client verification start date: 06/13/2024 _x000a_ _x000a_all client verification end date: 06/13/2024 _x000a_ _x000a_all client rework required start date: 06/13/2024 _x000a_ _x000a_all client blocked start date: na _x000a_ _x000a_all client blocked end date:  na _x000a_ _x000a_all client rework required end date:06/13/2024 _x000a_ _x000a_------------------------------------------------------------------------------------------- _x000a_ _x000a_verification complete date:06/13/2024 _x000a_ _x000a_ready to migrate date:"/>
    <x v="2"/>
    <x v="2"/>
    <e v="#VALUE!"/>
    <n v="0"/>
    <x v="1"/>
    <n v="1"/>
    <x v="1"/>
    <n v="0"/>
    <n v="0"/>
    <x v="1"/>
    <n v="0"/>
    <n v="0"/>
    <n v="0"/>
    <n v="0"/>
    <x v="1"/>
    <n v="1"/>
    <n v="1"/>
    <x v="1"/>
    <e v="#VALUE!"/>
    <n v="0"/>
    <x v="1"/>
    <d v="2024-06-13T00:00:00"/>
    <m/>
    <x v="1"/>
    <x v="0"/>
    <x v="0"/>
    <x v="1"/>
    <x v="1"/>
    <x v="0"/>
    <b v="1"/>
    <m/>
    <m/>
    <m/>
    <m/>
    <m/>
    <b v="1"/>
    <m/>
    <m/>
    <m/>
    <m/>
    <m/>
    <m/>
    <m/>
    <m/>
    <m/>
    <b v="1"/>
  </r>
  <r>
    <s v="9-9wnMq2nkeURr-jwSgMrWUANCIJ"/>
    <x v="634"/>
    <x v="10"/>
    <s v="Sely Cheung;Nannette Umpierre"/>
    <s v="Test Method;Consumable;Raw material;am;Skeleton Build"/>
    <s v="sop#a03093 _x000a_ _x000a_config start date:05/29/24 _x000a_ _x000a_all config blocked start date: na _x000a_ _x000a_all config blocked end date: na _x000a_ _x000a_config end date: 05/30/24 _x000a_ _x000a_ -------------------------------------------------------------------------------------------- _x000a_ _x000a_all peer review start date:06/10/24 _x000a_ _x000a_all peer review end date:06/11/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1/24 _x000a_ _x000a_verification assigned to:nannette umpierre _x000a_ _x000a_all client verification start date:06/11/24 _x000a_ _x000a_all client verification end date:06/12/24 _x000a_ _x000a_all client rework required start date:na _x000a_ _x000a_all client blocked start date:na _x000a_ _x000a_all client blocked end date:na _x000a_ _x000a_all client rework required end date:na _x000a_ _x000a_-------------------------------------------------------------------------------------------- _x000a_ _x000a_verification complete date: 06/12/24 _x000a_ _x000a_ready to migrate date:07/31/2024"/>
    <x v="2"/>
    <x v="2"/>
    <e v="#VALUE!"/>
    <n v="0"/>
    <x v="1"/>
    <n v="1"/>
    <x v="1"/>
    <n v="0"/>
    <n v="0"/>
    <x v="1"/>
    <n v="0"/>
    <n v="0"/>
    <n v="0"/>
    <n v="0"/>
    <x v="1"/>
    <n v="1"/>
    <n v="1"/>
    <x v="1"/>
    <n v="0"/>
    <n v="0"/>
    <x v="1"/>
    <d v="2024-06-12T00:00:00"/>
    <d v="2024-07-31T00:00:00"/>
    <x v="1"/>
    <x v="0"/>
    <x v="0"/>
    <x v="1"/>
    <x v="1"/>
    <x v="1"/>
    <b v="1"/>
    <m/>
    <m/>
    <m/>
    <m/>
    <m/>
    <b v="1"/>
    <m/>
    <m/>
    <m/>
    <m/>
    <m/>
    <m/>
    <m/>
    <m/>
    <m/>
    <b v="1"/>
  </r>
  <r>
    <s v="-gDnDkM6KUOXzSXO-2LoBGUAH8na"/>
    <x v="635"/>
    <x v="10"/>
    <s v="Joshua Vargas - Network;Alejandra Robles - Network;Nannette Umpierre;Rhoda Gill"/>
    <s v="Test Method;Raw material;am;Skeleton Build"/>
    <s v="sop # a03090 _x000a_ _x000a_config start date: 06/10/24 _x000a_ _x000a_all config blocked start date:na _x000a_ _x000a_all config blocked end date:na _x000a_ _x000a_config end date: 06/11/24 _x000a_ _x000a_ -------------------------------------------------------------------------------------------- _x000a_ _x000a_all peer review start date: 06/17/2024 _x000a_ _x000a_all peer review end date: 06/17/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7/2024;06/26/2024 _x000a_ _x000a_verification assigned to: noel mendez  _x000a_ _x000a_all client verification start date: 06/17/2024;06/26/2024 _x000a_ _x000a_all client verification end date: 06/18/2024;06/26/2024 _x000a_ _x000a_all client rework required start date: 06/26/2024 _x000a_ _x000a_all client blocked start date: na _x000a_ _x000a_all client blocked end date: na _x000a_ _x000a_all client rework required end date:06/26/2024 _x000a_ _x000a_------------------------------------------------------------------------------------------- _x000a_ _x000a_verification complete date:06/26/2024 _x000a_ _x000a_ready to migrate date: 07/30/2024"/>
    <x v="2"/>
    <x v="2"/>
    <e v="#VALUE!"/>
    <n v="0"/>
    <x v="1"/>
    <n v="1"/>
    <x v="1"/>
    <n v="0"/>
    <n v="0"/>
    <x v="1"/>
    <n v="0"/>
    <n v="0"/>
    <n v="0"/>
    <n v="0"/>
    <x v="1"/>
    <n v="2"/>
    <n v="2"/>
    <x v="1"/>
    <e v="#VALUE!"/>
    <n v="0"/>
    <x v="1"/>
    <d v="2024-06-26T00:00:00"/>
    <d v="2024-07-30T00:00:00"/>
    <x v="1"/>
    <x v="0"/>
    <x v="0"/>
    <x v="1"/>
    <x v="1"/>
    <x v="1"/>
    <b v="1"/>
    <m/>
    <m/>
    <m/>
    <m/>
    <m/>
    <b v="1"/>
    <m/>
    <m/>
    <m/>
    <m/>
    <m/>
    <m/>
    <m/>
    <m/>
    <m/>
    <b v="1"/>
  </r>
  <r>
    <s v="I-mUDezDh0OeYngL4KVhnGUAK4Pv"/>
    <x v="636"/>
    <x v="13"/>
    <s v="Joshua Vargas - Network;Alejandra Robles - Network;Nannette Umpierre;Rhoda Gill"/>
    <s v="Test Method;Raw material;am;Skeleton Build"/>
    <s v="sop#a03089 _x000a_ _x000a_config start date:06/10/24 _x000a_ _x000a_all config blocked start date:na _x000a_ _x000a_all config blocked end date:na _x000a_ _x000a_config end date: 06/1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5/24 _x000a_ _x000a_ready to migrate date:"/>
    <x v="2"/>
    <x v="1"/>
    <e v="#VALUE!"/>
    <n v="0"/>
    <x v="1"/>
    <n v="1"/>
    <x v="1"/>
    <n v="0"/>
    <n v="0"/>
    <x v="1"/>
    <n v="0"/>
    <n v="0"/>
    <n v="0"/>
    <n v="0"/>
    <x v="1"/>
    <n v="1"/>
    <n v="1"/>
    <x v="1"/>
    <n v="0"/>
    <n v="0"/>
    <x v="1"/>
    <d v="2024-06-25T00:00:00"/>
    <m/>
    <x v="1"/>
    <x v="0"/>
    <x v="0"/>
    <x v="1"/>
    <x v="1"/>
    <x v="0"/>
    <b v="1"/>
    <m/>
    <m/>
    <m/>
    <m/>
    <m/>
    <b v="1"/>
    <m/>
    <m/>
    <m/>
    <m/>
    <m/>
    <m/>
    <m/>
    <m/>
    <m/>
    <b v="1"/>
  </r>
  <r>
    <s v="Ccph9R2EgkO3eClPms5xW2UAK52m"/>
    <x v="637"/>
    <x v="3"/>
    <s v="Shannon Blais - Network;Fabian Soma - Network;Miguel A Lozada;Nannette Umpierre;Rhoda Gill;Noel Mendez - Network"/>
    <s v="Test Method;Raw material;Skeleton Build"/>
    <s v="sop # a03023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_x000a_ _x000a_verification assigned to: noel mendez _x000a_ _x000a_all client verification start date:  06/19/2024 _x000a_ _x000a_all client verification end date:  06/21/2024 _x000a_ _x000a_all client rework required start date: 07/22/2024 _x000a_ _x000a_all client blocked start date: 07/22/2024 _x000a_ _x000a_all client blocked end date:  07/25/2024 _x000a_ _x000a_all client rework required end date: 07/30/2024 _x000a_ _x000a_------------------------------------------------------------------------------------------- _x000a_ _x000a_verification complete date:   _x000a_ _x000a_ready to migrate date:"/>
    <x v="2"/>
    <x v="1"/>
    <e v="#VALUE!"/>
    <n v="0"/>
    <x v="1"/>
    <n v="1"/>
    <x v="1"/>
    <n v="0"/>
    <n v="0"/>
    <x v="1"/>
    <n v="0"/>
    <n v="0"/>
    <n v="0"/>
    <n v="0"/>
    <x v="1"/>
    <n v="1"/>
    <n v="1"/>
    <x v="1"/>
    <e v="#VALUE!"/>
    <e v="#VALUE!"/>
    <x v="1"/>
    <m/>
    <m/>
    <x v="1"/>
    <x v="0"/>
    <x v="0"/>
    <x v="1"/>
    <x v="1"/>
    <x v="0"/>
    <b v="1"/>
    <m/>
    <m/>
    <m/>
    <m/>
    <m/>
    <b v="1"/>
    <m/>
    <m/>
    <m/>
    <m/>
    <m/>
    <m/>
    <m/>
    <m/>
    <m/>
    <b v="1"/>
  </r>
  <r>
    <s v="Xaf5tVURRkiC8Em7iNnuIWUAPhoO"/>
    <x v="638"/>
    <x v="13"/>
    <s v="Joshua Vargas - Network;Alejandra Robles - Network;Nannette Umpierre;Rhoda Gill"/>
    <s v="Test Method;Consumable;Raw material;am;Skeleton Build"/>
    <s v="sop#a03020 _x000a_ _x000a_config start date: 06/10/24 _x000a_ _x000a_all config blocked start date: na _x000a_ _x000a_all config blocked end date: na _x000a_ _x000a_config end date: 06/11/24 _x000a_ _x000a_ -------------------------------------------------------------------------------------------- _x000a_ _x000a_all peer review start date:06/17/24 _x000a_ _x000a_all peer review end date:06/17/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 _x000a_ _x000a_verification assigned to:noel mendez _x000a_ _x000a_all client verification start date:06/17/24 _x000a_ _x000a_all client verification end date:06/18/24 _x000a_ _x000a_all client rework required start date:na _x000a_ _x000a_all client blocked start date:na _x000a_ _x000a_all client blocked end date:na _x000a_ _x000a_all client rework required end date:na _x000a_ _x000a_-------------------------------------------------------------------------------------------- _x000a_ _x000a_verification complete date:06/18/24 _x000a_ _x000a_ready to migrate date:"/>
    <x v="2"/>
    <x v="1"/>
    <e v="#VALUE!"/>
    <n v="0"/>
    <x v="1"/>
    <n v="1"/>
    <x v="1"/>
    <n v="0"/>
    <n v="0"/>
    <x v="1"/>
    <n v="0"/>
    <n v="0"/>
    <n v="0"/>
    <n v="0"/>
    <x v="1"/>
    <n v="1"/>
    <n v="1"/>
    <x v="1"/>
    <n v="0"/>
    <n v="0"/>
    <x v="1"/>
    <d v="2024-06-18T00:00:00"/>
    <m/>
    <x v="1"/>
    <x v="0"/>
    <x v="0"/>
    <x v="1"/>
    <x v="1"/>
    <x v="0"/>
    <b v="1"/>
    <m/>
    <m/>
    <m/>
    <m/>
    <m/>
    <b v="1"/>
    <m/>
    <m/>
    <m/>
    <m/>
    <m/>
    <m/>
    <m/>
    <m/>
    <m/>
    <b v="1"/>
  </r>
  <r>
    <s v="eEEDATSZkU-AYEzp6GzFa2UAGSHX"/>
    <x v="639"/>
    <x v="10"/>
    <s v="Shannon Blais - Network;Fabian Soma - Network;Nannette Umpierre;Rhoda Gill;Noel Mendez - Network"/>
    <s v="Test Method;Raw material;am;Skeleton Build"/>
    <s v="sop # a03019 _x000a_ _x000a_config start date: 05/27/2024 _x000a_ _x000a_all config blocked start date: na _x000a_ _x000a_all config blocked end date:  na _x000a_ _x000a_config end date: 05/31/2024 _x000a_ _x000a_ -------------------------------------------------------------------------------------------- _x000a_ _x000a_all peer review start date: 06/19/2024 _x000a_ _x000a_all peer review end date: 06/1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na _x000a_ _x000a_all demo date: na _x000a_ _x000a_all demo rework required start date: na _x000a_ _x000a_all demo blocked start date: na _x000a_ _x000a_all demo blocked end date: na _x000a_ _x000a_all demo rework required end date: na _x000a_ _x000a_-------------------------------------------------------------------------------------------- _x000a_ _x000a_all ready for client verification date: 06/19/2024; 07/02/2024 _x000a_ _x000a_verification assigned to:  noel mendez _x000a_ _x000a_all client verification start date: 06/19/2024 _x000a_ _x000a_all client verification end date: 06/20/2024 _x000a_ _x000a_all client rework required start date: 07/02/2024  _x000a_ _x000a_all client blocked start date: na _x000a_ _x000a_all client blocked end date:  na _x000a_ _x000a_all client rework required end date:  07/02/2024 _x000a_ _x000a_------------------------------------------------------------------------------------------- _x000a_ _x000a_verification complete date:   07/11/2024 _x000a_ _x000a_ready to migrate date:07/31/2024"/>
    <x v="2"/>
    <x v="2"/>
    <e v="#VALUE!"/>
    <n v="0"/>
    <x v="1"/>
    <n v="1"/>
    <x v="1"/>
    <n v="0"/>
    <n v="0"/>
    <x v="1"/>
    <n v="0"/>
    <n v="0"/>
    <n v="0"/>
    <n v="0"/>
    <x v="1"/>
    <n v="2"/>
    <n v="1"/>
    <x v="1"/>
    <e v="#VALUE!"/>
    <n v="0"/>
    <x v="1"/>
    <d v="2024-07-11T00:00:00"/>
    <d v="2024-07-31T00:00:00"/>
    <x v="1"/>
    <x v="0"/>
    <x v="0"/>
    <x v="1"/>
    <x v="1"/>
    <x v="1"/>
    <b v="1"/>
    <m/>
    <m/>
    <m/>
    <m/>
    <m/>
    <b v="1"/>
    <m/>
    <m/>
    <m/>
    <m/>
    <m/>
    <m/>
    <m/>
    <m/>
    <m/>
    <b v="1"/>
  </r>
  <r>
    <s v="EQpTkYGm7kSPcxIYR1nD-2UADTd2"/>
    <x v="640"/>
    <x v="13"/>
    <s v="Shannon Blais - Network;Fabian Soma - Network;Nannette Umpierre"/>
    <s v="Test Method;Raw material;am;Skeleton Build"/>
    <s v="sop#a03018 _x000a_ _x000a_config start date:06/10/24 _x000a_ _x000a_all config blocked start date:na _x000a_ _x000a_all config blocked end date:na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8/24 _x000a_ _x000a_verification assigned to:noel mendez _x000a_ _x000a_all client verification start date:06/17/24;06/18/24 _x000a_ _x000a_all client verification end date:06/17/24;06/18/24 _x000a_ _x000a_all client rework required start date:06/17/24 _x000a_ _x000a_all client blocked start date:na _x000a_ _x000a_all client blocked end date:na _x000a_ _x000a_all client rework required end date:06/18/24 _x000a_ _x000a_-------------------------------------------------------------------------------------------- _x000a_ _x000a_verification complete date:06/27/24 _x000a_ _x000a_ready to migrate date:"/>
    <x v="2"/>
    <x v="1"/>
    <e v="#VALUE!"/>
    <n v="0"/>
    <x v="1"/>
    <n v="1"/>
    <x v="1"/>
    <n v="0"/>
    <n v="0"/>
    <x v="1"/>
    <n v="0"/>
    <n v="0"/>
    <n v="0"/>
    <n v="0"/>
    <x v="1"/>
    <n v="2"/>
    <n v="2"/>
    <x v="1"/>
    <e v="#VALUE!"/>
    <n v="0"/>
    <x v="1"/>
    <d v="2024-06-27T00:00:00"/>
    <m/>
    <x v="1"/>
    <x v="0"/>
    <x v="0"/>
    <x v="1"/>
    <x v="1"/>
    <x v="0"/>
    <b v="1"/>
    <m/>
    <m/>
    <m/>
    <m/>
    <m/>
    <b v="1"/>
    <m/>
    <m/>
    <m/>
    <m/>
    <m/>
    <m/>
    <m/>
    <m/>
    <m/>
    <b v="1"/>
  </r>
  <r>
    <s v="NiBit2kSzE280FJ2z0FDnGUAKX--"/>
    <x v="641"/>
    <x v="14"/>
    <s v="Daniel Bonilla - Network"/>
    <s v="Test Method;Consumable;Raw material;am;Full Build"/>
    <s v="sop#a03017 _x000a_ _x000a_config start date: 06/05/24 _x000a_ _x000a_all config blocked start date: na _x000a_ _x000a_all config blocked end date: na _x000a_ _x000a_config end date: 06/12/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53fJ8g_FNEWK3pCO7wn52mUAJUIw"/>
    <x v="642"/>
    <x v="14"/>
    <s v="Javier Coronado - Network;Rhoda Gill"/>
    <s v="Test Method;Consumable;Raw material;am;Full Build"/>
    <s v="sop#a03016 _x000a_ _x000a_config start date: 05/28/24 _x000a_ _x000a_all config blocked start date: _x000a_ _x000a_all config blocked end date: _x000a_ _x000a_config end date: 06/19/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pBBDkuNkjEeOh-eJoLUs_GUALIDv"/>
    <x v="643"/>
    <x v="14"/>
    <s v="Rhoda Gill;Daniela Maroto - Network"/>
    <s v="Test Method;Consumable;Raw material;am;Full Build"/>
    <s v="sop#a03014 _x000a_ _x000a_config start date:05/24/24 _x000a_ _x000a_all config blocked start date: _x000a_ _x000a_all config blocked end date: _x000a_ _x000a_config end date: 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CGBrkUhjykqk1jucjvZ-BGUAPHhi"/>
    <x v="644"/>
    <x v="10"/>
    <s v="Raquel Bolaños;Nannette Umpierre;Rhoda Gill;Ivette Lopez Blasini - Network;Daniela Maroto - Network"/>
    <s v="Test Method;Consumable;Raw material;am;Full Build"/>
    <s v="sop # a03013 _x000a_ _x000a_config start date: 04/18/2024 _x000a_ _x000a_all config blocked start date: na _x000a_ _x000a_all config blocked end date:  na _x000a_ _x000a_config end date: 05/21/2024 _x000a_ _x000a_ -------------------------------------------------------------------------------------------- _x000a_ _x000a_all peer review start date: 05/29/2024 _x000a_ _x000a_all peer review end date: 05/29/2024 _x000a_ _x000a_all peer review rework required start date: na _x000a_ _x000a_all pr rework blocked start date: na _x000a_ _x000a_all pr rework blocked end date:  na _x000a_ _x000a_all peer review rework required end date: na _x000a_ _x000a_-------------------------------------------------------------------------------------------- _x000a_ _x000a_all ready for demo date: 05/29/2024 _x000a_ _x000a_all demo date: 05/30/2024 _x000a_ _x000a_all demo rework required start date: 05/30/2024 _x000a_ _x000a_all demo blocked start date: na _x000a_ _x000a_all demo blocked end date: na _x000a_ _x000a_all demo rework required end date: 05/30/2024 _x000a_ _x000a_-------------------------------------------------------------------------------------------- _x000a_ _x000a_all ready for client verification date: 06/06/2024; 06/14/2024 _x000a_ _x000a_verification assigned to:  ivette lopez _x000a_ _x000a_all client verification start date: 06/06/2024; 06/14/2024 _x000a_ _x000a_all client verification end date: 06/11/2024; 06/14/2024 _x000a_ _x000a_all client rework required start date: 06/13/2024 _x000a_ _x000a_all client blocked start date:  _x000a_ _x000a_all client blocked end date:   _x000a_ _x000a_all client rework required end date:  06/13/2024 _x000a_ _x000a_------------------------------------------------------------------------------------------- _x000a_ _x000a_verification complete date: 07/12/2024 _x000a_ _x000a_ready to migrate date:"/>
    <x v="2"/>
    <x v="2"/>
    <e v="#VALUE!"/>
    <n v="0"/>
    <x v="1"/>
    <n v="1"/>
    <x v="1"/>
    <n v="0"/>
    <n v="0"/>
    <x v="1"/>
    <n v="1"/>
    <n v="1"/>
    <e v="#VALUE!"/>
    <n v="0"/>
    <x v="1"/>
    <n v="2"/>
    <n v="2"/>
    <x v="1"/>
    <e v="#VALUE!"/>
    <n v="0"/>
    <x v="1"/>
    <d v="2024-07-12T00:00:00"/>
    <m/>
    <x v="1"/>
    <x v="0"/>
    <x v="1"/>
    <x v="1"/>
    <x v="1"/>
    <x v="0"/>
    <b v="1"/>
    <m/>
    <m/>
    <m/>
    <m/>
    <m/>
    <b v="1"/>
    <m/>
    <m/>
    <m/>
    <m/>
    <m/>
    <m/>
    <m/>
    <m/>
    <b v="1"/>
    <m/>
  </r>
  <r>
    <s v="t0dcUxxRoUq1KNTyJv1AhmUAOHB_"/>
    <x v="645"/>
    <x v="14"/>
    <s v="Javier Coronado - Network;Rhoda Gill"/>
    <s v="Test Method;Consumable;Raw material;am;Full Build"/>
    <s v="sop # a03012 _x000a_ _x000a_config start date: 05/24/2024 _x000a_ _x000a_all config blocked start date: na _x000a_ _x000a_all config blocked end date:  na _x000a_ _x000a_config end date: 06/13/2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SvRyd6SuYUS4TtJnTksIO2UAIFxV"/>
    <x v="646"/>
    <x v="14"/>
    <s v="Daniel Bonilla - Network"/>
    <s v="Test Method;Consumable;Raw material;am;Full Build"/>
    <s v="sop#a03008 _x000a_ _x000a_config start date:06/05/24 _x000a_ _x000a_all config blocked start date: na _x000a_ _x000a_all config blocked end date: na _x000a_ _x000a_config end date:06/10/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BavnbTfL0EisMS0YzYIj2GUAK6oV"/>
    <x v="647"/>
    <x v="13"/>
    <s v="Shannon Blais - Network;Fabian Soma - Network;Nannette Umpierre"/>
    <s v="Test Method;Raw material;am;Skeleton Build"/>
    <s v="sop#a03005 _x000a_ _x000a_config start date:06/10/24 _x000a_ _x000a_all config blocked start date: _x000a_ _x000a_all config blocked end date: _x000a_ _x000a_config end date: 06/1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 _x000a_ _x000a_verification assigned to:miguel lozada _x000a_ _x000a_all client verification start date:06/14/24 _x000a_ _x000a_all client verification end date:06/19/24 _x000a_ _x000a_all client rework required start date: _x000a_ _x000a_all client blocked start date: _x000a_ _x000a_all client blocked end date: _x000a_ _x000a_all client rework required end date: _x000a_ _x000a_-------------------------------------------------------------------------------------------- _x000a_ _x000a_verification complete date:06/24/24 _x000a_ _x000a_ready to migrate date:"/>
    <x v="2"/>
    <x v="1"/>
    <e v="#VALUE!"/>
    <n v="0"/>
    <x v="1"/>
    <n v="1"/>
    <x v="1"/>
    <n v="0"/>
    <n v="0"/>
    <x v="1"/>
    <n v="0"/>
    <n v="0"/>
    <n v="0"/>
    <n v="0"/>
    <x v="1"/>
    <n v="1"/>
    <n v="1"/>
    <x v="1"/>
    <n v="0"/>
    <n v="0"/>
    <x v="1"/>
    <d v="2024-06-24T00:00:00"/>
    <m/>
    <x v="1"/>
    <x v="0"/>
    <x v="0"/>
    <x v="1"/>
    <x v="1"/>
    <x v="0"/>
    <b v="1"/>
    <m/>
    <m/>
    <m/>
    <m/>
    <m/>
    <b v="1"/>
    <m/>
    <m/>
    <m/>
    <m/>
    <m/>
    <m/>
    <m/>
    <m/>
    <m/>
    <b v="1"/>
  </r>
  <r>
    <s v="np4Bd2n5PUOc9QKoKie2amUANz5L"/>
    <x v="648"/>
    <x v="14"/>
    <s v="Fabian Soma - Network;Daniel Bonilla - Network;Daniela Maroto - Network"/>
    <s v="Test Method;Consumable;Raw material;am;Full Build"/>
    <s v="sop#a02942 _x000a_ _x000a_config start date:05/24/24 _x000a_ _x000a_all config blocked start date: _x000a_ _x000a_all config blocked end date: _x000a_ _x000a_config end date:06/03/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eibKKDA3akW3vhcepE4comUAGYKR"/>
    <x v="649"/>
    <x v="13"/>
    <s v="Fabian Soma - Network;Glenda Fernandez - Network;Nannette Umpierre"/>
    <s v="Test Method;Raw material;am;Skeleton Build"/>
    <s v="sop#a02941 _x000a_ _x000a_config start date:06/10/24 _x000a_ _x000a_all config blocked start date: _x000a_ _x000a_all config blocked end date: _x000a_ _x000a_config end date: 06/10/24 _x000a_ _x000a_ -------------------------------------------------------------------------------------------- _x000a_ _x000a_all peer review start date:06/13/24 _x000a_ _x000a_all peer review end date:06/13/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3/24;06/14/24 _x000a_ _x000a_verification assigned to:nannette umpierre _x000a_ _x000a_all client verification start date:06/13/24;06/14/24 _x000a_ _x000a_all client verification end date:06/13/24;06/14/24 _x000a_ _x000a_all client rework required start date:06/14/24 _x000a_ _x000a_all client blocked start date:na _x000a_ _x000a_all client blocked end date:na _x000a_ _x000a_all client rework required end date:06/14/24 _x000a_ _x000a_-------------------------------------------------------------------------------------------- _x000a_ _x000a_verification complete date:06/14/24 _x000a_ _x000a_ready to migrate date:"/>
    <x v="2"/>
    <x v="1"/>
    <e v="#VALUE!"/>
    <n v="0"/>
    <x v="1"/>
    <n v="1"/>
    <x v="1"/>
    <n v="0"/>
    <n v="0"/>
    <x v="1"/>
    <n v="0"/>
    <n v="0"/>
    <n v="0"/>
    <n v="0"/>
    <x v="1"/>
    <n v="2"/>
    <n v="2"/>
    <x v="1"/>
    <e v="#VALUE!"/>
    <n v="0"/>
    <x v="1"/>
    <d v="2024-06-14T00:00:00"/>
    <m/>
    <x v="1"/>
    <x v="0"/>
    <x v="0"/>
    <x v="1"/>
    <x v="1"/>
    <x v="0"/>
    <b v="1"/>
    <m/>
    <m/>
    <m/>
    <m/>
    <m/>
    <b v="1"/>
    <m/>
    <m/>
    <m/>
    <m/>
    <m/>
    <m/>
    <m/>
    <m/>
    <m/>
    <b v="1"/>
  </r>
  <r>
    <s v="jvp0gYpcaU-bJG-9ev5lCWUAFAgg"/>
    <x v="650"/>
    <x v="4"/>
    <m/>
    <s v="Test Method;Consumable;Raw material;Empower ;Full Build"/>
    <s v="sop#g1897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zdEQDXXu602DtUoX6aXzDGUAHzsI"/>
    <x v="651"/>
    <x v="4"/>
    <m/>
    <s v="Test Method;Consumable;Raw material;Empower ;Full Build"/>
    <s v="sop#g1864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b v="1"/>
    <m/>
    <m/>
    <m/>
    <m/>
    <m/>
    <b v="1"/>
    <m/>
    <m/>
    <b v="1"/>
    <m/>
  </r>
  <r>
    <s v="DnVMQIQnQUi4zggmAY-NVWUAJfPN"/>
    <x v="652"/>
    <x v="14"/>
    <s v="Rhoda Gill - Network;Kimberly Mata - Network"/>
    <s v="Test Method;Consumable;Raw material;am;Full Build"/>
    <s v="sop#a02939 _x000a_ _x000a_config start date:05/22/24 _x000a_ _x000a_all config blocked start date: na _x000a_ _x000a_all config blocked end date: na _x000a_ _x000a_config end date:06/07/24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4"/>
    <e v="#VALUE!"/>
    <n v="0"/>
    <x v="1"/>
    <n v="0"/>
    <x v="0"/>
    <n v="0"/>
    <n v="0"/>
    <x v="1"/>
    <n v="0"/>
    <n v="0"/>
    <n v="0"/>
    <n v="0"/>
    <x v="1"/>
    <n v="0"/>
    <n v="0"/>
    <x v="0"/>
    <n v="0"/>
    <n v="0"/>
    <x v="1"/>
    <m/>
    <m/>
    <x v="0"/>
    <x v="0"/>
    <x v="0"/>
    <x v="0"/>
    <x v="0"/>
    <x v="0"/>
    <b v="1"/>
    <m/>
    <m/>
    <m/>
    <m/>
    <m/>
    <b v="1"/>
    <m/>
    <m/>
    <m/>
    <m/>
    <m/>
    <m/>
    <m/>
    <m/>
    <b v="1"/>
    <m/>
  </r>
  <r>
    <s v="AmlaOHITGUiYswBTYzdA6GUANjNw"/>
    <x v="653"/>
    <x v="4"/>
    <m/>
    <s v="Test Method;Empower ;Finished Product;Full Build"/>
    <s v="sop#b13269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nPN8zf9DmEC2MuqjoHAA82UANpow"/>
    <x v="654"/>
    <x v="10"/>
    <s v="Shannon Blais - Network;Caroline Morice - Network;Nannette Umpierre"/>
    <s v="Test Method;Raw material;am;Skeleton Build"/>
    <s v="sop#a02936 _x000a_ _x000a_config start date:05/30/24 _x000a_ _x000a_all config blocked start date:na _x000a_ _x000a_all config blocked end date:na _x000a_ _x000a_config end date: 05/30/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4/24;06/17/24 _x000a_ _x000a_verification assigned to:ivette lopez _x000a_ _x000a_all client verification start date:06/14/24;06/27/24 _x000a_ _x000a_all client verification end date:06/14/24;06/27/24 _x000a_ _x000a_all client rework required start date:06/14/24 _x000a_ _x000a_all client blocked start date:na _x000a_ _x000a_all client blocked end date:na _x000a_ _x000a_all client rework required end date:06/17/24 _x000a_ _x000a_-------------------------------------------------------------------------------------------- _x000a_ _x000a_verification complete date:06/27/24 _x000a_ _x000a_ready to migrate date: 7/29/2024"/>
    <x v="2"/>
    <x v="2"/>
    <e v="#VALUE!"/>
    <n v="0"/>
    <x v="1"/>
    <n v="1"/>
    <x v="1"/>
    <n v="0"/>
    <n v="0"/>
    <x v="1"/>
    <n v="0"/>
    <n v="0"/>
    <n v="0"/>
    <n v="0"/>
    <x v="1"/>
    <n v="2"/>
    <n v="2"/>
    <x v="1"/>
    <e v="#VALUE!"/>
    <n v="0"/>
    <x v="1"/>
    <d v="2024-06-27T00:00:00"/>
    <d v="2024-07-29T00:00:00"/>
    <x v="1"/>
    <x v="0"/>
    <x v="0"/>
    <x v="1"/>
    <x v="1"/>
    <x v="1"/>
    <b v="1"/>
    <m/>
    <m/>
    <m/>
    <m/>
    <m/>
    <b v="1"/>
    <m/>
    <m/>
    <m/>
    <m/>
    <m/>
    <m/>
    <m/>
    <m/>
    <m/>
    <b v="1"/>
  </r>
  <r>
    <s v="ddECHaarYEuttItpPunLLWUAD74u"/>
    <x v="655"/>
    <x v="10"/>
    <s v="Shannon Blais - Network;Alejandra Robles - Network;Miguel A Lozada;Nannette Umpierre"/>
    <s v="Test Method;am;Skeleton Build;Finished Product"/>
    <s v="sop # b13110 _x000a_ _x000a_config start date:05/28/24 _x000a_all config blocked start date:na _x000a_all config blocked end date:na _x000a_config end date:06/05/24 _x000a_ -------------------------------------------------------------------------------------------- _x000a_all peer review start date:06/20/24 _x000a_all peer review end date:06/20/24 _x000a_ _x000a_all peer review rework required start date:na _x000a_ _x000a_all pr rework blocked start date:na _x000a_ _x000a_all pr rework blocked end date:na _x000a_ _x000a_all peer review rework required end date:na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all ready for client verification date:06/2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 07/10/2024 _x000a_-------------------------------------------------------------------------------------------- _x000a_verification complete date: 07/10/2024 _x000a_ _x000a_ready to migrate date:07/31/2024"/>
    <x v="2"/>
    <x v="2"/>
    <e v="#VALUE!"/>
    <n v="0"/>
    <x v="1"/>
    <n v="1"/>
    <x v="1"/>
    <n v="0"/>
    <n v="0"/>
    <x v="1"/>
    <n v="0"/>
    <n v="0"/>
    <n v="0"/>
    <n v="0"/>
    <x v="1"/>
    <n v="1"/>
    <n v="1"/>
    <x v="1"/>
    <e v="#VALUE!"/>
    <n v="0"/>
    <x v="1"/>
    <d v="2024-07-10T00:00:00"/>
    <d v="2024-07-31T00:00:00"/>
    <x v="1"/>
    <x v="0"/>
    <x v="0"/>
    <x v="1"/>
    <x v="1"/>
    <x v="1"/>
    <b v="1"/>
    <m/>
    <m/>
    <m/>
    <m/>
    <m/>
    <m/>
    <m/>
    <m/>
    <m/>
    <m/>
    <b v="1"/>
    <m/>
    <m/>
    <m/>
    <m/>
    <b v="1"/>
  </r>
  <r>
    <s v="mVwjbc9RCU2pk2zP7BES7GUAGtPK"/>
    <x v="656"/>
    <x v="10"/>
    <s v="Fabian Soma - Network;Raquel Bolaños;Nannette Umpierre;Noel Mendez - Network"/>
    <s v="Test Method;Consumable;Raw material;am;Full Build"/>
    <s v="sop # a02935 _x000a_ _x000a_config start date:04/16/24 _x000a_all config blocked start date:na _x000a_all config blocked end date:na _x000a_config end date:05/21/24 _x000a_ -------------------------------------------------------------------------------------------- _x000a_all peer review start date:05/29/24 _x000a_all peer review end date:05/29/24 _x000a_ _x000a_all peer review rework required start date: _x000a_all pr rework blocked start date: _x000a_all pr rework blocked end date: _x000a_all peer review rework required end date: _x000a_-------------------------------------------------------------------------------------------- _x000a_all ready for demo date:05/29/24 _x000a_ _x000a_all demo date:05/30/24 _x000a_ _x000a_all demo rework required start date: _x000a_all demo blocked start date: _x000a_all demo blocked end date: _x000a_all demo rework required end date: _x000a_-------------------------------------------------------------------------------------------- _x000a_all ready for client verification date:06/06/24;06/14/24 _x000a_ _x000a_verification assigned to: noel mendez _x000a_all client verification start date:06/06/24 _x000a_all client verification end date:06/07/24 _x000a_ _x000a_all client rework required start date:06/10/24 _x000a_all client blocked start date:06/07/24 _x000a_all client blocked end date:06/10/24 _x000a_all client rework required end date:06/14/24 _x000a_----------------------------------------------------------------------------------------reverification completed: 07/18/2024 _x000a_verification complete date: _x000a_ready to migrate date:"/>
    <x v="2"/>
    <x v="2"/>
    <e v="#VALUE!"/>
    <n v="0"/>
    <x v="1"/>
    <n v="1"/>
    <x v="1"/>
    <n v="0"/>
    <n v="0"/>
    <x v="1"/>
    <n v="1"/>
    <n v="1"/>
    <n v="0"/>
    <n v="0"/>
    <x v="1"/>
    <n v="2"/>
    <n v="1"/>
    <x v="1"/>
    <e v="#VALUE!"/>
    <e v="#VALUE!"/>
    <x v="1"/>
    <m/>
    <m/>
    <x v="1"/>
    <x v="0"/>
    <x v="1"/>
    <x v="1"/>
    <x v="1"/>
    <x v="0"/>
    <b v="1"/>
    <m/>
    <m/>
    <m/>
    <m/>
    <m/>
    <b v="1"/>
    <m/>
    <m/>
    <m/>
    <m/>
    <m/>
    <m/>
    <m/>
    <m/>
    <b v="1"/>
    <m/>
  </r>
  <r>
    <s v="SIesyvhNiU-GiJuZ9HvFIGUALFUN"/>
    <x v="657"/>
    <x v="10"/>
    <s v="Fabian Soma - Network;Alejandra Robles - Network;Nannette Umpierre"/>
    <s v="Test Method;am;Skeleton Build"/>
    <s v="sop # b12203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oel mendez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x v="2"/>
    <x v="2"/>
    <e v="#VALUE!"/>
    <n v="0"/>
    <x v="1"/>
    <n v="1"/>
    <x v="1"/>
    <n v="0"/>
    <n v="0"/>
    <x v="1"/>
    <n v="0"/>
    <n v="0"/>
    <n v="0"/>
    <n v="0"/>
    <x v="1"/>
    <n v="1"/>
    <n v="1"/>
    <x v="1"/>
    <e v="#VALUE!"/>
    <n v="0"/>
    <x v="1"/>
    <d v="2024-06-14T00:00:00"/>
    <d v="2024-07-29T00:00:00"/>
    <x v="1"/>
    <x v="0"/>
    <x v="0"/>
    <x v="1"/>
    <x v="1"/>
    <x v="1"/>
    <b v="1"/>
    <m/>
    <m/>
    <m/>
    <m/>
    <m/>
    <m/>
    <m/>
    <m/>
    <m/>
    <m/>
    <m/>
    <m/>
    <m/>
    <m/>
    <m/>
    <b v="1"/>
  </r>
  <r>
    <s v="SNGvwIPZl0a61G6YGi36o2UABxJW"/>
    <x v="658"/>
    <x v="10"/>
    <s v="Alejandra Robles - Network;Daniela Azofeifa;Nannette Umpierre"/>
    <s v="Test Method;Raw material;am;Skeleton Build"/>
    <s v="sop # b11327 _x000a_ _x000a_config start date:06/04/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e v="#VALUE!"/>
    <n v="0"/>
    <x v="1"/>
    <n v="1"/>
    <x v="1"/>
    <n v="0"/>
    <n v="0"/>
    <x v="1"/>
    <n v="0"/>
    <n v="0"/>
    <n v="0"/>
    <n v="0"/>
    <x v="1"/>
    <n v="1"/>
    <n v="1"/>
    <x v="1"/>
    <n v="0"/>
    <n v="0"/>
    <x v="1"/>
    <d v="2024-06-25T00:00:00"/>
    <d v="2024-07-29T00:00:00"/>
    <x v="1"/>
    <x v="0"/>
    <x v="0"/>
    <x v="1"/>
    <x v="1"/>
    <x v="1"/>
    <b v="1"/>
    <m/>
    <m/>
    <m/>
    <m/>
    <m/>
    <b v="1"/>
    <m/>
    <m/>
    <m/>
    <m/>
    <m/>
    <m/>
    <m/>
    <m/>
    <m/>
    <b v="1"/>
  </r>
  <r>
    <s v="Z0tIv4kJxUacilJwzLQUHGUADInR"/>
    <x v="659"/>
    <x v="14"/>
    <s v="Fabian Soma - Network;Rhoda Gill"/>
    <s v="Test Method;Consumable;Raw material;am;Full Build"/>
    <s v="sop #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ZiI5ONbmykykTTfr9xs8imUAFh5c"/>
    <x v="660"/>
    <x v="14"/>
    <s v="Rhoda Gill - Network;Kimberly Mata - Network"/>
    <s v="Test Method;Consumable;Raw material;am;Full Build"/>
    <s v="sop # a01254 _x000a_ _x000a_config start date:05/30/24 _x000a_all config blocked start date:na _x000a_all config blocked end date:na _x000a_config end date:06/06/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P9iA9KcP406kYKjXexeJi2UADdhe"/>
    <x v="661"/>
    <x v="10"/>
    <s v="Shannon Blais - Network;Alejandra Robles - Network;Nannette Umpierre"/>
    <s v="Test Method;Raw material;am;Skeleton Build"/>
    <s v="sop # b10865 _x000a_ _x000a_config start date:05/30/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e v="#VALUE!"/>
    <n v="0"/>
    <x v="1"/>
    <n v="1"/>
    <x v="1"/>
    <n v="0"/>
    <n v="0"/>
    <x v="1"/>
    <n v="0"/>
    <n v="0"/>
    <n v="0"/>
    <n v="0"/>
    <x v="1"/>
    <n v="1"/>
    <n v="1"/>
    <x v="1"/>
    <n v="0"/>
    <n v="0"/>
    <x v="1"/>
    <d v="2024-06-30T00:00:00"/>
    <d v="2024-07-31T00:00:00"/>
    <x v="1"/>
    <x v="0"/>
    <x v="0"/>
    <x v="1"/>
    <x v="1"/>
    <x v="1"/>
    <b v="1"/>
    <m/>
    <m/>
    <m/>
    <m/>
    <m/>
    <b v="1"/>
    <m/>
    <m/>
    <m/>
    <m/>
    <m/>
    <m/>
    <m/>
    <m/>
    <m/>
    <b v="1"/>
  </r>
  <r>
    <s v="2qLl3j6JQ06GciSEKGmz_GUAHgx5"/>
    <x v="662"/>
    <x v="10"/>
    <s v="Giuliana Barahona"/>
    <s v="Test Method;Raw material;am;Skeleton Build"/>
    <s v="sop #b10705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e v="#VALUE!"/>
    <n v="0"/>
    <x v="1"/>
    <n v="1"/>
    <x v="1"/>
    <n v="0"/>
    <n v="0"/>
    <x v="1"/>
    <n v="0"/>
    <n v="0"/>
    <n v="0"/>
    <n v="0"/>
    <x v="1"/>
    <n v="1"/>
    <n v="1"/>
    <x v="1"/>
    <n v="0"/>
    <n v="0"/>
    <x v="1"/>
    <d v="2024-06-27T00:00:00"/>
    <d v="2024-07-31T00:00:00"/>
    <x v="1"/>
    <x v="0"/>
    <x v="0"/>
    <x v="1"/>
    <x v="1"/>
    <x v="1"/>
    <b v="1"/>
    <m/>
    <m/>
    <m/>
    <m/>
    <m/>
    <b v="1"/>
    <m/>
    <m/>
    <m/>
    <m/>
    <m/>
    <m/>
    <m/>
    <m/>
    <m/>
    <b v="1"/>
  </r>
  <r>
    <s v="m9zjS6PKSkq6f2bbPAj9ZGUAJm_S"/>
    <x v="663"/>
    <x v="14"/>
    <s v="Raquel Bolaños"/>
    <s v="Test Method;Consumable;Raw material;Full Build"/>
    <s v="sop # a01157 _x000a_ _x000a_config start date:05/08/24 _x000a_all config blocked start date:na _x000a_all config blocked end date:na _x000a_config end date:05/2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04/24 _x000a_ _x000a_all demo date:06/04/24 _x000a_ _x000a_all demo rework required start date:06/04/24;06/06/24 _x000a_all demo blocked start date:06/17/24 _x000a_all demo blocked end date:07/22/24 _x000a_all demo rework required end date:06/06/24 _x000a_-------------------------------------------------------------------------------------------- _x000a_all ready for client verification date:07/22/24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1"/>
    <n v="1"/>
    <e v="#VALUE!"/>
    <e v="#VALUE!"/>
    <x v="1"/>
    <n v="1"/>
    <n v="0"/>
    <x v="0"/>
    <n v="0"/>
    <n v="0"/>
    <x v="1"/>
    <m/>
    <m/>
    <x v="0"/>
    <x v="0"/>
    <x v="1"/>
    <x v="1"/>
    <x v="0"/>
    <x v="0"/>
    <b v="1"/>
    <m/>
    <m/>
    <m/>
    <m/>
    <m/>
    <b v="1"/>
    <m/>
    <m/>
    <m/>
    <m/>
    <m/>
    <m/>
    <m/>
    <m/>
    <b v="1"/>
    <m/>
  </r>
  <r>
    <s v="179DgJ6PqEWwdT8VO0awd2UAF16D"/>
    <x v="664"/>
    <x v="10"/>
    <s v="Kimberly Mata - Network;Glenda Fernandez - Network;Nannette Umpierre"/>
    <s v="Test Method;am;Skeleton Build"/>
    <s v="sop # b10570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e v="#VALUE!"/>
    <n v="0"/>
    <x v="1"/>
    <n v="1"/>
    <x v="1"/>
    <n v="0"/>
    <n v="0"/>
    <x v="1"/>
    <n v="0"/>
    <n v="0"/>
    <n v="0"/>
    <n v="0"/>
    <x v="1"/>
    <n v="1"/>
    <n v="1"/>
    <x v="1"/>
    <n v="0"/>
    <n v="0"/>
    <x v="1"/>
    <d v="2024-06-14T00:00:00"/>
    <d v="2024-07-29T00:00:00"/>
    <x v="1"/>
    <x v="0"/>
    <x v="0"/>
    <x v="1"/>
    <x v="1"/>
    <x v="1"/>
    <b v="1"/>
    <m/>
    <m/>
    <m/>
    <m/>
    <m/>
    <m/>
    <m/>
    <m/>
    <m/>
    <m/>
    <m/>
    <m/>
    <m/>
    <m/>
    <m/>
    <b v="1"/>
  </r>
  <r>
    <s v="DN4wN-1svkKoSqIL8UkvgWUAFc_n"/>
    <x v="665"/>
    <x v="1"/>
    <s v="Javier Coronado - Network;Miguel A Lozada;Nannette Umpierre;Rhoda Gill"/>
    <s v="Test Method;Consumable;Raw material;Full Build"/>
    <s v="sop # b10561 _x000a_ _x000a_config start date:05/14/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7/24 _x000a_ _x000a_all demo rework required start date:na _x000a_all demo blocked start date:na _x000a_all demo blocked end date:na _x000a_all demo rework required end date:na _x000a_-------------------------------------------------------------------------------------------- _x000a_all ready for client verification date:06/07/24;06/19/24;07/01/24 _x000a_ _x000a_verification assigned to: miguel lozada _x000a_all client verification start date:06/07/24;06/27/24 _x000a_all client verification end date:06/14/24;06/27/24 _x000a_ _x000a_all client rework required start date:06/19/24;07/01/24 _x000a_all client blocked start date: _x000a_all client blocked end date: _x000a_all client rework required end date:06/19/24;07/01/24 _x000a_-------------------------------------------------------------------------------------------- _x000a_verification complete date: _x000a_ready to migrate date:"/>
    <x v="2"/>
    <x v="1"/>
    <e v="#VALUE!"/>
    <n v="0"/>
    <x v="1"/>
    <n v="1"/>
    <x v="1"/>
    <n v="0"/>
    <n v="0"/>
    <x v="1"/>
    <n v="1"/>
    <n v="1"/>
    <n v="0"/>
    <n v="0"/>
    <x v="1"/>
    <n v="3"/>
    <n v="2"/>
    <x v="1"/>
    <e v="#VALUE!"/>
    <n v="0"/>
    <x v="1"/>
    <m/>
    <m/>
    <x v="1"/>
    <x v="0"/>
    <x v="1"/>
    <x v="1"/>
    <x v="1"/>
    <x v="0"/>
    <b v="1"/>
    <m/>
    <m/>
    <m/>
    <m/>
    <m/>
    <b v="1"/>
    <m/>
    <m/>
    <m/>
    <m/>
    <m/>
    <m/>
    <m/>
    <m/>
    <b v="1"/>
    <m/>
  </r>
  <r>
    <s v="QYel1IQHg0KblZ99lWThYGUAEbYG"/>
    <x v="666"/>
    <x v="10"/>
    <s v="Alejandra Robles - Network;Glenda Fernandez - Network"/>
    <s v="Test Method;Raw material;am;Skeleton Build"/>
    <s v="sop # b10539 _x000a_ _x000a_config start date:05/29/24 _x000a_all config blocked start date:na _x000a_all config blocked end date:na _x000a_config end date:06/17/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07/31/2024"/>
    <x v="2"/>
    <x v="2"/>
    <e v="#VALUE!"/>
    <n v="0"/>
    <x v="1"/>
    <n v="1"/>
    <x v="1"/>
    <n v="0"/>
    <n v="0"/>
    <x v="1"/>
    <n v="0"/>
    <n v="0"/>
    <n v="0"/>
    <n v="0"/>
    <x v="1"/>
    <n v="1"/>
    <n v="1"/>
    <x v="1"/>
    <n v="0"/>
    <n v="0"/>
    <x v="1"/>
    <d v="2024-07-10T00:00:00"/>
    <d v="2024-07-31T00:00:00"/>
    <x v="1"/>
    <x v="0"/>
    <x v="0"/>
    <x v="1"/>
    <x v="1"/>
    <x v="1"/>
    <b v="1"/>
    <m/>
    <m/>
    <m/>
    <m/>
    <m/>
    <b v="1"/>
    <m/>
    <m/>
    <m/>
    <m/>
    <m/>
    <m/>
    <m/>
    <m/>
    <m/>
    <b v="1"/>
  </r>
  <r>
    <s v="1n9oRk9H0kK1yQQw4EzmsmUAFdyu"/>
    <x v="667"/>
    <x v="7"/>
    <s v="Fabian Soma - Network;Daniel Bonilla - Network;Daniela Maroto - Network"/>
    <s v="Test Method;Consumable;Blocked;In Process;Full Build"/>
    <s v="sop # _x000a_ _x000a_config start date:07/16/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b v="1"/>
    <m/>
    <m/>
    <m/>
    <m/>
    <b v="1"/>
    <m/>
  </r>
  <r>
    <s v="ovDIqxBaqkGd2oS_Mt4mZGUAL7QR"/>
    <x v="668"/>
    <x v="14"/>
    <s v="Daniel Bonilla - Network"/>
    <s v="Test Method;Consumable;Raw material;am;Full Build"/>
    <s v="sop # a01152 _x000a_ _x000a_config start date:06/13/24 _x000a_all config blocked start date:na _x000a_all config blocked end date:na _x000a_config end date:06/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77OqWB8sUka8nQfNj3DDNWUAGGXe"/>
    <x v="669"/>
    <x v="10"/>
    <s v="Fabian Soma - Network;Nannette Umpierre;Rhoda Gill"/>
    <s v="Test Method;Intermediate;Raw material;am;Skeleton Build"/>
    <s v="sop # b10448 _x000a_ _x000a_config start date:04/1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06/14/24 _x000a_ _x000a_verification assigned to: nannette umpierre _x000a_all client verification start date:06/07/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ready to migrate date: 7/30/2024"/>
    <x v="2"/>
    <x v="2"/>
    <e v="#VALUE!"/>
    <n v="0"/>
    <x v="1"/>
    <n v="1"/>
    <x v="1"/>
    <n v="0"/>
    <n v="0"/>
    <x v="1"/>
    <n v="0"/>
    <n v="0"/>
    <n v="0"/>
    <n v="0"/>
    <x v="1"/>
    <n v="2"/>
    <n v="2"/>
    <x v="1"/>
    <e v="#VALUE!"/>
    <n v="0"/>
    <x v="1"/>
    <d v="2024-06-14T00:00:00"/>
    <d v="2024-07-30T00:00:00"/>
    <x v="1"/>
    <x v="0"/>
    <x v="0"/>
    <x v="1"/>
    <x v="1"/>
    <x v="1"/>
    <b v="1"/>
    <m/>
    <m/>
    <m/>
    <m/>
    <m/>
    <b v="1"/>
    <m/>
    <m/>
    <m/>
    <m/>
    <m/>
    <m/>
    <m/>
    <m/>
    <m/>
    <b v="1"/>
  </r>
  <r>
    <s v="LL_hXWyUB066HgqURfAKkmUANXEF"/>
    <x v="670"/>
    <x v="6"/>
    <s v="Rhoda Gill - Network;Manu Serrano - Network"/>
    <s v="Test Method;Consumable;Raw material;am;Full Build"/>
    <s v="sop # b10406 _x000a_ _x000a_config start date:05/21/24 _x000a_all config blocked start date:na _x000a_all config blocked end date:na _x000a_config end date:05/3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tfLEPP-rH06SNAiLySdccmUAF-Rk"/>
    <x v="671"/>
    <x v="14"/>
    <s v="Fabian Soma - Network;Rhoda Gill"/>
    <s v="Test Method;Consumable;Raw material;am;Full Build"/>
    <s v="sop # _x000a_ _x000a_config start date:06/03/24 _x000a_all config blocked start date:na _x000a_all config blocked end date:na _x000a_config end date:06/0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ThynUB640UOwtFnsZPxHmGUAGzyI"/>
    <x v="672"/>
    <x v="10"/>
    <s v="Alejandra Robles - Network;Daniel Bonilla - Network;Nannette Umpierre;Rhoda Gill"/>
    <s v="Test Method;Consumable;Raw material;am;Skeleton Build"/>
    <s v="sop # b10334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06/17/24 _x000a_all pr rework blocked start date:na _x000a_all pr rework blocked end date:na _x000a_all peer review rework required end date:06/18/24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7/01/24 _x000a_all client verification end date:07/01/24 _x000a_ _x000a_all client rework required start date: _x000a_all client blocked start date:na _x000a_all client blocked end date:na _x000a_all client rework required end date:na _x000a_-------------------------------------------------------------------------------------------- _x000a_verification complete date:07/01/24 _x000a_ready to migrate date:"/>
    <x v="2"/>
    <x v="2"/>
    <e v="#VALUE!"/>
    <n v="0"/>
    <x v="1"/>
    <n v="1"/>
    <x v="1"/>
    <e v="#VALUE!"/>
    <n v="0"/>
    <x v="1"/>
    <n v="0"/>
    <n v="0"/>
    <n v="0"/>
    <n v="0"/>
    <x v="1"/>
    <n v="1"/>
    <n v="1"/>
    <x v="1"/>
    <n v="0"/>
    <n v="0"/>
    <x v="1"/>
    <d v="2024-07-01T00:00:00"/>
    <m/>
    <x v="1"/>
    <x v="1"/>
    <x v="0"/>
    <x v="1"/>
    <x v="1"/>
    <x v="0"/>
    <b v="1"/>
    <m/>
    <m/>
    <m/>
    <m/>
    <m/>
    <b v="1"/>
    <m/>
    <m/>
    <m/>
    <m/>
    <m/>
    <m/>
    <m/>
    <m/>
    <m/>
    <b v="1"/>
  </r>
  <r>
    <s v="0jWadtJMnUuddPNwGsb_52UAJtzf"/>
    <x v="673"/>
    <x v="10"/>
    <s v="Shannon Blais - Network;Alejandra Robles - Network;Nannette Umpierre"/>
    <s v="Test Method;am;Skeleton Build"/>
    <s v="sop #b10246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e v="#VALUE!"/>
    <n v="0"/>
    <x v="1"/>
    <n v="1"/>
    <x v="1"/>
    <n v="0"/>
    <n v="0"/>
    <x v="1"/>
    <n v="0"/>
    <n v="0"/>
    <n v="0"/>
    <n v="0"/>
    <x v="1"/>
    <n v="1"/>
    <n v="1"/>
    <x v="1"/>
    <n v="0"/>
    <n v="0"/>
    <x v="1"/>
    <d v="2024-06-27T00:00:00"/>
    <d v="2024-07-31T00:00:00"/>
    <x v="1"/>
    <x v="0"/>
    <x v="0"/>
    <x v="1"/>
    <x v="1"/>
    <x v="1"/>
    <b v="1"/>
    <m/>
    <m/>
    <m/>
    <m/>
    <m/>
    <m/>
    <m/>
    <m/>
    <m/>
    <m/>
    <m/>
    <m/>
    <m/>
    <m/>
    <m/>
    <b v="1"/>
  </r>
  <r>
    <s v="x1F9yfkQh0enD_g6iug7d2UABDGy"/>
    <x v="674"/>
    <x v="10"/>
    <s v="Shannon Blais - Network;Alejandra Robles - Network;Nannette Umpierre"/>
    <s v="Test Method;Raw material;am;Skeleton Build"/>
    <s v="sop # b1014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e v="#VALUE!"/>
    <n v="0"/>
    <x v="1"/>
    <n v="1"/>
    <x v="1"/>
    <n v="0"/>
    <n v="0"/>
    <x v="1"/>
    <n v="0"/>
    <n v="0"/>
    <n v="0"/>
    <n v="0"/>
    <x v="1"/>
    <n v="1"/>
    <n v="1"/>
    <x v="1"/>
    <n v="0"/>
    <n v="0"/>
    <x v="1"/>
    <d v="2024-06-30T00:00:00"/>
    <d v="2024-07-31T00:00:00"/>
    <x v="1"/>
    <x v="0"/>
    <x v="0"/>
    <x v="1"/>
    <x v="1"/>
    <x v="1"/>
    <b v="1"/>
    <m/>
    <m/>
    <m/>
    <m/>
    <m/>
    <b v="1"/>
    <m/>
    <m/>
    <m/>
    <m/>
    <m/>
    <m/>
    <m/>
    <m/>
    <m/>
    <b v="1"/>
  </r>
  <r>
    <s v="HcYbpnGvS06VurRXbnvN9mUAKTGP"/>
    <x v="675"/>
    <x v="4"/>
    <m/>
    <s v="Test Method;Consumable;Empower ;Finished Product;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bVjWGyPMjkStmpQIb02a92UAATPD"/>
    <x v="676"/>
    <x v="10"/>
    <s v="Shannon Blais - Network;Alejandra Robles - Network;Glenda Fernandez - Network;Nannette Umpierre"/>
    <s v="Test Method;Raw material;am;Skeleton Build"/>
    <s v="sop # b09999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06/21/24 _x000a_all client blocked end date:07/01/24 _x000a_all client rework required end date:07/02/24 _x000a_-------------------------------------------------------------------------------------------- _x000a_verification complete date: 07/10/2024 _x000a_ _x000a_ready to migrate date: 07/31/2024"/>
    <x v="2"/>
    <x v="2"/>
    <e v="#VALUE!"/>
    <n v="0"/>
    <x v="1"/>
    <n v="1"/>
    <x v="1"/>
    <n v="0"/>
    <n v="0"/>
    <x v="1"/>
    <n v="0"/>
    <n v="0"/>
    <n v="0"/>
    <n v="0"/>
    <x v="1"/>
    <n v="2"/>
    <n v="1"/>
    <x v="1"/>
    <e v="#VALUE!"/>
    <e v="#VALUE!"/>
    <x v="1"/>
    <d v="2024-07-10T00:00:00"/>
    <d v="2024-07-31T00:00:00"/>
    <x v="1"/>
    <x v="0"/>
    <x v="0"/>
    <x v="1"/>
    <x v="1"/>
    <x v="1"/>
    <b v="1"/>
    <m/>
    <m/>
    <m/>
    <m/>
    <m/>
    <b v="1"/>
    <m/>
    <m/>
    <m/>
    <m/>
    <m/>
    <m/>
    <m/>
    <m/>
    <m/>
    <b v="1"/>
  </r>
  <r>
    <s v="nFcHTBo-P0-ZtMWwM-9yGWUAPf8x"/>
    <x v="677"/>
    <x v="14"/>
    <s v="Andres Esquivel - Network"/>
    <s v="Test Method;Consumable;am;Finished Product;Full Build"/>
    <s v="sop # b09997 _x000a_ _x000a_config start date:05/15/24 _x000a_all config blocked start date: _x000a_all config blocked end date: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m/>
    <b v="1"/>
    <m/>
    <m/>
    <m/>
    <b v="1"/>
    <m/>
  </r>
  <r>
    <s v="5ssLBCmR_E6nsXqWpSqdRGUABjpw"/>
    <x v="678"/>
    <x v="10"/>
    <s v="Shannon Blais - Network;Fabian Soma - Network;Nannette Umpierre;Rhoda Gill"/>
    <s v="Test Method;Raw material;am;Skeleton Build"/>
    <s v="sop # a01145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na _x000a_ _x000a_all client blocked end date:na _x000a_ _x000a_all client rework required end date:06/27/24 _x000a_ _x000a_------------------------------------------------------------------------------------------- _x000a_ _x000a_verification complete date:06/27/24 _x000a_ _x000a_ready to migrate date: 07/30/2024"/>
    <x v="2"/>
    <x v="2"/>
    <e v="#VALUE!"/>
    <n v="0"/>
    <x v="1"/>
    <n v="1"/>
    <x v="1"/>
    <n v="0"/>
    <n v="0"/>
    <x v="1"/>
    <n v="0"/>
    <n v="0"/>
    <n v="0"/>
    <n v="0"/>
    <x v="1"/>
    <n v="2"/>
    <n v="2"/>
    <x v="1"/>
    <e v="#VALUE!"/>
    <n v="0"/>
    <x v="1"/>
    <d v="2024-06-27T00:00:00"/>
    <d v="2024-07-30T00:00:00"/>
    <x v="1"/>
    <x v="0"/>
    <x v="0"/>
    <x v="1"/>
    <x v="1"/>
    <x v="1"/>
    <b v="1"/>
    <m/>
    <m/>
    <m/>
    <m/>
    <m/>
    <b v="1"/>
    <m/>
    <m/>
    <m/>
    <m/>
    <m/>
    <m/>
    <m/>
    <m/>
    <m/>
    <b v="1"/>
  </r>
  <r>
    <s v="5fGFtH5r70Womc6vSbvUM2UANpW0"/>
    <x v="679"/>
    <x v="14"/>
    <s v="Cristofer Orozco - Network"/>
    <s v="Test Method;Consumable;am;Finished Product;Full Build"/>
    <s v="sop # _x000a_ _x000a_config start date:04/05/24 _x000a_all config blocked start date:na _x000a_all config blocked end date:na _x000a_config end date:05/30/24 _x000a_ -------------------------------------------------------------------------------------------- _x000a_all peer review start date:05/30/24 _x000a_all peer review end date:05/30/24 _x000a_ _x000a_all peer review rework required start date: _x000a_all pr rework blocked start date: _x000a_all pr rework blocked end date: _x000a_all peer review rework required end date: _x000a_-------------------------------------------------------------------------------------------- _x000a_all ready for demo date:05/30/24 _x000a_ _x000a_all demo date:05/31/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1"/>
    <x v="1"/>
    <n v="0"/>
    <n v="0"/>
    <x v="1"/>
    <n v="1"/>
    <n v="1"/>
    <n v="0"/>
    <n v="0"/>
    <x v="1"/>
    <n v="0"/>
    <n v="0"/>
    <x v="0"/>
    <n v="0"/>
    <n v="0"/>
    <x v="1"/>
    <m/>
    <m/>
    <x v="1"/>
    <x v="0"/>
    <x v="1"/>
    <x v="0"/>
    <x v="0"/>
    <x v="0"/>
    <b v="1"/>
    <m/>
    <m/>
    <m/>
    <m/>
    <m/>
    <m/>
    <m/>
    <m/>
    <m/>
    <m/>
    <b v="1"/>
    <m/>
    <m/>
    <m/>
    <b v="1"/>
    <m/>
  </r>
  <r>
    <s v="I-VVI_zliE-9zTBZKcbpb2UAHGWv"/>
    <x v="680"/>
    <x v="4"/>
    <m/>
    <s v="Test Method;Consumable;Raw material;Empower ;Full Build"/>
    <s v="sop #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JkM2Dj9rWkGQieu6L4SOpmUAFDs-"/>
    <x v="681"/>
    <x v="10"/>
    <s v="Sely Cheung;Nannette Umpierre"/>
    <s v="Test Method;Consumable;Raw material;am;Skeleton Build"/>
    <s v="sop # b09651 _x000a_ _x000a_config start date:05/30/24 _x000a_all config blocked start date:na _x000a_all config blocked end date:na _x000a_config end date:05/3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2/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 7/29/2024"/>
    <x v="2"/>
    <x v="2"/>
    <e v="#VALUE!"/>
    <n v="0"/>
    <x v="1"/>
    <n v="1"/>
    <x v="1"/>
    <n v="0"/>
    <n v="0"/>
    <x v="1"/>
    <n v="0"/>
    <n v="0"/>
    <n v="0"/>
    <n v="0"/>
    <x v="1"/>
    <n v="1"/>
    <n v="1"/>
    <x v="1"/>
    <n v="0"/>
    <n v="0"/>
    <x v="1"/>
    <d v="2024-06-13T00:00:00"/>
    <d v="2024-07-29T00:00:00"/>
    <x v="1"/>
    <x v="0"/>
    <x v="0"/>
    <x v="1"/>
    <x v="1"/>
    <x v="1"/>
    <b v="1"/>
    <m/>
    <m/>
    <m/>
    <m/>
    <m/>
    <b v="1"/>
    <m/>
    <m/>
    <m/>
    <m/>
    <m/>
    <m/>
    <m/>
    <m/>
    <m/>
    <b v="1"/>
  </r>
  <r>
    <s v="jlTnzDOyo0qfjH5g2AU5BGUACB-r"/>
    <x v="682"/>
    <x v="13"/>
    <s v="Rhoda Gill - Network;Shannon Blais - Network;Andrea Fuentes;Nannette Umpierre;Noel Mendez - Network"/>
    <s v="Test Method;Raw material;am;Skeleton Build"/>
    <s v="sop # a00660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07/02/24,07/09/2024 _x000a_all client blocked start date: _x000a_all client blocked end date: _x000a_all client rework required end date:07/08/24;07/10/24 _x000a_-------------------------------------------------------------------------------------------- _x000a_verification complete date: 07/10/2024 _x000a_ready to migrate date:"/>
    <x v="2"/>
    <x v="1"/>
    <e v="#VALUE!"/>
    <n v="0"/>
    <x v="1"/>
    <n v="1"/>
    <x v="1"/>
    <n v="0"/>
    <n v="0"/>
    <x v="1"/>
    <n v="0"/>
    <n v="0"/>
    <n v="0"/>
    <n v="0"/>
    <x v="1"/>
    <n v="1"/>
    <n v="1"/>
    <x v="1"/>
    <e v="#VALUE!"/>
    <n v="0"/>
    <x v="1"/>
    <d v="2024-07-10T00:00:00"/>
    <m/>
    <x v="1"/>
    <x v="0"/>
    <x v="0"/>
    <x v="1"/>
    <x v="1"/>
    <x v="0"/>
    <b v="1"/>
    <m/>
    <m/>
    <m/>
    <m/>
    <m/>
    <b v="1"/>
    <m/>
    <m/>
    <m/>
    <m/>
    <m/>
    <m/>
    <m/>
    <m/>
    <m/>
    <b v="1"/>
  </r>
  <r>
    <s v="iyYXROFUok6SBOLoajB2cGUACIQj"/>
    <x v="683"/>
    <x v="10"/>
    <s v="Daniel Bonilla - Network;Nannette Umpierre;Rhoda Gill"/>
    <s v="Test Method;Consumable;Raw material;am;Skeleton Build"/>
    <s v="sop # a00658 _x000a_ _x000a_config start date:05/08/24 _x000a_ _x000a_all config blocked start date:na _x000a_ _x000a_all config blocked end date:na _x000a_ _x000a_config end date:05/22/24 _x000a_ _x000a_ -------------------------------------------------------------------------------------------- _x000a_ _x000a_all peer review start date:06/12/24 _x000a_ _x000a_all peer review end date:06/12/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2/24;06/27/27 _x000a_ _x000a_verification assigned to: nannette umpierre _x000a_ _x000a_all client verification start date:06/12/24;06/27/24 _x000a_ _x000a_all client verification end date:06/13/24;06/27/24 _x000a_ _x000a_all client rework required start date:06/14/24 _x000a_ _x000a_all client blocked start date:na _x000a_ _x000a_all client blocked end date:na _x000a_ _x000a_all client rework required end date:06/14/24 _x000a_ _x000a_------------------------------------------------------------------------------------------- _x000a_ _x000a_verification complete date:06/27/24 _x000a_ _x000a_ready to migrate date: 07/30/2024"/>
    <x v="2"/>
    <x v="2"/>
    <e v="#VALUE!"/>
    <n v="0"/>
    <x v="1"/>
    <n v="1"/>
    <x v="1"/>
    <n v="0"/>
    <n v="0"/>
    <x v="1"/>
    <n v="0"/>
    <n v="0"/>
    <n v="0"/>
    <n v="0"/>
    <x v="1"/>
    <n v="2"/>
    <n v="2"/>
    <x v="1"/>
    <e v="#VALUE!"/>
    <n v="0"/>
    <x v="1"/>
    <d v="2024-06-27T00:00:00"/>
    <d v="2024-07-30T00:00:00"/>
    <x v="1"/>
    <x v="0"/>
    <x v="0"/>
    <x v="1"/>
    <x v="1"/>
    <x v="1"/>
    <b v="1"/>
    <m/>
    <m/>
    <m/>
    <m/>
    <m/>
    <b v="1"/>
    <m/>
    <m/>
    <m/>
    <m/>
    <m/>
    <m/>
    <m/>
    <m/>
    <m/>
    <b v="1"/>
  </r>
  <r>
    <s v="ByEoYg3FxkWVD03uKISq9WUALyYs"/>
    <x v="684"/>
    <x v="10"/>
    <s v="Daniel Bonilla - Network;Nannette Umpierre;Rhoda Gill"/>
    <s v="Test Method;Consumable;Raw material;am;Skeleton Build"/>
    <s v="sop # b09073 _x000a_ _x000a_config start date:05/20/24 _x000a_all config blocked start date:na _x000a_all config blocked end date:na _x000a_config end date:05/22/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e v="#VALUE!"/>
    <n v="0"/>
    <x v="1"/>
    <n v="1"/>
    <x v="1"/>
    <n v="0"/>
    <n v="0"/>
    <x v="1"/>
    <n v="0"/>
    <n v="0"/>
    <n v="0"/>
    <n v="0"/>
    <x v="1"/>
    <n v="1"/>
    <n v="1"/>
    <x v="1"/>
    <e v="#VALUE!"/>
    <n v="0"/>
    <x v="1"/>
    <d v="2024-06-14T00:00:00"/>
    <d v="2024-07-30T00:00:00"/>
    <x v="1"/>
    <x v="0"/>
    <x v="0"/>
    <x v="1"/>
    <x v="1"/>
    <x v="1"/>
    <b v="1"/>
    <m/>
    <m/>
    <m/>
    <m/>
    <m/>
    <b v="1"/>
    <m/>
    <m/>
    <m/>
    <m/>
    <m/>
    <m/>
    <m/>
    <m/>
    <m/>
    <b v="1"/>
  </r>
  <r>
    <s v="QCNmyX-Nb0iReXgIx4N35mUAK4Uy"/>
    <x v="685"/>
    <x v="4"/>
    <m/>
    <s v="Test Method;Consumable;Raw material;Empower ;Full Build"/>
    <s v="sop # b08929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b v="1"/>
    <m/>
    <m/>
    <m/>
    <m/>
    <m/>
    <b v="1"/>
    <m/>
    <m/>
    <b v="1"/>
    <m/>
  </r>
  <r>
    <s v="efK02aDHYE-LP5cWHYy7CmUAE9y8"/>
    <x v="686"/>
    <x v="10"/>
    <s v="Shannon Blais - Network;Caroline Morice - Network;Nannette Umpierre"/>
    <s v="Test Method;Raw material;am;Skeleton Build"/>
    <s v="sop # b08131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7/24 _x000a_all client verification end date:06/17/24 _x000a_ _x000a_all client rework required start date:06/17/24 _x000a_all client blocked start date:na _x000a_all client blocked end date:na _x000a_all client rework required end date:06/18/24 _x000a_-------------------------------------------------------------------------------------------- _x000a_verification complete date:06/27/24 _x000a_ _x000a_ready to migrate date: 7/29/2024"/>
    <x v="2"/>
    <x v="2"/>
    <e v="#VALUE!"/>
    <n v="0"/>
    <x v="1"/>
    <n v="1"/>
    <x v="1"/>
    <n v="0"/>
    <n v="0"/>
    <x v="1"/>
    <n v="0"/>
    <n v="0"/>
    <n v="0"/>
    <n v="0"/>
    <x v="1"/>
    <n v="1"/>
    <n v="1"/>
    <x v="1"/>
    <e v="#VALUE!"/>
    <n v="0"/>
    <x v="1"/>
    <d v="2024-06-27T00:00:00"/>
    <d v="2024-07-29T00:00:00"/>
    <x v="1"/>
    <x v="0"/>
    <x v="0"/>
    <x v="1"/>
    <x v="1"/>
    <x v="1"/>
    <b v="1"/>
    <m/>
    <m/>
    <m/>
    <m/>
    <m/>
    <b v="1"/>
    <m/>
    <m/>
    <m/>
    <m/>
    <m/>
    <m/>
    <m/>
    <m/>
    <m/>
    <b v="1"/>
  </r>
  <r>
    <s v="xR3cjqZL1UWBiVW7IKt1jWUAFg6y"/>
    <x v="687"/>
    <x v="10"/>
    <s v="Alejandra Robles - Network;Ethan Cordero - Network;Nannette Umpierre"/>
    <s v="Test Method;Raw material;am;Skeleton Build"/>
    <s v="sop # b07494 _x000a_ _x000a_config start date:05/30/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ready to migrate date:07/31/2024"/>
    <x v="2"/>
    <x v="2"/>
    <e v="#VALUE!"/>
    <n v="0"/>
    <x v="1"/>
    <n v="1"/>
    <x v="1"/>
    <n v="0"/>
    <n v="0"/>
    <x v="1"/>
    <n v="0"/>
    <n v="0"/>
    <n v="0"/>
    <n v="0"/>
    <x v="1"/>
    <n v="1"/>
    <n v="1"/>
    <x v="1"/>
    <n v="0"/>
    <n v="0"/>
    <x v="1"/>
    <d v="2024-06-27T00:00:00"/>
    <d v="2024-07-31T00:00:00"/>
    <x v="1"/>
    <x v="0"/>
    <x v="0"/>
    <x v="1"/>
    <x v="1"/>
    <x v="1"/>
    <b v="1"/>
    <m/>
    <m/>
    <m/>
    <m/>
    <m/>
    <b v="1"/>
    <m/>
    <m/>
    <m/>
    <m/>
    <m/>
    <m/>
    <m/>
    <m/>
    <m/>
    <b v="1"/>
  </r>
  <r>
    <s v="inq_Zbd4f0SEcxsxuGwPOGUABntV"/>
    <x v="688"/>
    <x v="10"/>
    <s v="Shannon Blais - Network;Caroline Morice - Network;Nannette Umpierre"/>
    <s v="Test Method;Intermediate;Raw material;am;Skeleton Build"/>
    <s v="sop # a00657 _x000a_ _x000a_config start date:05/31/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06/18/24 _x000a_ _x000a_verification assigned to: noel mendez _x000a_all client verification start date:06/17/24;06/27/24 _x000a_all client verification end date:06/17/24;06/27/24 _x000a_ _x000a_all client rework required start date:06/18/24;06/27/24 _x000a_all client blocked start date:na _x000a_all client blocked end date:na _x000a_all client rework required end date:06/18/24;06/27/24 _x000a_-------------------------------------------------------------------------------------------- _x000a_verification complete date:06/27/24 _x000a_ready to migrate date: 7/29/2024"/>
    <x v="2"/>
    <x v="2"/>
    <e v="#VALUE!"/>
    <n v="0"/>
    <x v="1"/>
    <n v="1"/>
    <x v="1"/>
    <n v="0"/>
    <n v="0"/>
    <x v="1"/>
    <n v="0"/>
    <n v="0"/>
    <n v="0"/>
    <n v="0"/>
    <x v="1"/>
    <n v="2"/>
    <n v="2"/>
    <x v="1"/>
    <e v="#VALUE!"/>
    <n v="0"/>
    <x v="1"/>
    <d v="2024-06-27T00:00:00"/>
    <d v="2024-07-29T00:00:00"/>
    <x v="1"/>
    <x v="0"/>
    <x v="0"/>
    <x v="1"/>
    <x v="1"/>
    <x v="1"/>
    <b v="1"/>
    <m/>
    <m/>
    <m/>
    <m/>
    <m/>
    <b v="1"/>
    <m/>
    <m/>
    <m/>
    <m/>
    <m/>
    <m/>
    <m/>
    <m/>
    <m/>
    <b v="1"/>
  </r>
  <r>
    <s v="6ovp1ry_W0WYXKIMDTULJ2UAK_Qq"/>
    <x v="689"/>
    <x v="10"/>
    <s v="Shannon Blais - Network;Alejandra Robles - Network;Nannette Umpierre"/>
    <s v="Test Method;Raw material;am;Skeleton Build"/>
    <s v="sop # b07285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e v="#VALUE!"/>
    <n v="0"/>
    <x v="1"/>
    <n v="1"/>
    <x v="1"/>
    <n v="0"/>
    <n v="0"/>
    <x v="1"/>
    <n v="0"/>
    <n v="0"/>
    <n v="0"/>
    <n v="0"/>
    <x v="1"/>
    <n v="1"/>
    <n v="1"/>
    <x v="1"/>
    <n v="0"/>
    <n v="0"/>
    <x v="1"/>
    <d v="2024-06-30T00:00:00"/>
    <d v="2024-07-31T00:00:00"/>
    <x v="1"/>
    <x v="0"/>
    <x v="0"/>
    <x v="1"/>
    <x v="1"/>
    <x v="1"/>
    <b v="1"/>
    <m/>
    <m/>
    <m/>
    <m/>
    <m/>
    <b v="1"/>
    <m/>
    <m/>
    <m/>
    <m/>
    <m/>
    <m/>
    <m/>
    <m/>
    <m/>
    <b v="1"/>
  </r>
  <r>
    <s v="rNovouSYdEOp2qTZ_fTwO2UADS-W"/>
    <x v="690"/>
    <x v="10"/>
    <s v="Shannon Blais - Network;Andrea Fuentes;Nannette Umpierre"/>
    <s v="Test Method;Raw material;am;Skeleton Build"/>
    <s v="sop # b07284 _x000a_ _x000a_config start date:05/28/24 _x000a_all config blocked start date:na _x000a_all config blocked end date:na _x000a_config end date:05/28/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06/27/24 _x000a_all client verification end date:06/19/24;06/27/24 _x000a_ _x000a_all client rework required start date:06/24/24 _x000a_all client blocked start date:na _x000a_all client blocked end date:na _x000a_all client rework required end date:06/27/24 _x000a_-------------------------------------------------------------------------------------------- _x000a_verification complete date:06/27/24 _x000a_ready to migrate date:07/31/2024"/>
    <x v="2"/>
    <x v="2"/>
    <e v="#VALUE!"/>
    <n v="0"/>
    <x v="1"/>
    <n v="1"/>
    <x v="1"/>
    <n v="0"/>
    <n v="0"/>
    <x v="1"/>
    <n v="0"/>
    <n v="0"/>
    <n v="0"/>
    <n v="0"/>
    <x v="1"/>
    <n v="1"/>
    <n v="2"/>
    <x v="1"/>
    <e v="#VALUE!"/>
    <n v="0"/>
    <x v="1"/>
    <d v="2024-06-27T00:00:00"/>
    <d v="2024-07-31T00:00:00"/>
    <x v="1"/>
    <x v="0"/>
    <x v="0"/>
    <x v="1"/>
    <x v="1"/>
    <x v="1"/>
    <b v="1"/>
    <m/>
    <m/>
    <m/>
    <m/>
    <m/>
    <b v="1"/>
    <m/>
    <m/>
    <m/>
    <m/>
    <m/>
    <m/>
    <m/>
    <m/>
    <m/>
    <b v="1"/>
  </r>
  <r>
    <s v="UXxZu273NECYatRi6eSsImUABe_H"/>
    <x v="691"/>
    <x v="10"/>
    <s v="Javier Coronado - Network;Shannon Blais - Network;Nannette Umpierre;Rhoda Gill"/>
    <s v="Test Method;Raw material;am;Skeleton Build"/>
    <s v="sop # b07036 _x000a_ _x000a_config start date:06/03/24 _x000a_all config blocked start date:na _x000a_all config blocked end date:na _x000a_config end date:06/11/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29/2024"/>
    <x v="2"/>
    <x v="2"/>
    <e v="#VALUE!"/>
    <n v="0"/>
    <x v="1"/>
    <n v="1"/>
    <x v="1"/>
    <n v="0"/>
    <n v="0"/>
    <x v="1"/>
    <n v="0"/>
    <n v="0"/>
    <n v="0"/>
    <n v="0"/>
    <x v="1"/>
    <n v="1"/>
    <n v="1"/>
    <x v="1"/>
    <n v="0"/>
    <n v="0"/>
    <x v="1"/>
    <d v="2024-06-14T00:00:00"/>
    <d v="2024-07-29T00:00:00"/>
    <x v="1"/>
    <x v="0"/>
    <x v="0"/>
    <x v="1"/>
    <x v="1"/>
    <x v="1"/>
    <b v="1"/>
    <m/>
    <m/>
    <m/>
    <m/>
    <m/>
    <b v="1"/>
    <m/>
    <m/>
    <m/>
    <m/>
    <m/>
    <m/>
    <m/>
    <m/>
    <m/>
    <b v="1"/>
  </r>
  <r>
    <s v="2gaqsAXVikWFlWmDaetAJmUAPdHj"/>
    <x v="692"/>
    <x v="10"/>
    <s v="Nannette Umpierre;Rhoda Gill;Daniela Maroto - Network"/>
    <s v="Test Method;Raw material;am;Skeleton Build"/>
    <s v="sop # b06988 _x000a_ _x000a_config start date:05/29/24 _x000a_all config blocked start date:na _x000a_all config blocked end date:na _x000a_config end date:05/30/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 06/19/2024 _x000a_all client verification end date: 06/21/2024 _x000a_ _x000a_all client rework required start date:na _x000a_all client blocked start date:na _x000a_all client blocked end date:na _x000a_all client rework required end date:na _x000a_-------------------------------------------------------------------------------------------- _x000a_verification complete date: 07/09/2024 _x000a_ready to migrate date:07/30/2024"/>
    <x v="2"/>
    <x v="2"/>
    <e v="#VALUE!"/>
    <n v="0"/>
    <x v="1"/>
    <n v="1"/>
    <x v="1"/>
    <n v="0"/>
    <n v="0"/>
    <x v="1"/>
    <n v="0"/>
    <n v="0"/>
    <n v="0"/>
    <n v="0"/>
    <x v="1"/>
    <n v="1"/>
    <n v="1"/>
    <x v="1"/>
    <n v="0"/>
    <n v="0"/>
    <x v="1"/>
    <d v="2024-07-09T00:00:00"/>
    <d v="2024-07-30T00:00:00"/>
    <x v="1"/>
    <x v="0"/>
    <x v="0"/>
    <x v="1"/>
    <x v="1"/>
    <x v="1"/>
    <b v="1"/>
    <m/>
    <m/>
    <m/>
    <m/>
    <m/>
    <b v="1"/>
    <m/>
    <m/>
    <m/>
    <m/>
    <m/>
    <m/>
    <m/>
    <m/>
    <m/>
    <b v="1"/>
  </r>
  <r>
    <s v="ELulvK7qkEKQH3W72ATec2UAKfYD"/>
    <x v="693"/>
    <x v="10"/>
    <s v="Nannette Umpierre;Rhoda Gill;Daniela Maroto - Network"/>
    <s v="Test Method;Raw material;am;Skeleton Build"/>
    <s v="sop # a00158 _x000a_ _x000a_config start date:05/22/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e v="#VALUE!"/>
    <n v="0"/>
    <x v="1"/>
    <n v="1"/>
    <x v="1"/>
    <n v="0"/>
    <n v="0"/>
    <x v="1"/>
    <n v="0"/>
    <n v="0"/>
    <n v="0"/>
    <n v="0"/>
    <x v="1"/>
    <n v="1"/>
    <n v="1"/>
    <x v="1"/>
    <n v="0"/>
    <n v="0"/>
    <x v="1"/>
    <d v="2024-07-01T00:00:00"/>
    <d v="2024-07-31T00:00:00"/>
    <x v="1"/>
    <x v="0"/>
    <x v="0"/>
    <x v="1"/>
    <x v="1"/>
    <x v="1"/>
    <b v="1"/>
    <m/>
    <m/>
    <m/>
    <m/>
    <m/>
    <b v="1"/>
    <m/>
    <m/>
    <m/>
    <m/>
    <m/>
    <m/>
    <m/>
    <m/>
    <m/>
    <b v="1"/>
  </r>
  <r>
    <s v="kQ3QCzHjP06oDC9h5q9DZWUAEx6k"/>
    <x v="694"/>
    <x v="14"/>
    <s v="Rhoda Gill;Daniela Maroto - Network"/>
    <s v="Test Method;Consumable;am;Finished Product;Full Build"/>
    <s v="sop # a00123 _x000a_ _x000a_config start date:05/17/24 _x000a_all config blocked start date:na _x000a_all config blocked end date:na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m/>
    <b v="1"/>
    <m/>
    <m/>
    <m/>
    <b v="1"/>
    <m/>
  </r>
  <r>
    <s v="WEgLsPL12UCrEj8rLTaik2UAEnUd"/>
    <x v="695"/>
    <x v="7"/>
    <s v="Fabian Soma - Network;Daniel Bonilla - Network;Daniela Maroto - Network"/>
    <s v="Test Method;Consumable;In Process;Full Build"/>
    <s v="sop # b06522 _x000a_ _x000a_config start date: 07/31/2024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b v="1"/>
    <m/>
    <m/>
    <m/>
    <m/>
    <b v="1"/>
    <m/>
  </r>
  <r>
    <s v="5TQJZEEgo0qpEMpqpciGZ2UAKBxd"/>
    <x v="696"/>
    <x v="10"/>
    <s v="Fabian Soma - Network;Nannette Umpierre;Rhoda Gill"/>
    <s v="Test Method;Raw material;am;Skeleton Build"/>
    <s v="sop # a00011 _x000a_ _x000a_config start date:04/17/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6/06/24 _x000a_ _x000a_all demo date:06/06/24 _x000a_ _x000a_all demo rework required start date:na _x000a_all demo blocked start date:na _x000a_all demo blocked end date:na _x000a_all demo rework required end date:na _x000a_-------------------------------------------------------------------------------------------- _x000a_all ready for client verification date:06/06/24  _x000a_ _x000a_verification assigned to: nannette umpierre _x000a_all client verification start date:06/06/24 _x000a_all client verification end date:06/06/24 _x000a_ _x000a_all client rework required start date:06/11/24 _x000a_all client blocked start date:06/06/24 _x000a_all client blocked end date:06/11/24 _x000a_all client rework required end date:06/12/24 _x000a_-------------------------------------------------------------------------------------------- _x000a_verification complete date:06/12/24 _x000a_ _x000a_ready to migrate date:07/31/2024"/>
    <x v="2"/>
    <x v="2"/>
    <e v="#VALUE!"/>
    <n v="0"/>
    <x v="1"/>
    <n v="1"/>
    <x v="1"/>
    <n v="0"/>
    <n v="0"/>
    <x v="1"/>
    <n v="1"/>
    <n v="1"/>
    <n v="0"/>
    <n v="0"/>
    <x v="1"/>
    <n v="1"/>
    <n v="1"/>
    <x v="1"/>
    <e v="#VALUE!"/>
    <e v="#VALUE!"/>
    <x v="1"/>
    <d v="2024-06-12T00:00:00"/>
    <d v="2024-07-31T00:00:00"/>
    <x v="1"/>
    <x v="0"/>
    <x v="1"/>
    <x v="1"/>
    <x v="1"/>
    <x v="1"/>
    <b v="1"/>
    <m/>
    <m/>
    <m/>
    <m/>
    <m/>
    <b v="1"/>
    <m/>
    <m/>
    <m/>
    <m/>
    <m/>
    <m/>
    <m/>
    <m/>
    <m/>
    <b v="1"/>
  </r>
  <r>
    <s v="L5t_R_1vpESFXMCDbak8uGUABFO7"/>
    <x v="697"/>
    <x v="10"/>
    <s v="Daniel Bonilla - Network;Nannette Umpierre;Rhoda Gill"/>
    <s v="Test Method;Raw material;am;Skeleton Build"/>
    <s v="sop # b06490 _x000a_ _x000a_config start date:04/17/24 _x000a_all config blocked start date:na _x000a_all config blocked end date:na _x000a_config end date: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_x000a_all client blocked start date:na _x000a_all client blocked end date:na _x000a_all client rework required end date: _x000a_-------------------------------------------------------------------------------------------- _x000a_verification complete date:06/20/24 _x000a_ready to migrate date:07/30/2024"/>
    <x v="2"/>
    <x v="2"/>
    <e v="#VALUE!"/>
    <n v="0"/>
    <x v="1"/>
    <n v="1"/>
    <x v="1"/>
    <n v="0"/>
    <n v="0"/>
    <x v="1"/>
    <n v="0"/>
    <n v="0"/>
    <n v="0"/>
    <n v="0"/>
    <x v="1"/>
    <n v="1"/>
    <n v="1"/>
    <x v="1"/>
    <n v="0"/>
    <n v="0"/>
    <x v="1"/>
    <d v="2024-06-20T00:00:00"/>
    <d v="2024-07-30T00:00:00"/>
    <x v="1"/>
    <x v="0"/>
    <x v="0"/>
    <x v="1"/>
    <x v="1"/>
    <x v="1"/>
    <b v="1"/>
    <m/>
    <m/>
    <m/>
    <m/>
    <m/>
    <b v="1"/>
    <m/>
    <m/>
    <m/>
    <m/>
    <m/>
    <m/>
    <m/>
    <m/>
    <m/>
    <b v="1"/>
  </r>
  <r>
    <s v="-SJ9EKjmu0OdPUr8yuMQIWUAHiX9"/>
    <x v="698"/>
    <x v="10"/>
    <s v="Fabian Soma - Network;Nannette Umpierre;Rhoda Gill"/>
    <s v="Test Method;Raw material;am;Skeleton Build"/>
    <s v="sop # b06489 _x000a_ _x000a_config start date:04/17/24;05/23/24 _x000a_all config blocked start date:na _x000a_all config blocked end date:na _x000a_config end date:04/17/24;05/23/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7/24 _x000a_ _x000a_ready to migrate date:07/31/2024"/>
    <x v="2"/>
    <x v="2"/>
    <e v="#VALUE!"/>
    <n v="0"/>
    <x v="1"/>
    <n v="1"/>
    <x v="1"/>
    <n v="0"/>
    <n v="0"/>
    <x v="1"/>
    <n v="0"/>
    <n v="0"/>
    <n v="0"/>
    <n v="0"/>
    <x v="1"/>
    <n v="1"/>
    <n v="1"/>
    <x v="1"/>
    <n v="0"/>
    <n v="0"/>
    <x v="1"/>
    <d v="2024-06-27T00:00:00"/>
    <d v="2024-07-31T00:00:00"/>
    <x v="1"/>
    <x v="0"/>
    <x v="0"/>
    <x v="1"/>
    <x v="1"/>
    <x v="1"/>
    <b v="1"/>
    <m/>
    <m/>
    <m/>
    <m/>
    <m/>
    <b v="1"/>
    <m/>
    <m/>
    <m/>
    <m/>
    <m/>
    <m/>
    <m/>
    <m/>
    <m/>
    <b v="1"/>
  </r>
  <r>
    <s v="VOQfoPwD80qvFT9Shx2dEGUAF_6o"/>
    <x v="699"/>
    <x v="10"/>
    <s v="Alejandra Robles - Network;Nannette Umpierre;Rhoda Gill;Daniela Maroto - Network"/>
    <s v="Test Method;Raw material;am;Skeleton Build"/>
    <s v="sop # b06488 _x000a_ _x000a_config start date:04/22/24 _x000a_all config blocked start date:na _x000a_all config blocked end date:na _x000a_config end date:06/04/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7/29/2024"/>
    <x v="2"/>
    <x v="2"/>
    <e v="#VALUE!"/>
    <n v="0"/>
    <x v="1"/>
    <n v="1"/>
    <x v="1"/>
    <n v="0"/>
    <n v="0"/>
    <x v="1"/>
    <n v="0"/>
    <n v="0"/>
    <n v="0"/>
    <n v="0"/>
    <x v="1"/>
    <n v="1"/>
    <n v="1"/>
    <x v="1"/>
    <n v="0"/>
    <n v="0"/>
    <x v="1"/>
    <d v="2024-06-24T00:00:00"/>
    <d v="2024-07-29T00:00:00"/>
    <x v="1"/>
    <x v="0"/>
    <x v="0"/>
    <x v="1"/>
    <x v="1"/>
    <x v="1"/>
    <b v="1"/>
    <m/>
    <m/>
    <m/>
    <m/>
    <m/>
    <b v="1"/>
    <m/>
    <m/>
    <m/>
    <m/>
    <m/>
    <m/>
    <m/>
    <m/>
    <m/>
    <b v="1"/>
  </r>
  <r>
    <s v="erh1HuBuCk-MzVFiARXPGWUAJJCu"/>
    <x v="700"/>
    <x v="10"/>
    <s v="Rhoda Gill - Network;Raquel Bolanos - Network;Raquel Bolaños;Nannette Umpierre;Rhoda Gill"/>
    <s v="Test Method;Raw material;am;Skeleton Build"/>
    <s v="sop # b06445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e v="#VALUE!"/>
    <n v="0"/>
    <x v="1"/>
    <n v="1"/>
    <x v="1"/>
    <n v="0"/>
    <n v="0"/>
    <x v="1"/>
    <n v="0"/>
    <n v="0"/>
    <n v="0"/>
    <n v="0"/>
    <x v="1"/>
    <n v="1"/>
    <n v="1"/>
    <x v="1"/>
    <n v="0"/>
    <n v="0"/>
    <x v="1"/>
    <d v="2024-06-27T00:00:00"/>
    <d v="2024-07-31T00:00:00"/>
    <x v="1"/>
    <x v="0"/>
    <x v="0"/>
    <x v="1"/>
    <x v="1"/>
    <x v="1"/>
    <b v="1"/>
    <m/>
    <m/>
    <m/>
    <m/>
    <m/>
    <b v="1"/>
    <m/>
    <m/>
    <m/>
    <m/>
    <m/>
    <m/>
    <m/>
    <m/>
    <m/>
    <b v="1"/>
  </r>
  <r>
    <s v="Q93Ufe6i-U-P-EOorrJh4mUAITQT"/>
    <x v="701"/>
    <x v="10"/>
    <s v="Rhoda Gill - Network;Alejandra Robles - Network;Raquel Bolanos - Network;Raquel Bolaños;Nannette Umpierre;Rhoda Gill"/>
    <s v="Test Method;Raw material;am;Skeleton Build"/>
    <s v="sop # b06405 _x000a_ _x000a_config start date:05/27/24 _x000a_all config blocked start date:na _x000a_all config blocked end date:na _x000a_config end date:05/28/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7/24 _x000a_ _x000a_all client rework required start date:na _x000a_all client blocked start date:na _x000a_all client blocked end date:na _x000a_all client rework required end date:na _x000a_-------------------------------------------------------------------------------------------- _x000a_verification complete date:06/30/24 _x000a_ready to migrate date:07/31/2024"/>
    <x v="2"/>
    <x v="2"/>
    <e v="#VALUE!"/>
    <n v="0"/>
    <x v="1"/>
    <n v="1"/>
    <x v="1"/>
    <n v="0"/>
    <n v="0"/>
    <x v="1"/>
    <n v="0"/>
    <n v="0"/>
    <n v="0"/>
    <n v="0"/>
    <x v="1"/>
    <n v="1"/>
    <n v="1"/>
    <x v="1"/>
    <n v="0"/>
    <n v="0"/>
    <x v="1"/>
    <d v="2024-06-30T00:00:00"/>
    <d v="2024-07-31T00:00:00"/>
    <x v="1"/>
    <x v="0"/>
    <x v="0"/>
    <x v="1"/>
    <x v="1"/>
    <x v="1"/>
    <b v="1"/>
    <m/>
    <m/>
    <m/>
    <m/>
    <m/>
    <b v="1"/>
    <m/>
    <m/>
    <m/>
    <m/>
    <m/>
    <m/>
    <m/>
    <m/>
    <m/>
    <b v="1"/>
  </r>
  <r>
    <s v="BJLk3T0Ng0qxICTCFtq-WmUABnG2"/>
    <x v="702"/>
    <x v="10"/>
    <s v="Alejandra Robles - Network;Glenda Fernandez - Network;Miguel A Lozada;Nannette Umpierre"/>
    <s v="Test Method;In Process;am;Skeleton Build"/>
    <s v="sop # b06001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20/2024 _x000a_all client verification end date: 06/21/2024 _x000a_ _x000a_all client rework required start date:07/09/2024 _x000a_all client blocked start date: na _x000a_all client blocked end date: na _x000a_all client rework required end date:07/10/2024 _x000a_-------------------------------------------------------------------------------------------- _x000a_verification complete date: _x000a_ready to migrate date:"/>
    <x v="2"/>
    <x v="2"/>
    <e v="#VALUE!"/>
    <n v="0"/>
    <x v="1"/>
    <n v="1"/>
    <x v="1"/>
    <n v="0"/>
    <n v="0"/>
    <x v="1"/>
    <n v="0"/>
    <n v="0"/>
    <n v="0"/>
    <n v="0"/>
    <x v="1"/>
    <n v="1"/>
    <n v="1"/>
    <x v="1"/>
    <e v="#VALUE!"/>
    <n v="0"/>
    <x v="1"/>
    <m/>
    <m/>
    <x v="1"/>
    <x v="0"/>
    <x v="0"/>
    <x v="1"/>
    <x v="1"/>
    <x v="0"/>
    <b v="1"/>
    <m/>
    <m/>
    <m/>
    <m/>
    <m/>
    <m/>
    <m/>
    <m/>
    <m/>
    <b v="1"/>
    <m/>
    <m/>
    <m/>
    <m/>
    <m/>
    <b v="1"/>
  </r>
  <r>
    <s v="QuvcE1iBe0u-sY_2OHR_IGUAIqur"/>
    <x v="703"/>
    <x v="10"/>
    <s v="Shannon Blais - Network;Alejandra Robles - Network;Glenda Fernandez - Network;Miguel A Lozada;Nannette Umpierre"/>
    <s v="Test Method;In Process;am;Skeleton Build"/>
    <s v="sop # b05872 _x000a_ _x000a_config start date:05/28/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10/24  _x000a_ _x000a_verification assigned to: miguel lozada _x000a_all client verification start date: 06/20/2024 _x000a_all client verification end date: 06/21/2024 _x000a_ _x000a_all client rework required start date: 07/09/2024 _x000a_all client blocked start date: na _x000a_all client blocked end date: na _x000a_all client rework required end date:07/10/24  _x000a_-------------------------------------------------------------------------------------------- _x000a_verification complete date: 07/10/2024 _x000a_ready to migrate date:07/31/2024"/>
    <x v="2"/>
    <x v="2"/>
    <e v="#VALUE!"/>
    <n v="0"/>
    <x v="1"/>
    <n v="1"/>
    <x v="1"/>
    <n v="0"/>
    <n v="0"/>
    <x v="1"/>
    <n v="0"/>
    <n v="0"/>
    <n v="0"/>
    <n v="0"/>
    <x v="1"/>
    <n v="2"/>
    <n v="1"/>
    <x v="1"/>
    <e v="#VALUE!"/>
    <n v="0"/>
    <x v="1"/>
    <d v="2024-07-10T00:00:00"/>
    <d v="2024-07-31T00:00:00"/>
    <x v="1"/>
    <x v="0"/>
    <x v="0"/>
    <x v="1"/>
    <x v="1"/>
    <x v="1"/>
    <b v="1"/>
    <m/>
    <m/>
    <m/>
    <m/>
    <m/>
    <m/>
    <m/>
    <m/>
    <m/>
    <b v="1"/>
    <m/>
    <m/>
    <m/>
    <m/>
    <m/>
    <b v="1"/>
  </r>
  <r>
    <s v="Eu9u3vMHKUqnvoy6dYV-j2UADvbE"/>
    <x v="704"/>
    <x v="10"/>
    <s v="Alejandra Robles - Network;Caroline Morice - Network;Nannette Umpierre"/>
    <s v="Test Method;Raw material;am;Skeleton Build"/>
    <s v="sop # b04988 _x000a_ _x000a_config start date:05/31/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ready to migrate date:07/31/2024"/>
    <x v="2"/>
    <x v="2"/>
    <e v="#VALUE!"/>
    <n v="0"/>
    <x v="1"/>
    <n v="1"/>
    <x v="1"/>
    <n v="0"/>
    <n v="0"/>
    <x v="1"/>
    <n v="0"/>
    <n v="0"/>
    <n v="0"/>
    <n v="0"/>
    <x v="1"/>
    <n v="1"/>
    <n v="1"/>
    <x v="1"/>
    <n v="0"/>
    <n v="0"/>
    <x v="1"/>
    <d v="2024-06-18T00:00:00"/>
    <d v="2024-07-31T00:00:00"/>
    <x v="1"/>
    <x v="0"/>
    <x v="0"/>
    <x v="1"/>
    <x v="1"/>
    <x v="1"/>
    <b v="1"/>
    <m/>
    <m/>
    <m/>
    <m/>
    <m/>
    <b v="1"/>
    <m/>
    <m/>
    <m/>
    <m/>
    <m/>
    <m/>
    <m/>
    <m/>
    <m/>
    <b v="1"/>
  </r>
  <r>
    <s v="DAs_VRzea0SLUmZ_rpXox2UAJr8F"/>
    <x v="705"/>
    <x v="10"/>
    <s v="Alejandra Robles - Network;Daniel Bonilla - Network;Nannette Umpierre;Rhoda Gill"/>
    <s v="Test Method;Raw material;am;Skeleton Build"/>
    <s v="sop #b04827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x v="2"/>
    <x v="2"/>
    <e v="#VALUE!"/>
    <n v="0"/>
    <x v="1"/>
    <n v="1"/>
    <x v="1"/>
    <n v="0"/>
    <n v="0"/>
    <x v="1"/>
    <n v="0"/>
    <n v="0"/>
    <n v="0"/>
    <n v="0"/>
    <x v="1"/>
    <n v="1"/>
    <n v="1"/>
    <x v="1"/>
    <n v="0"/>
    <n v="0"/>
    <x v="1"/>
    <d v="2024-06-24T00:00:00"/>
    <m/>
    <x v="1"/>
    <x v="0"/>
    <x v="0"/>
    <x v="1"/>
    <x v="1"/>
    <x v="0"/>
    <b v="1"/>
    <m/>
    <m/>
    <m/>
    <m/>
    <m/>
    <b v="1"/>
    <m/>
    <m/>
    <m/>
    <m/>
    <m/>
    <m/>
    <m/>
    <m/>
    <m/>
    <b v="1"/>
  </r>
  <r>
    <s v="cJ-eQTpP5Uy5jxKwp7mt1GUABIhb"/>
    <x v="706"/>
    <x v="14"/>
    <s v="Rhoda Gill - Network;Kimberly Mata - Network"/>
    <s v="Test Method;Consumable;Raw material;am;Full Build"/>
    <s v="sop # b04781 _x000a_ _x000a_config start date:06/13/24 _x000a_all config blocked start date:na _x000a_all config blocked end date:na _x000a_config end date:06/17/24 _x000a_ -------------------------------------------------------------------------------------------- _x000a_all peer review start date: 07/23/2024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1"/>
    <x v="1"/>
    <n v="0"/>
    <n v="0"/>
    <x v="1"/>
    <n v="0"/>
    <n v="0"/>
    <n v="0"/>
    <n v="0"/>
    <x v="1"/>
    <n v="0"/>
    <n v="0"/>
    <x v="0"/>
    <n v="0"/>
    <n v="0"/>
    <x v="1"/>
    <m/>
    <m/>
    <x v="1"/>
    <x v="0"/>
    <x v="0"/>
    <x v="0"/>
    <x v="0"/>
    <x v="0"/>
    <b v="1"/>
    <m/>
    <m/>
    <m/>
    <m/>
    <m/>
    <b v="1"/>
    <m/>
    <m/>
    <m/>
    <m/>
    <m/>
    <m/>
    <m/>
    <m/>
    <b v="1"/>
    <m/>
  </r>
  <r>
    <s v="OARrlCkKIE6UZosCm38gEWUAFIF9"/>
    <x v="707"/>
    <x v="4"/>
    <m/>
    <s v="Test Method;Consumable;In Process;Empower ;Full Build"/>
    <s v="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x v="2"/>
    <x v="3"/>
    <n v="0"/>
    <n v="0"/>
    <x v="1"/>
    <n v="0"/>
    <x v="0"/>
    <n v="0"/>
    <n v="0"/>
    <x v="1"/>
    <n v="0"/>
    <n v="0"/>
    <n v="0"/>
    <n v="0"/>
    <x v="1"/>
    <n v="0"/>
    <n v="0"/>
    <x v="0"/>
    <n v="0"/>
    <n v="0"/>
    <x v="1"/>
    <m/>
    <m/>
    <x v="0"/>
    <x v="0"/>
    <x v="0"/>
    <x v="0"/>
    <x v="0"/>
    <x v="0"/>
    <b v="1"/>
    <m/>
    <m/>
    <m/>
    <m/>
    <m/>
    <m/>
    <m/>
    <m/>
    <m/>
    <b v="1"/>
    <m/>
    <b v="1"/>
    <m/>
    <m/>
    <b v="1"/>
    <m/>
  </r>
  <r>
    <s v="iVKQU7r6K0-qQK0O2eP15GUAD1XM"/>
    <x v="708"/>
    <x v="10"/>
    <s v="Alejandra Robles - Network;Caroline Morice - Network;Nannette Umpierre"/>
    <s v="Test Method;Raw material;am;Skeleton Build"/>
    <s v="sop # b04704 _x000a_ _x000a_config start date:06/04/24 _x000a_all config blocked start date:na _x000a_all config blocked end date:na _x000a_config end date:06/04/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miguel lozada _x000a_all client verification start date:06/13/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 _x000a_ready to migrate date: 7/29/2024"/>
    <x v="2"/>
    <x v="2"/>
    <e v="#VALUE!"/>
    <n v="0"/>
    <x v="1"/>
    <n v="1"/>
    <x v="1"/>
    <n v="0"/>
    <n v="0"/>
    <x v="1"/>
    <n v="0"/>
    <n v="0"/>
    <n v="0"/>
    <n v="0"/>
    <x v="1"/>
    <n v="1"/>
    <n v="1"/>
    <x v="1"/>
    <n v="0"/>
    <n v="0"/>
    <x v="1"/>
    <d v="2024-06-24T00:00:00"/>
    <d v="2024-07-29T00:00:00"/>
    <x v="1"/>
    <x v="0"/>
    <x v="0"/>
    <x v="1"/>
    <x v="1"/>
    <x v="1"/>
    <b v="1"/>
    <m/>
    <m/>
    <m/>
    <m/>
    <m/>
    <b v="1"/>
    <m/>
    <m/>
    <m/>
    <m/>
    <m/>
    <m/>
    <m/>
    <m/>
    <m/>
    <b v="1"/>
  </r>
  <r>
    <s v="TSpxyxaVFU2-XfqYVzQS5mUAPUei"/>
    <x v="709"/>
    <x v="10"/>
    <s v="Javier Coronado - Network;Miguel A Lozada;Nannette Umpierre;Rhoda Gill"/>
    <s v="Test Method;Consumable;Raw material;am;Full Build"/>
    <s v="sop # b04529 _x000a_ _x000a_config start date:05/17/24 _x000a_all config blocked start date:na _x000a_all config blocked end date:na _x000a_config end date:05/23/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06/24 _x000a_all demo blocked start date:na _x000a_all demo blocked end date:na _x000a_all demo rework required end date:06/06/24 _x000a_-------------------------------------------------------------------------------------------- _x000a_all ready for client verification date:06/06/24;06/12/24 _x000a_ _x000a_verification assigned to: miguel lozada _x000a_all client verification start date:06/06/24 _x000a_all client verification end date:06/11/24 _x000a_ _x000a_all client rework required start date:06/11/24 _x000a_all client blocked start date:na _x000a_all client blocked end date:na _x000a_all client rework required end date:06/12/24 _x000a_-------------------------------------------------------------------------------------------- _x000a_verification complete date:06/13/24 _x000a_ready to migrate date:"/>
    <x v="2"/>
    <x v="2"/>
    <e v="#VALUE!"/>
    <n v="0"/>
    <x v="1"/>
    <n v="1"/>
    <x v="1"/>
    <n v="0"/>
    <n v="0"/>
    <x v="1"/>
    <n v="1"/>
    <n v="1"/>
    <e v="#VALUE!"/>
    <n v="0"/>
    <x v="1"/>
    <n v="2"/>
    <n v="1"/>
    <x v="1"/>
    <e v="#VALUE!"/>
    <n v="0"/>
    <x v="1"/>
    <d v="2024-06-13T00:00:00"/>
    <m/>
    <x v="1"/>
    <x v="0"/>
    <x v="1"/>
    <x v="1"/>
    <x v="1"/>
    <x v="0"/>
    <b v="1"/>
    <m/>
    <m/>
    <m/>
    <m/>
    <m/>
    <b v="1"/>
    <m/>
    <m/>
    <m/>
    <m/>
    <m/>
    <m/>
    <m/>
    <m/>
    <b v="1"/>
    <m/>
  </r>
  <r>
    <s v="UFqt59PK5kOPatBGOwe822UAIBQo"/>
    <x v="710"/>
    <x v="17"/>
    <s v="Rhoda Gill - Network;Nannette Umpierre;Ivette Lopez Blasini - Network"/>
    <s v="Test Method;Raw material;am;Full Build"/>
    <s v="sop # b04488 _x000a_ _x000a_config start date:05/20/24 _x000a_all config blocked start date:na _x000a_all config blocked end date:na _x000a_config end date:05/21/24 _x000a_ -------------------------------------------------------------------------------------------- _x000a_all peer review start date:05/21/24 _x000a_all peer review end date:05/21/24 _x000a_ _x000a_all peer review rework required start date:na _x000a_all pr rework blocked start date:na _x000a_all pr rework blocked end date:na _x000a_all peer review rework required end date:na _x000a_-------------------------------------------------------------------------------------------- _x000a_all ready for demo date:05/21/24;05/23/24;05/24/24 _x000a_ _x000a_all demo date:05/22/24;05/23/24;05/24/24 _x000a_ _x000a_all demo rework required start date:05/23/24;05/24/24 _x000a_all demo blocked start date:na _x000a_all demo blocked end date:na _x000a_all demo rework required end date:05/23/24;05/24/24 _x000a_-------------------------------------------------------------------------------------------- _x000a_all ready for client verification date:06/06/24;06/11/24 _x000a_ _x000a_verification assigned to: _x000a_all client verification start date:06/06/24;06/12/24 _x000a_all client verification end date:06/11/24;06/12/24 _x000a_ _x000a_all client rework required start date:06/11/24 _x000a_all client blocked start date:na _x000a_all client blocked end date:na _x000a_all client rework required end date:06/11/24 _x000a_-------------------------------------------------------------------------------------------- _x000a_verification complete date:06/12/24 _x000a_ready to migrate date:"/>
    <x v="2"/>
    <x v="4"/>
    <e v="#VALUE!"/>
    <n v="0"/>
    <x v="1"/>
    <n v="1"/>
    <x v="1"/>
    <n v="0"/>
    <n v="0"/>
    <x v="1"/>
    <n v="3"/>
    <n v="3"/>
    <e v="#VALUE!"/>
    <n v="0"/>
    <x v="1"/>
    <n v="2"/>
    <n v="2"/>
    <x v="1"/>
    <e v="#VALUE!"/>
    <n v="0"/>
    <x v="1"/>
    <d v="2024-06-12T00:00:00"/>
    <m/>
    <x v="1"/>
    <x v="0"/>
    <x v="1"/>
    <x v="1"/>
    <x v="1"/>
    <x v="0"/>
    <b v="1"/>
    <m/>
    <m/>
    <m/>
    <m/>
    <m/>
    <b v="1"/>
    <m/>
    <m/>
    <m/>
    <m/>
    <m/>
    <m/>
    <m/>
    <m/>
    <b v="1"/>
    <m/>
  </r>
  <r>
    <s v="SaHrn2XVjUSuNhK5xb8w3WUAJzuV"/>
    <x v="711"/>
    <x v="10"/>
    <s v="Alejandra Robles - Network;Daniel Bonilla - Network;Nannette Umpierre;Rhoda Gill"/>
    <s v="Test Method;Raw material;am;Skeleton Build"/>
    <s v="sop # b04470 _x000a_ _x000a_config start date:05/29/24 _x000a_all config blocked start date:na _x000a_all config blocked end date:na _x000a_config end date:05/31/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ready to migrate date:"/>
    <x v="2"/>
    <x v="2"/>
    <e v="#VALUE!"/>
    <n v="0"/>
    <x v="1"/>
    <n v="1"/>
    <x v="1"/>
    <n v="0"/>
    <n v="0"/>
    <x v="1"/>
    <n v="0"/>
    <n v="0"/>
    <n v="0"/>
    <n v="0"/>
    <x v="1"/>
    <n v="1"/>
    <n v="1"/>
    <x v="1"/>
    <n v="0"/>
    <n v="0"/>
    <x v="1"/>
    <d v="2024-06-25T00:00:00"/>
    <m/>
    <x v="1"/>
    <x v="0"/>
    <x v="0"/>
    <x v="1"/>
    <x v="1"/>
    <x v="0"/>
    <b v="1"/>
    <m/>
    <m/>
    <m/>
    <m/>
    <m/>
    <b v="1"/>
    <m/>
    <m/>
    <m/>
    <m/>
    <m/>
    <m/>
    <m/>
    <m/>
    <m/>
    <b v="1"/>
  </r>
  <r>
    <s v="YQB9MRzcdk238_khyv1bzWUAArmY"/>
    <x v="712"/>
    <x v="10"/>
    <s v="Glenda Fernandez - Network;Caroline Morice - Network;Nannette Umpierre"/>
    <s v="Test Method;Raw material;am;Skeleton Build"/>
    <s v="sop # b04385 _x000a_ _x000a_config start date:05/29/24 _x000a_all config blocked start date:na _x000a_all config blocked end date:na _x000a_config end date:05/29/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miguel lozada _x000a_all client verification start date:06/14/24 _x000a_all client verification end date:06/19/24 _x000a_ _x000a_all client rework required start date:na _x000a_all client blocked start date:na _x000a_all client blocked end date:na _x000a_all client rework required end date:na _x000a_-------------------------------------------------------------------------------------------- _x000a_verification complete date:06/25/24 _x000a_ _x000a_ready to migrate date: 7/29/2024"/>
    <x v="2"/>
    <x v="2"/>
    <e v="#VALUE!"/>
    <n v="0"/>
    <x v="1"/>
    <n v="1"/>
    <x v="1"/>
    <n v="0"/>
    <n v="0"/>
    <x v="1"/>
    <n v="0"/>
    <n v="0"/>
    <n v="0"/>
    <n v="0"/>
    <x v="1"/>
    <n v="1"/>
    <n v="1"/>
    <x v="1"/>
    <n v="0"/>
    <n v="0"/>
    <x v="1"/>
    <d v="2024-06-25T00:00:00"/>
    <d v="2024-07-29T00:00:00"/>
    <x v="1"/>
    <x v="0"/>
    <x v="0"/>
    <x v="1"/>
    <x v="1"/>
    <x v="1"/>
    <b v="1"/>
    <m/>
    <m/>
    <m/>
    <m/>
    <m/>
    <b v="1"/>
    <m/>
    <m/>
    <m/>
    <m/>
    <m/>
    <m/>
    <m/>
    <m/>
    <m/>
    <b v="1"/>
  </r>
  <r>
    <s v="qs2jBhpCBkuesN34Q1roMGUAELJ3"/>
    <x v="713"/>
    <x v="4"/>
    <m/>
    <s v="Test Method;Consumable;In Process;Empower ;Full Build"/>
    <s v="sop # 00034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b v="1"/>
    <m/>
    <b v="1"/>
    <m/>
    <m/>
    <b v="1"/>
    <m/>
  </r>
  <r>
    <s v="b86-EYPlqUmoyOrL1JkRp2UAAwrz"/>
    <x v="714"/>
    <x v="13"/>
    <s v="Daniela Azofeifa;Nannette Umpierre"/>
    <s v="Test Method;Raw material;am;Skeleton Build"/>
    <s v="sop # b03944 _x000a_ _x000a_config start date:05/29/24 _x000a_all config blocked start date:na _x000a_all config blocked end date:na _x000a_config end date:05/29/24 _x000a_ -------------------------------------------------------------------------------------------- _x000a_all peer review start date:06/17/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4/24 _x000a_ready to migrate date:"/>
    <x v="2"/>
    <x v="1"/>
    <e v="#VALUE!"/>
    <n v="0"/>
    <x v="1"/>
    <n v="1"/>
    <x v="1"/>
    <n v="0"/>
    <n v="0"/>
    <x v="1"/>
    <n v="0"/>
    <n v="0"/>
    <n v="0"/>
    <n v="0"/>
    <x v="1"/>
    <n v="1"/>
    <n v="1"/>
    <x v="1"/>
    <n v="0"/>
    <n v="0"/>
    <x v="1"/>
    <d v="2024-06-24T00:00:00"/>
    <m/>
    <x v="1"/>
    <x v="0"/>
    <x v="0"/>
    <x v="1"/>
    <x v="1"/>
    <x v="0"/>
    <b v="1"/>
    <m/>
    <m/>
    <m/>
    <m/>
    <m/>
    <b v="1"/>
    <m/>
    <m/>
    <m/>
    <m/>
    <m/>
    <m/>
    <m/>
    <m/>
    <m/>
    <b v="1"/>
  </r>
  <r>
    <s v="MQH7h41_KE-wiRDD65wY_WUAJpHe"/>
    <x v="715"/>
    <x v="10"/>
    <s v="Shannon Blais - Network;Daniel Bonilla - Network;Nannette Umpierre;Rhoda Gill;Noel Mendez - Network"/>
    <s v="Test Method;Raw material;am;Skeleton Build"/>
    <s v="sop # b03837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07/01/24 _x000a_ _x000a_verification assigned to: noel mendez _x000a_all client verification start date:06/18/24 _x000a_all client verification end date:06/19/24 _x000a_ _x000a_all client rework required start date:07/01/24 _x000a_all client blocked start date:na _x000a_all client blocked end date:na _x000a_all client rework required end date:07/01/24 _x000a_-------------------------------------------------------------------------------------------- _x000a_verification complete date: 07/11/2024 _x000a_ready to migrate date:07/30/2024"/>
    <x v="2"/>
    <x v="2"/>
    <e v="#VALUE!"/>
    <n v="0"/>
    <x v="1"/>
    <n v="1"/>
    <x v="1"/>
    <n v="0"/>
    <n v="0"/>
    <x v="1"/>
    <n v="0"/>
    <n v="0"/>
    <n v="0"/>
    <n v="0"/>
    <x v="1"/>
    <n v="2"/>
    <n v="1"/>
    <x v="1"/>
    <e v="#VALUE!"/>
    <n v="0"/>
    <x v="1"/>
    <d v="2024-07-11T00:00:00"/>
    <d v="2024-07-30T00:00:00"/>
    <x v="1"/>
    <x v="0"/>
    <x v="0"/>
    <x v="1"/>
    <x v="1"/>
    <x v="1"/>
    <b v="1"/>
    <m/>
    <m/>
    <m/>
    <m/>
    <m/>
    <b v="1"/>
    <m/>
    <m/>
    <m/>
    <m/>
    <m/>
    <m/>
    <m/>
    <m/>
    <m/>
    <b v="1"/>
  </r>
  <r>
    <s v="7USQ6dgsM0-lynSN8yeMsGUACINl"/>
    <x v="716"/>
    <x v="10"/>
    <s v="Shannon Blais - Network;Alejandra Robles - Network;Glenda Fernandez - Network;Nannette Umpierre"/>
    <s v="Test Method;Raw material;am;Skeleton Build"/>
    <s v="sop # b0383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oel mendez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ready to migrate date:07/31/2024"/>
    <x v="2"/>
    <x v="2"/>
    <e v="#VALUE!"/>
    <n v="0"/>
    <x v="1"/>
    <n v="1"/>
    <x v="1"/>
    <n v="0"/>
    <n v="0"/>
    <x v="1"/>
    <n v="0"/>
    <n v="0"/>
    <n v="0"/>
    <n v="0"/>
    <x v="1"/>
    <n v="1"/>
    <n v="1"/>
    <x v="1"/>
    <n v="0"/>
    <n v="0"/>
    <x v="1"/>
    <d v="2024-06-30T00:00:00"/>
    <d v="2024-07-31T00:00:00"/>
    <x v="1"/>
    <x v="0"/>
    <x v="0"/>
    <x v="1"/>
    <x v="1"/>
    <x v="1"/>
    <b v="1"/>
    <m/>
    <m/>
    <m/>
    <m/>
    <m/>
    <b v="1"/>
    <m/>
    <m/>
    <m/>
    <m/>
    <m/>
    <m/>
    <m/>
    <m/>
    <m/>
    <b v="1"/>
  </r>
  <r>
    <s v="Ufv2xnk7yk-ynsrcna7VJ2UAEMC-"/>
    <x v="717"/>
    <x v="6"/>
    <s v="Ivan Solis - Network"/>
    <s v="Test Method;Consumable;Raw material;am;Skeleton Build"/>
    <s v="sop # b03832 _x000a_ _x000a_config start date:07/10/24 _x000a_all config blocked start date:na _x000a_all config blocked end date:na _x000a_config end date:07/1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m/>
    <b v="1"/>
  </r>
  <r>
    <s v="zpaPTagvSEKvPayNWSDIL2UABKZQ"/>
    <x v="718"/>
    <x v="13"/>
    <s v="Daniela Azofeifa;Nannette Umpierre"/>
    <s v="Test Method;Raw material;am;Skeleton Build"/>
    <s v="sop # b03831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8/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Uv9wxBu9f0eEIS8QYHqNVGUAPTQf"/>
    <x v="719"/>
    <x v="15"/>
    <s v="Javier Coronado - Network;Shannon Blais - Network;Nannette Umpierre;Rhoda Gill"/>
    <s v="Test Method;Consumable;Raw material;am;Skeleton Build"/>
    <s v="sop # b03830 _x000a_ _x000a_config start date:05/31/24 _x000a_all config blocked start date:05/31/24 _x000a_all config blocked end date:06/11/24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na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e v="#VALUE!"/>
    <e v="#VALUE!"/>
    <x v="1"/>
    <n v="1"/>
    <x v="1"/>
    <n v="0"/>
    <n v="0"/>
    <x v="1"/>
    <n v="0"/>
    <n v="0"/>
    <n v="0"/>
    <n v="0"/>
    <x v="1"/>
    <n v="0"/>
    <n v="1"/>
    <x v="1"/>
    <e v="#VALUE!"/>
    <n v="0"/>
    <x v="1"/>
    <d v="2024-06-14T00:00:00"/>
    <m/>
    <x v="1"/>
    <x v="0"/>
    <x v="0"/>
    <x v="0"/>
    <x v="1"/>
    <x v="0"/>
    <b v="1"/>
    <m/>
    <m/>
    <m/>
    <m/>
    <m/>
    <b v="1"/>
    <m/>
    <m/>
    <m/>
    <m/>
    <m/>
    <m/>
    <m/>
    <m/>
    <m/>
    <b v="1"/>
  </r>
  <r>
    <s v="X0RBSAT7nUilnRIgE9M9uGUABftB"/>
    <x v="720"/>
    <x v="10"/>
    <s v="Alejandra Robles - Network;Daniel Bonilla - Network;Nannette Umpierre;Rhoda Gill"/>
    <s v="Test Method;Consumable;Raw material;am;Skeleton Build"/>
    <s v="sop # b03828 _x000a_ _x000a_config start date:05/29/24 _x000a_ _x000a_all config blocked start date:na _x000a_ _x000a_all config blocked end date:na _x000a_ _x000a_config end date:05/31/24 _x000a_ _x000a_ -------------------------------------------------------------------------------------------- _x000a_ _x000a_all peer review start date:06/14/24 _x000a_ _x000a_all peer review end date:06/14/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7/24;06/26/24 _x000a_ _x000a_verification assigned to: noel mendez  _x000a_ _x000a_all client verification start date:06/17/24;06/26/24 _x000a_ _x000a_all client verification end date:06/19/24;06/26/24 _x000a_ _x000a_all client rework required start date:06/26/24 _x000a_ _x000a_all client blocked start date: na _x000a_ _x000a_all client blocked end date: na _x000a_ _x000a_all client rework required end date:06/26/24 _x000a_ _x000a_------------------------------------------------------------------------------------------- _x000a_ _x000a_verification complete date:06/26/24 _x000a_ _x000a_ready to migrate date: 07/30/2024"/>
    <x v="2"/>
    <x v="2"/>
    <e v="#VALUE!"/>
    <n v="0"/>
    <x v="1"/>
    <n v="1"/>
    <x v="1"/>
    <n v="0"/>
    <n v="0"/>
    <x v="1"/>
    <n v="0"/>
    <n v="0"/>
    <n v="0"/>
    <n v="0"/>
    <x v="1"/>
    <n v="2"/>
    <n v="2"/>
    <x v="1"/>
    <e v="#VALUE!"/>
    <n v="0"/>
    <x v="1"/>
    <d v="2024-06-26T00:00:00"/>
    <d v="2024-07-30T00:00:00"/>
    <x v="1"/>
    <x v="0"/>
    <x v="0"/>
    <x v="1"/>
    <x v="1"/>
    <x v="1"/>
    <b v="1"/>
    <m/>
    <m/>
    <m/>
    <m/>
    <m/>
    <b v="1"/>
    <m/>
    <m/>
    <m/>
    <m/>
    <m/>
    <m/>
    <m/>
    <m/>
    <m/>
    <b v="1"/>
  </r>
  <r>
    <s v="1Y0Djw1l4UeTqOQPBseKOWUAME4O"/>
    <x v="721"/>
    <x v="14"/>
    <s v="Raquel Bolanos - Network;Raquel Bolaños"/>
    <s v="Test Method;Consumable;Raw material;am;Full Build"/>
    <s v="sop # b03784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qCEnxYf53ECwJG6Y406IgGUAKdt0"/>
    <x v="722"/>
    <x v="4"/>
    <m/>
    <s v="Test Method;Consumable;Empower ;Finished Product;Full Build"/>
    <s v="sop # b03622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fI1_UayySU2a3f5NL2bksmUADmaO"/>
    <x v="723"/>
    <x v="6"/>
    <s v="Fabian Soma - Network;Daniel Bonilla - Network;Daniela Maroto - Network"/>
    <s v="Test Method;Consumable;Raw material;am;Full Build"/>
    <s v="sop # 000293 _x000a_ _x000a_config start date:06/11/24 _x000a_all config blocked start date:na _x000a_all config blocked end date:na _x000a_config end date:06/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6/20/24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e v="#VALUE!"/>
    <n v="0"/>
    <x v="1"/>
    <n v="0"/>
    <x v="0"/>
    <n v="0"/>
    <n v="0"/>
    <x v="1"/>
    <n v="1"/>
    <n v="0"/>
    <n v="0"/>
    <n v="0"/>
    <x v="1"/>
    <n v="0"/>
    <n v="0"/>
    <x v="0"/>
    <n v="0"/>
    <n v="0"/>
    <x v="1"/>
    <m/>
    <m/>
    <x v="0"/>
    <x v="0"/>
    <x v="0"/>
    <x v="0"/>
    <x v="0"/>
    <x v="0"/>
    <b v="1"/>
    <m/>
    <m/>
    <m/>
    <m/>
    <m/>
    <b v="1"/>
    <m/>
    <m/>
    <m/>
    <m/>
    <m/>
    <m/>
    <m/>
    <m/>
    <b v="1"/>
    <m/>
  </r>
  <r>
    <s v="2OKGtgkCXEuJX2VA4cugpGUAH3Ft"/>
    <x v="724"/>
    <x v="10"/>
    <s v="Shannon Blais - Network;Fabian Soma - Network;Nannette Umpierre;Rhoda Gill"/>
    <s v="Test Method;Intermediate;Raw material;am;Skeleton Build"/>
    <s v="sop # 000292 _x000a_ _x000a_config start date:05/27/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6/27/24 _x000a_ _x000a_verification assigned to: noel mendez  _x000a_ _x000a_all client verification start date:06/19/24;06/27/24 _x000a_ _x000a_all client verification end date:06/20/24;06/27/24 _x000a_ _x000a_all client rework required start date:06/27/24 _x000a_ _x000a_all client blocked start date: na _x000a_ _x000a_all client blocked end date: na _x000a_ _x000a_all client rework required end date:06/27/24 _x000a_ _x000a_------------------------------------------------------------------------------------------- _x000a_ _x000a_verification complete date:06/27/24 _x000a_ _x000a_ready to migrate date: 07/30/2024 _x000a_ _x000a_**important: check global test method**"/>
    <x v="2"/>
    <x v="2"/>
    <e v="#VALUE!"/>
    <n v="0"/>
    <x v="1"/>
    <n v="1"/>
    <x v="1"/>
    <n v="0"/>
    <n v="0"/>
    <x v="1"/>
    <n v="0"/>
    <n v="0"/>
    <n v="0"/>
    <n v="0"/>
    <x v="1"/>
    <n v="2"/>
    <n v="2"/>
    <x v="1"/>
    <e v="#VALUE!"/>
    <n v="0"/>
    <x v="1"/>
    <d v="2024-06-27T00:00:00"/>
    <d v="2024-07-30T00:00:00"/>
    <x v="1"/>
    <x v="0"/>
    <x v="0"/>
    <x v="1"/>
    <x v="1"/>
    <x v="1"/>
    <b v="1"/>
    <m/>
    <m/>
    <m/>
    <m/>
    <m/>
    <b v="1"/>
    <m/>
    <m/>
    <m/>
    <m/>
    <m/>
    <m/>
    <m/>
    <m/>
    <m/>
    <b v="1"/>
  </r>
  <r>
    <s v="nfOx0n3Tc0etHjnTbYCRnWUAH4N7"/>
    <x v="725"/>
    <x v="14"/>
    <s v="Melanny Camacho - Network"/>
    <s v="Test Method;Consumable;am;Finished Product;Full Build"/>
    <s v="sop # b03096 _x000a_ _x000a_config start date:05/25/24 _x000a_all config blocked start date:06/03/24 _x000a_all config blocked end date:06/05/24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e v="#VALUE!"/>
    <x v="1"/>
    <n v="0"/>
    <x v="0"/>
    <n v="0"/>
    <n v="0"/>
    <x v="1"/>
    <n v="0"/>
    <n v="0"/>
    <n v="0"/>
    <n v="0"/>
    <x v="1"/>
    <n v="0"/>
    <n v="0"/>
    <x v="0"/>
    <n v="0"/>
    <n v="0"/>
    <x v="1"/>
    <m/>
    <m/>
    <x v="0"/>
    <x v="0"/>
    <x v="0"/>
    <x v="0"/>
    <x v="0"/>
    <x v="0"/>
    <b v="1"/>
    <m/>
    <m/>
    <m/>
    <m/>
    <m/>
    <m/>
    <m/>
    <m/>
    <m/>
    <m/>
    <b v="1"/>
    <m/>
    <m/>
    <m/>
    <b v="1"/>
    <m/>
  </r>
  <r>
    <s v="cpAmxwemkkS1UjDJqQHnBWUANu4w"/>
    <x v="726"/>
    <x v="10"/>
    <s v="Fabian Soma - Network;Raquel Bolanos - Network;Nannette Umpierre;Rhoda Gill"/>
    <s v="Test Method;am;Skeleton Build"/>
    <s v="sop # b03002 _x000a_ _x000a_config start date:05/08/24 _x000a_all config blocked start date:na _x000a_all config blocked end date:na _x000a_config end date:05/22/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07/24  _x000a_ _x000a_verification assigned to: nannette umpierre _x000a_all client verification start date:06/07/24 _x000a_all client verification end date:06/12/24 _x000a_ _x000a_all client rework required start date:na _x000a_all client blocked start date:na _x000a_all client blocked end date:na _x000a_all client rework required end date:na _x000a_-------------------------------------------------------------------------------------------- _x000a_verification complete date:06/12/24 _x000a_ready to migrate date:07/31/2024"/>
    <x v="2"/>
    <x v="2"/>
    <e v="#VALUE!"/>
    <n v="0"/>
    <x v="1"/>
    <n v="1"/>
    <x v="1"/>
    <n v="0"/>
    <n v="0"/>
    <x v="1"/>
    <n v="0"/>
    <n v="0"/>
    <n v="0"/>
    <n v="0"/>
    <x v="1"/>
    <n v="1"/>
    <n v="1"/>
    <x v="1"/>
    <n v="0"/>
    <n v="0"/>
    <x v="1"/>
    <d v="2024-06-12T00:00:00"/>
    <d v="2024-07-31T00:00:00"/>
    <x v="1"/>
    <x v="0"/>
    <x v="0"/>
    <x v="1"/>
    <x v="1"/>
    <x v="1"/>
    <b v="1"/>
    <m/>
    <m/>
    <m/>
    <m/>
    <m/>
    <m/>
    <m/>
    <m/>
    <m/>
    <m/>
    <m/>
    <m/>
    <m/>
    <m/>
    <m/>
    <b v="1"/>
  </r>
  <r>
    <s v="KJZ24BODz0m-zDb1hiKE12UAHN1x"/>
    <x v="727"/>
    <x v="10"/>
    <s v="Glenda Fernandez - Network;Caroline Morice - Network;Nannette Umpierre"/>
    <s v="Test Method;Consumable;Raw material;am;Skeleton Build"/>
    <s v="sop # b03001 _x000a_ _x000a_config start date:05/29/24 _x000a_all config blocked start date:na _x000a_all config blocked end date:na _x000a_config end date:05/30/24 _x000a_ -------------------------------------------------------------------------------------------- _x000a_all peer review start date:06/17/24 _x000a_all peer review end date:06/17/24 _x000a_ _x000a_all peer review rework required start date: _x000a_all pr rework blocked start date: _x000a_all pr rework blocked end date: _x000a_all peer review rework required end date: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 06/17/24 _x000a_ _x000a_all client rework required start date:na _x000a_all client blocked start date:na _x000a_all client blocked end date:na _x000a_all client rework required end date:na _x000a_-------------------------------------------------------------------------------------------- _x000a_verification complete date:06/25/24 _x000a_ready to migrate date: 7/29/2024"/>
    <x v="2"/>
    <x v="2"/>
    <e v="#VALUE!"/>
    <n v="0"/>
    <x v="1"/>
    <n v="1"/>
    <x v="1"/>
    <n v="0"/>
    <n v="0"/>
    <x v="1"/>
    <n v="0"/>
    <n v="0"/>
    <n v="0"/>
    <n v="0"/>
    <x v="1"/>
    <n v="1"/>
    <n v="1"/>
    <x v="1"/>
    <n v="0"/>
    <n v="0"/>
    <x v="1"/>
    <d v="2024-06-25T00:00:00"/>
    <d v="2024-07-29T00:00:00"/>
    <x v="1"/>
    <x v="0"/>
    <x v="0"/>
    <x v="1"/>
    <x v="1"/>
    <x v="1"/>
    <b v="1"/>
    <m/>
    <m/>
    <m/>
    <m/>
    <m/>
    <b v="1"/>
    <m/>
    <m/>
    <m/>
    <m/>
    <m/>
    <m/>
    <m/>
    <m/>
    <m/>
    <b v="1"/>
  </r>
  <r>
    <s v="QJTlbESo6EaGGHgCrXxsYGUABC7E"/>
    <x v="728"/>
    <x v="14"/>
    <s v="Fabian Soma - Network"/>
    <s v="Test Method;Consumable;Raw material;am;Full Build"/>
    <s v="sop # 000291 _x000a_ _x000a_config start date:04/23/24;05/30/24 _x000a_all config blocked start date: _x000a_all config blocked end date: _x000a_config end date:04/29/24;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OVcJLp1nG0efpx2jJk6SmmUAIpd0"/>
    <x v="729"/>
    <x v="10"/>
    <s v="Shannon Blais - Network;Caroline Morice - Network;Nannette Umpierre"/>
    <s v="Test Method;Raw material;am;Skeleton Build"/>
    <s v="sop #b02300 _x000a_ _x000a_config start date:05/28/24 _x000a_all config blocked start date: na _x000a_all config blocked end date: na _x000a_config end date:05/28/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oel mendez _x000a_all client verification start date:06/14/24 _x000a_all client verification end date:06/17/24 _x000a_ _x000a_all client rework required start date:na _x000a_all client blocked start date:na _x000a_all client blocked end date:na _x000a_all client rework required end date:na _x000a_-------------------------------------------------------------------------------------------- _x000a_verification complete date:06/24/24 _x000a_ready to migrate date: 7/29/2024"/>
    <x v="2"/>
    <x v="2"/>
    <e v="#VALUE!"/>
    <n v="0"/>
    <x v="1"/>
    <n v="1"/>
    <x v="1"/>
    <n v="0"/>
    <n v="0"/>
    <x v="1"/>
    <n v="0"/>
    <n v="0"/>
    <n v="0"/>
    <n v="0"/>
    <x v="1"/>
    <n v="1"/>
    <n v="1"/>
    <x v="1"/>
    <n v="0"/>
    <n v="0"/>
    <x v="1"/>
    <d v="2024-06-24T00:00:00"/>
    <d v="2024-07-29T00:00:00"/>
    <x v="1"/>
    <x v="0"/>
    <x v="0"/>
    <x v="1"/>
    <x v="1"/>
    <x v="1"/>
    <b v="1"/>
    <m/>
    <m/>
    <m/>
    <m/>
    <m/>
    <b v="1"/>
    <m/>
    <m/>
    <m/>
    <m/>
    <m/>
    <m/>
    <m/>
    <m/>
    <m/>
    <b v="1"/>
  </r>
  <r>
    <s v="aesaXqL98k22TJjwE1v-4GUAC1h5"/>
    <x v="730"/>
    <x v="17"/>
    <s v="Rhoda Gill - Network;Alejandra Robles - Network;Glenda Fernandez - Network;Miguel A Lozada;Nannette Umpierre"/>
    <s v="Test Method;Raw material;am;Skeleton Build"/>
    <s v="sop # b02117 _x000a_ _x000a_config start date:05/29/24 _x000a_all config blocked start date:na _x000a_all config blocked end date:na _x000a_config end date:06/2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6/20/2024 _x000a_all client verification end date: 07/18/2024 _x000a_ _x000a_all client rework required start date: 07/30/2024 _x000a_all client blocked start date: _x000a_all client blocked end date: _x000a_all client rework required end date: _x000a_-------------------------------------------------------------------------------------------- _x000a_verification complete date: _x000a_ready to migrate date:"/>
    <x v="2"/>
    <x v="4"/>
    <e v="#VALUE!"/>
    <n v="0"/>
    <x v="1"/>
    <n v="1"/>
    <x v="1"/>
    <n v="0"/>
    <n v="0"/>
    <x v="1"/>
    <n v="0"/>
    <n v="0"/>
    <n v="0"/>
    <n v="0"/>
    <x v="1"/>
    <n v="1"/>
    <n v="1"/>
    <x v="1"/>
    <e v="#VALUE!"/>
    <n v="0"/>
    <x v="1"/>
    <m/>
    <m/>
    <x v="1"/>
    <x v="0"/>
    <x v="0"/>
    <x v="1"/>
    <x v="1"/>
    <x v="0"/>
    <b v="1"/>
    <m/>
    <m/>
    <m/>
    <m/>
    <m/>
    <b v="1"/>
    <m/>
    <m/>
    <m/>
    <m/>
    <m/>
    <m/>
    <m/>
    <m/>
    <m/>
    <b v="1"/>
  </r>
  <r>
    <s v="qcZb7XE8u0aaNzgRep783WUADn6Q"/>
    <x v="731"/>
    <x v="14"/>
    <s v="Joshua Vargas - Network;Rhoda Gill"/>
    <s v="Test Method;Consumable;Raw material;am;Full Build"/>
    <s v="sop # b01943 _x000a_ _x000a_config start date:05/31/24 _x000a_all config blocked start date:na _x000a_all config blocked end date:na _x000a_config end date:06/1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fVgVdeQR0kqlA5NQJyuf02UABN8e"/>
    <x v="732"/>
    <x v="10"/>
    <s v="Fabian Soma - Network;Nannette Umpierre;Rhoda Gill"/>
    <s v="Test Method;Raw material;am;Skeleton Build"/>
    <s v="sop # b01819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3/24 _x000a_ _x000a_all demo date:06/06/24 _x000a_ _x000a_all demo rework required start date:na _x000a_all demo blocked start date:na _x000a_all demo blocked end date:na _x000a_all demo rework required end date:na _x000a_-------------------------------------------------------------------------------------------- _x000a_all ready for client verification date:06/06/24;06/14/24 _x000a_ _x000a_verification assigned to: nannette umpierre _x000a_all client verification start date:06/06/24;06/14/24 _x000a_all client verification end date:06/06/24;06/14/24 _x000a_ _x000a_all client rework required start date:06/07/24 _x000a_all client blocked start date:06/07/24 _x000a_all client blocked end date:06/11/24 _x000a_all client rework required end date:06/12/24 _x000a_-------------------------------------------------------------------------------------------- _x000a_verification complete date:06/14/24 _x000a_ready to migrate date: 7/30/2024"/>
    <x v="2"/>
    <x v="2"/>
    <e v="#VALUE!"/>
    <n v="0"/>
    <x v="1"/>
    <n v="1"/>
    <x v="1"/>
    <n v="0"/>
    <n v="0"/>
    <x v="1"/>
    <n v="1"/>
    <n v="1"/>
    <n v="0"/>
    <n v="0"/>
    <x v="1"/>
    <n v="2"/>
    <n v="2"/>
    <x v="1"/>
    <e v="#VALUE!"/>
    <e v="#VALUE!"/>
    <x v="1"/>
    <d v="2024-06-14T00:00:00"/>
    <d v="2024-07-30T00:00:00"/>
    <x v="1"/>
    <x v="0"/>
    <x v="1"/>
    <x v="1"/>
    <x v="1"/>
    <x v="1"/>
    <b v="1"/>
    <m/>
    <m/>
    <m/>
    <m/>
    <m/>
    <b v="1"/>
    <m/>
    <m/>
    <m/>
    <m/>
    <m/>
    <m/>
    <m/>
    <m/>
    <m/>
    <b v="1"/>
  </r>
  <r>
    <s v="afmNSnZvZU-TZbVW3dXcJGUAELDp"/>
    <x v="733"/>
    <x v="10"/>
    <s v="Shannon Blais - Network;Daniel Bonilla - Network;Nannette Umpierre;Rhoda Gill"/>
    <s v="Test Method;Raw material;am;Skeleton Build"/>
    <s v="sop # b01674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
    <x v="2"/>
    <x v="2"/>
    <e v="#VALUE!"/>
    <n v="0"/>
    <x v="1"/>
    <n v="1"/>
    <x v="1"/>
    <n v="0"/>
    <n v="0"/>
    <x v="1"/>
    <n v="0"/>
    <n v="0"/>
    <n v="0"/>
    <n v="0"/>
    <x v="1"/>
    <n v="1"/>
    <n v="1"/>
    <x v="1"/>
    <n v="0"/>
    <n v="0"/>
    <x v="1"/>
    <d v="2024-06-26T00:00:00"/>
    <m/>
    <x v="1"/>
    <x v="0"/>
    <x v="0"/>
    <x v="1"/>
    <x v="1"/>
    <x v="0"/>
    <b v="1"/>
    <m/>
    <m/>
    <m/>
    <m/>
    <m/>
    <b v="1"/>
    <m/>
    <m/>
    <m/>
    <m/>
    <m/>
    <m/>
    <m/>
    <m/>
    <m/>
    <b v="1"/>
  </r>
  <r>
    <s v="eSNCP-gh5U2PWQlo0PQqXWUADbne"/>
    <x v="734"/>
    <x v="10"/>
    <s v="Shannon Blais - Network;Daniela Azofeifa;Nannette Umpierre"/>
    <s v="Test Method;Raw material;am;Skeleton Build"/>
    <s v="sop # b01673 _x000a_ _x000a_config start date:05/29/24 _x000a_ _x000a_all config blocked start date:na _x000a_ _x000a_all config blocked end date: na _x000a_ _x000a_config end date:05/29/24 _x000a_ _x000a_ -------------------------------------------------------------------------------------------- _x000a_ _x000a_all peer review start date:06/18/24 _x000a_ _x000a_all peer review end date:06/18/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8/24;06/27/24 _x000a_ _x000a_verification assigned to:  noel mendez _x000a_ _x000a_all client verification start date: 06/18/24;06/27/24 _x000a_ _x000a_all client verification end date:06/19/24;06/27/24 _x000a_ _x000a_all client rework required start date:06/24/24 _x000a_ _x000a_all client blocked start date:na _x000a_ _x000a_all client blocked end date: na _x000a_ _x000a_all client rework required end date:06/24/24   _x000a_ _x000a_------------------------------------------------------------------------------------------- _x000a_ _x000a_verification complete date:06/27/24 _x000a_ _x000a_ready to migrate date:07/30/2024"/>
    <x v="2"/>
    <x v="2"/>
    <e v="#VALUE!"/>
    <n v="0"/>
    <x v="1"/>
    <n v="1"/>
    <x v="1"/>
    <n v="0"/>
    <n v="0"/>
    <x v="1"/>
    <n v="0"/>
    <n v="0"/>
    <n v="0"/>
    <n v="0"/>
    <x v="1"/>
    <n v="2"/>
    <n v="2"/>
    <x v="1"/>
    <e v="#VALUE!"/>
    <n v="0"/>
    <x v="1"/>
    <d v="2024-06-27T00:00:00"/>
    <d v="2024-07-30T00:00:00"/>
    <x v="1"/>
    <x v="0"/>
    <x v="0"/>
    <x v="1"/>
    <x v="1"/>
    <x v="1"/>
    <b v="1"/>
    <m/>
    <m/>
    <m/>
    <m/>
    <m/>
    <b v="1"/>
    <m/>
    <m/>
    <m/>
    <m/>
    <m/>
    <m/>
    <m/>
    <m/>
    <m/>
    <b v="1"/>
  </r>
  <r>
    <s v="B3_9CAr6N0yFWER9VmrbpWUACJv7"/>
    <x v="735"/>
    <x v="10"/>
    <s v="Rhoda Gill - Network;Shannon Blais - Network;Fabian Soma - Network;Daniel Bonilla - Network;Nannette Umpierre;Daniela Maroto - Network"/>
    <s v="Test Method;Raw material;am;Skeleton Build"/>
    <s v="sop # b01086 _x000a_ _x000a_config start date:05/29/24 _x000a_all config blocked start date:na _x000a_all config blocked end date:na _x000a_config end date:05/29/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07/10/2024 _x000a_ _x000a_verification assigned to: noel mendez _x000a_all client verification start date:06/20/24 _x000a_all client verification end date:06/21/24 _x000a_ _x000a_all client rework required start date: 07/10/2024 _x000a_all client blocked start date:na _x000a_all client blocked end date:na _x000a_all client rework required end date: 07/10/2024 _x000a_-------------------------------------------------------------------------------------------- _x000a_verification complete date: 07/10/2024 _x000a_ready to migrate date:07/30/2024"/>
    <x v="2"/>
    <x v="2"/>
    <e v="#VALUE!"/>
    <n v="0"/>
    <x v="1"/>
    <n v="1"/>
    <x v="1"/>
    <n v="0"/>
    <n v="0"/>
    <x v="1"/>
    <n v="0"/>
    <n v="0"/>
    <n v="0"/>
    <n v="0"/>
    <x v="1"/>
    <n v="2"/>
    <n v="1"/>
    <x v="1"/>
    <e v="#VALUE!"/>
    <n v="0"/>
    <x v="1"/>
    <d v="2024-07-10T00:00:00"/>
    <d v="2024-07-30T00:00:00"/>
    <x v="1"/>
    <x v="0"/>
    <x v="0"/>
    <x v="1"/>
    <x v="1"/>
    <x v="1"/>
    <b v="1"/>
    <m/>
    <m/>
    <m/>
    <m/>
    <m/>
    <b v="1"/>
    <m/>
    <m/>
    <m/>
    <m/>
    <m/>
    <m/>
    <m/>
    <m/>
    <m/>
    <b v="1"/>
  </r>
  <r>
    <s v="JFF7bSpfm0iEoM0Zxgh4gmUAOD3M"/>
    <x v="736"/>
    <x v="10"/>
    <s v="Shannon Blais - Network;Daniel Bonilla - Network;Nannette Umpierre;Rhoda Gill"/>
    <s v="Test Method;Raw material;am;Skeleton Build"/>
    <s v="sop # b00975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e v="#VALUE!"/>
    <n v="0"/>
    <x v="1"/>
    <n v="1"/>
    <x v="1"/>
    <n v="0"/>
    <n v="0"/>
    <x v="1"/>
    <n v="0"/>
    <n v="0"/>
    <n v="0"/>
    <n v="0"/>
    <x v="1"/>
    <n v="1"/>
    <n v="1"/>
    <x v="1"/>
    <n v="0"/>
    <n v="0"/>
    <x v="1"/>
    <d v="2024-06-26T00:00:00"/>
    <d v="2024-07-30T00:00:00"/>
    <x v="1"/>
    <x v="0"/>
    <x v="0"/>
    <x v="1"/>
    <x v="1"/>
    <x v="1"/>
    <b v="1"/>
    <m/>
    <m/>
    <m/>
    <m/>
    <m/>
    <b v="1"/>
    <m/>
    <m/>
    <m/>
    <m/>
    <m/>
    <m/>
    <m/>
    <m/>
    <m/>
    <b v="1"/>
  </r>
  <r>
    <s v="lSCgzAtln0yP8tIy_4U-w2UALk7W"/>
    <x v="737"/>
    <x v="10"/>
    <s v="Nannette Umpierre;Rhoda Gill;Daniela Maroto - Network"/>
    <s v="Test Method;Raw material;am;Skeleton Build"/>
    <s v="sop # b00953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 _x000a_ready to migrate date:07/31/2024"/>
    <x v="2"/>
    <x v="2"/>
    <e v="#VALUE!"/>
    <n v="0"/>
    <x v="1"/>
    <n v="1"/>
    <x v="1"/>
    <n v="0"/>
    <n v="0"/>
    <x v="1"/>
    <n v="0"/>
    <n v="0"/>
    <n v="0"/>
    <n v="0"/>
    <x v="1"/>
    <n v="1"/>
    <n v="1"/>
    <x v="1"/>
    <n v="0"/>
    <n v="0"/>
    <x v="1"/>
    <d v="2024-07-01T00:00:00"/>
    <d v="2024-07-31T00:00:00"/>
    <x v="1"/>
    <x v="0"/>
    <x v="0"/>
    <x v="1"/>
    <x v="1"/>
    <x v="1"/>
    <b v="1"/>
    <m/>
    <m/>
    <m/>
    <m/>
    <m/>
    <b v="1"/>
    <m/>
    <m/>
    <m/>
    <m/>
    <m/>
    <m/>
    <m/>
    <m/>
    <m/>
    <b v="1"/>
  </r>
  <r>
    <s v="Kku_hBUoc0efKg4Qk0FHJ2UAN6MW"/>
    <x v="738"/>
    <x v="10"/>
    <s v="Glenda Fernandez - Network;Rhoda Gill;Daniela Maroto - Network"/>
    <s v="Test Method;Raw material;am;Skeleton Build"/>
    <s v="sop # b00790 _x000a_ _x000a_config start date:05/29/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07/02/24  _x000a_ _x000a_verification assigned to: noel mendez _x000a_all client verification start date:06/19/24 _x000a_all client verification end date:06/21/24 _x000a_ _x000a_all client rework required start date:07/02/24 _x000a_all client blocked start date:na _x000a_all client blocked end date:na _x000a_all client rework required end date:07/02/24 _x000a_-------------------------------------------------------------------------------------------- _x000a_verification complete date: 07/10/2024 _x000a_ready to migrate date:07/30/2024"/>
    <x v="2"/>
    <x v="2"/>
    <e v="#VALUE!"/>
    <n v="0"/>
    <x v="1"/>
    <n v="1"/>
    <x v="1"/>
    <n v="0"/>
    <n v="0"/>
    <x v="1"/>
    <n v="0"/>
    <n v="0"/>
    <n v="0"/>
    <n v="0"/>
    <x v="1"/>
    <n v="2"/>
    <n v="1"/>
    <x v="1"/>
    <e v="#VALUE!"/>
    <n v="0"/>
    <x v="1"/>
    <d v="2024-07-10T00:00:00"/>
    <d v="2024-07-30T00:00:00"/>
    <x v="1"/>
    <x v="0"/>
    <x v="0"/>
    <x v="1"/>
    <x v="1"/>
    <x v="1"/>
    <b v="1"/>
    <m/>
    <m/>
    <m/>
    <m/>
    <m/>
    <b v="1"/>
    <m/>
    <m/>
    <m/>
    <m/>
    <m/>
    <m/>
    <m/>
    <m/>
    <m/>
    <b v="1"/>
  </r>
  <r>
    <s v="Q0cKUONWjkqkK7lSdlVSl2UAKuap"/>
    <x v="739"/>
    <x v="10"/>
    <s v="Alejandra Robles - Network;Caroline Morice - Network;Nannette Umpierre"/>
    <s v="Test Method;Raw material;am;Skeleton Build"/>
    <s v="sop # b00788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18/24 _x000a_ _x000a_ready to migrate date:07/31/2024"/>
    <x v="2"/>
    <x v="2"/>
    <e v="#VALUE!"/>
    <n v="0"/>
    <x v="1"/>
    <n v="1"/>
    <x v="1"/>
    <n v="0"/>
    <n v="0"/>
    <x v="1"/>
    <n v="0"/>
    <n v="0"/>
    <n v="0"/>
    <n v="0"/>
    <x v="1"/>
    <n v="1"/>
    <n v="1"/>
    <x v="1"/>
    <n v="0"/>
    <n v="0"/>
    <x v="1"/>
    <d v="2024-06-18T00:00:00"/>
    <d v="2024-07-31T00:00:00"/>
    <x v="1"/>
    <x v="0"/>
    <x v="0"/>
    <x v="1"/>
    <x v="1"/>
    <x v="1"/>
    <b v="1"/>
    <m/>
    <m/>
    <m/>
    <m/>
    <m/>
    <b v="1"/>
    <m/>
    <m/>
    <m/>
    <m/>
    <m/>
    <m/>
    <m/>
    <m/>
    <m/>
    <b v="1"/>
  </r>
  <r>
    <s v="QID1C0DLhEmGYlzGikZJkmUAG_w-"/>
    <x v="740"/>
    <x v="10"/>
    <s v="Nannette Umpierre;Rhoda Gill;Daniela Maroto - Network"/>
    <s v="Test Method;Raw material;am;Skeleton Build"/>
    <s v="sop # b00786 _x000a_ _x000a_config start date:05/29/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ready to migrate date:07/30/2024"/>
    <x v="2"/>
    <x v="2"/>
    <e v="#VALUE!"/>
    <n v="0"/>
    <x v="1"/>
    <n v="1"/>
    <x v="1"/>
    <n v="0"/>
    <n v="0"/>
    <x v="1"/>
    <n v="0"/>
    <n v="0"/>
    <n v="0"/>
    <n v="0"/>
    <x v="1"/>
    <n v="1"/>
    <n v="1"/>
    <x v="1"/>
    <n v="0"/>
    <n v="0"/>
    <x v="1"/>
    <d v="2024-06-26T00:00:00"/>
    <d v="2024-07-30T00:00:00"/>
    <x v="1"/>
    <x v="0"/>
    <x v="0"/>
    <x v="1"/>
    <x v="1"/>
    <x v="1"/>
    <b v="1"/>
    <m/>
    <m/>
    <m/>
    <m/>
    <m/>
    <b v="1"/>
    <m/>
    <m/>
    <m/>
    <m/>
    <m/>
    <m/>
    <m/>
    <m/>
    <m/>
    <b v="1"/>
  </r>
  <r>
    <s v="NyukroiudUWKJ5TIjZb3MGUAAHqf"/>
    <x v="741"/>
    <x v="15"/>
    <s v="Javier Coronado - Network;Shannon Blais - Network;Nannette Umpierre;Rhoda Gill"/>
    <s v="Test Method;Raw material;am;Skeleton Build"/>
    <s v="sop # b00785 _x000a_ _x000a_config start date:05/30/24 _x000a_all config blocked start date:na _x000a_all config blocked end date:na _x000a_config end date:06/13/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_x000a_all client verification start date:06/14/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ready to migrate date:"/>
    <x v="2"/>
    <x v="2"/>
    <e v="#VALUE!"/>
    <n v="0"/>
    <x v="1"/>
    <n v="1"/>
    <x v="1"/>
    <n v="0"/>
    <n v="0"/>
    <x v="1"/>
    <n v="0"/>
    <n v="0"/>
    <n v="0"/>
    <n v="0"/>
    <x v="1"/>
    <n v="1"/>
    <n v="1"/>
    <x v="1"/>
    <e v="#VALUE!"/>
    <n v="0"/>
    <x v="1"/>
    <d v="2024-06-14T00:00:00"/>
    <m/>
    <x v="1"/>
    <x v="0"/>
    <x v="0"/>
    <x v="1"/>
    <x v="1"/>
    <x v="0"/>
    <b v="1"/>
    <m/>
    <m/>
    <m/>
    <m/>
    <m/>
    <b v="1"/>
    <m/>
    <m/>
    <m/>
    <m/>
    <m/>
    <m/>
    <m/>
    <m/>
    <m/>
    <b v="1"/>
  </r>
  <r>
    <s v="J1W1maXYgkWhRVTEphJMT2UAFyHZ"/>
    <x v="742"/>
    <x v="4"/>
    <m/>
    <s v="Test Method;Consumable;Empower ;Finished Product;Full Build"/>
    <s v="sop # b00782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b v="1"/>
    <m/>
  </r>
  <r>
    <s v="cTSPAaEfnESan80E9CiezWUAM0JX"/>
    <x v="743"/>
    <x v="4"/>
    <m/>
    <s v="Test Method;Consumable;Empower ;Finished Product;Full Build"/>
    <s v="sop # b00781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kk9gobWz00KwivPDREakIGUAHwra"/>
    <x v="744"/>
    <x v="10"/>
    <s v="Glenda Fernandez - Network;Rhoda Gill;Daniela Maroto - Network"/>
    <s v="Test Method;Raw material;am;Skeleton Build"/>
    <s v="sop # b00780 _x000a_ _x000a_config start date:05/30/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30/24 _x000a_ _x000a_ready to migrate date:07/31/2024"/>
    <x v="2"/>
    <x v="2"/>
    <e v="#VALUE!"/>
    <n v="0"/>
    <x v="1"/>
    <n v="1"/>
    <x v="1"/>
    <n v="0"/>
    <n v="0"/>
    <x v="1"/>
    <n v="0"/>
    <n v="0"/>
    <n v="0"/>
    <n v="0"/>
    <x v="1"/>
    <n v="1"/>
    <n v="1"/>
    <x v="1"/>
    <n v="0"/>
    <n v="0"/>
    <x v="1"/>
    <d v="2024-06-30T00:00:00"/>
    <d v="2024-07-31T00:00:00"/>
    <x v="1"/>
    <x v="0"/>
    <x v="0"/>
    <x v="1"/>
    <x v="1"/>
    <x v="1"/>
    <b v="1"/>
    <m/>
    <m/>
    <m/>
    <m/>
    <m/>
    <b v="1"/>
    <m/>
    <m/>
    <m/>
    <m/>
    <m/>
    <m/>
    <m/>
    <m/>
    <m/>
    <b v="1"/>
  </r>
  <r>
    <s v="Ywi35oUTXk6yMOl4REHFC2UAIx2S"/>
    <x v="745"/>
    <x v="10"/>
    <s v="Alejandra Robles - Network;Ethan Cordero - Network;Nannette Umpierre"/>
    <s v="Test Method;Raw material;am;Skeleton Build"/>
    <s v="sop # b00687 _x000a_ _x000a_config start date:05/31/24 _x000a_all config blocked start date:na _x000a_all config blocked end date:na _x000a_config end date:05/31/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1/24 _x000a_ _x000a_all client rework required start date:na _x000a_all client blocked start date:na _x000a_all client blocked end date:na _x000a_all client rework required end date:na _x000a_-------------------------------------------------------------------------------------------- _x000a_verification complete date:06/27/24 _x000a_ready to migrate date:07/31/2024"/>
    <x v="2"/>
    <x v="2"/>
    <e v="#VALUE!"/>
    <n v="0"/>
    <x v="1"/>
    <n v="1"/>
    <x v="1"/>
    <n v="0"/>
    <n v="0"/>
    <x v="1"/>
    <n v="0"/>
    <n v="0"/>
    <n v="0"/>
    <n v="0"/>
    <x v="1"/>
    <n v="1"/>
    <n v="1"/>
    <x v="1"/>
    <n v="0"/>
    <n v="0"/>
    <x v="1"/>
    <d v="2024-06-27T00:00:00"/>
    <d v="2024-07-31T00:00:00"/>
    <x v="1"/>
    <x v="0"/>
    <x v="0"/>
    <x v="1"/>
    <x v="1"/>
    <x v="1"/>
    <b v="1"/>
    <m/>
    <m/>
    <m/>
    <m/>
    <m/>
    <b v="1"/>
    <m/>
    <m/>
    <m/>
    <m/>
    <m/>
    <m/>
    <m/>
    <m/>
    <m/>
    <b v="1"/>
  </r>
  <r>
    <s v="N1FR0g5g7EOsPjJ3olgVAGUABQrb"/>
    <x v="746"/>
    <x v="10"/>
    <s v="Shannon Blais - Network;Caroline Morice - Network;Nannette Umpierre"/>
    <s v="Test Method;Raw material;am;Skeleton Build"/>
    <s v="sop # b00686 _x000a_ _x000a_config start date:05/30/24 _x000a_all config blocked start date:na _x000a_all config blocked end date:na _x000a_config end date:05/30/24 _x000a_ -------------------------------------------------------------------------------------------- _x000a_all peer review start date:06/06/24 _x000a_all peer review end date:06/11/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06/17/24 _x000a_ _x000a_verification assigned to: yvette lopez _x000a_all client verification start date:06/13/24;06/27/24 _x000a_all client verification end date:06/14/24;06/27/24 _x000a_ _x000a_all client rework required start date:06/14/24 _x000a_all client blocked start date:na _x000a_all client blocked end date:na _x000a_all client rework required end date:06/17/24 _x000a_-------------------------------------------------------------------------------------------- _x000a_verification complete date:06/27/24 _x000a_ _x000a_ready to migrate date: 7/30/2024"/>
    <x v="2"/>
    <x v="2"/>
    <e v="#VALUE!"/>
    <n v="0"/>
    <x v="1"/>
    <n v="1"/>
    <x v="1"/>
    <n v="0"/>
    <n v="0"/>
    <x v="1"/>
    <n v="0"/>
    <n v="0"/>
    <n v="0"/>
    <n v="0"/>
    <x v="1"/>
    <n v="2"/>
    <n v="2"/>
    <x v="1"/>
    <e v="#VALUE!"/>
    <n v="0"/>
    <x v="1"/>
    <d v="2024-06-27T00:00:00"/>
    <d v="2024-07-30T00:00:00"/>
    <x v="1"/>
    <x v="0"/>
    <x v="0"/>
    <x v="1"/>
    <x v="1"/>
    <x v="1"/>
    <b v="1"/>
    <m/>
    <m/>
    <m/>
    <m/>
    <m/>
    <b v="1"/>
    <m/>
    <m/>
    <m/>
    <m/>
    <m/>
    <m/>
    <m/>
    <m/>
    <m/>
    <b v="1"/>
  </r>
  <r>
    <s v="zKJM7LlwAkenNTwe700acWUANvo_"/>
    <x v="747"/>
    <x v="10"/>
    <s v="Glenda Fernandez - Network;Nannette Umpierre;Rhoda Gill;Daniela Maroto - Network"/>
    <s v="Test Method;Raw material;am;Skeleton Build"/>
    <s v="sop # b00685 _x000a_ _x000a_config start date:05/29/24 _x000a_ _x000a_all config blocked start date:na _x000a_ _x000a_all config blocked end date:na  _x000a_ _x000a_config end date:05/31/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0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 07/10/2024 _x000a_ _x000a_ready to migrate date:07/30/2024"/>
    <x v="2"/>
    <x v="2"/>
    <e v="#VALUE!"/>
    <n v="0"/>
    <x v="1"/>
    <n v="1"/>
    <x v="1"/>
    <n v="0"/>
    <n v="0"/>
    <x v="1"/>
    <n v="0"/>
    <n v="0"/>
    <n v="0"/>
    <n v="0"/>
    <x v="1"/>
    <n v="2"/>
    <n v="1"/>
    <x v="1"/>
    <e v="#VALUE!"/>
    <n v="0"/>
    <x v="1"/>
    <d v="2024-07-10T00:00:00"/>
    <d v="2024-07-30T00:00:00"/>
    <x v="1"/>
    <x v="0"/>
    <x v="0"/>
    <x v="1"/>
    <x v="1"/>
    <x v="1"/>
    <b v="1"/>
    <m/>
    <m/>
    <m/>
    <m/>
    <m/>
    <b v="1"/>
    <m/>
    <m/>
    <m/>
    <m/>
    <m/>
    <m/>
    <m/>
    <m/>
    <m/>
    <b v="1"/>
  </r>
  <r>
    <s v="Z-FbJIsVLk2yF9gnKex2WWUAGyJF"/>
    <x v="748"/>
    <x v="1"/>
    <s v="Fabian Soma - Network;Nannette Umpierre;Rhoda Gill;Noel Mendez - Network"/>
    <s v="Test Method;Consumable;Finished Product;Full Build"/>
    <s v="sop # b00261 _x000a_ _x000a_config start date:04/08/24 _x000a_all config blocked start date:na _x000a_all config blocked end date:na _x000a_config end date:04/11/24 _x000a_ -------------------------------------------------------------------------------------------- _x000a_all peer review start date:na _x000a_all peer review end date:na _x000a_ _x000a_all peer review rework required start date:na _x000a_all pr rework blocked start date:na _x000a_all pr rework blocked end date:na _x000a_all peer review rework required end date:na _x000a_-------------------------------------------------------------------------------------------- _x000a_all ready for demo date:05/13/24;05/15/24 _x000a_ _x000a_all demo date:05/13/24;05/15/24 _x000a_ _x000a_all demo rework required start date:05/13/24;05/15/24 _x000a_all demo blocked start date:na _x000a_all demo blocked end date:na _x000a_all demo rework required end date:05/15/24;05/23/24 _x000a_-------------------------------------------------------------------------------------------- _x000a_all ready for client verification date:06/06/24;06/11/24 _x000a_ _x000a_verification assigned to: noel mendez _x000a_all client verification start date:06/06/24 _x000a_all client verification end date:06/11/24 _x000a_ _x000a_all client rework required start date:06/11/24 _x000a_all client blocked start date: _x000a_all client blocked end date: _x000a_all client rework required end date:06/11/24 _x000a_-------------------------------------------------------------------------------------------- _x000a_verification complete date: _x000a_ready to migrate date:"/>
    <x v="2"/>
    <x v="1"/>
    <e v="#VALUE!"/>
    <n v="0"/>
    <x v="1"/>
    <n v="0"/>
    <x v="0"/>
    <n v="0"/>
    <n v="0"/>
    <x v="1"/>
    <n v="2"/>
    <n v="2"/>
    <e v="#VALUE!"/>
    <n v="0"/>
    <x v="1"/>
    <n v="2"/>
    <n v="1"/>
    <x v="1"/>
    <e v="#VALUE!"/>
    <n v="0"/>
    <x v="1"/>
    <m/>
    <m/>
    <x v="0"/>
    <x v="0"/>
    <x v="1"/>
    <x v="1"/>
    <x v="1"/>
    <x v="0"/>
    <b v="1"/>
    <m/>
    <m/>
    <m/>
    <m/>
    <m/>
    <m/>
    <m/>
    <m/>
    <m/>
    <m/>
    <b v="1"/>
    <m/>
    <m/>
    <m/>
    <b v="1"/>
    <m/>
  </r>
  <r>
    <s v="8ZskBDLxyk6ko4AGC-9eA2UADNor"/>
    <x v="749"/>
    <x v="10"/>
    <s v="Kimberly Mata - Network;Nannette Umpierre"/>
    <s v="Test Method;Raw material;am;Skeleton Build"/>
    <s v="sop # a11268 _x000a_ _x000a_config start date:06/11/24 _x000a_all config blocked start date:na _x000a_all config blocked end date:na _x000a_config end date:06/11/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nannette umpierre _x000a_all client verification start date:06/13/24 _x000a_all client verification end date:06/13/24 _x000a_ _x000a_all client rework required start date:na _x000a_all client blocked start date:na _x000a_all client blocked end date:na _x000a_all client rework required end date:na _x000a_-------------------------------------------------------------------------------------------- _x000a_verification complete date:06/13/24 _x000a_ready to migrate date:07/31/2024"/>
    <x v="2"/>
    <x v="2"/>
    <e v="#VALUE!"/>
    <n v="0"/>
    <x v="1"/>
    <n v="1"/>
    <x v="1"/>
    <n v="0"/>
    <n v="0"/>
    <x v="1"/>
    <n v="0"/>
    <n v="0"/>
    <n v="0"/>
    <n v="0"/>
    <x v="1"/>
    <n v="1"/>
    <n v="1"/>
    <x v="1"/>
    <n v="0"/>
    <n v="0"/>
    <x v="1"/>
    <d v="2024-06-13T00:00:00"/>
    <d v="2024-07-31T00:00:00"/>
    <x v="1"/>
    <x v="0"/>
    <x v="0"/>
    <x v="1"/>
    <x v="1"/>
    <x v="1"/>
    <b v="1"/>
    <m/>
    <m/>
    <m/>
    <m/>
    <m/>
    <b v="1"/>
    <m/>
    <m/>
    <m/>
    <m/>
    <m/>
    <m/>
    <m/>
    <m/>
    <m/>
    <b v="1"/>
  </r>
  <r>
    <s v="ZTqCCwTYqkC_orQJ6ozOvmUALAW3"/>
    <x v="750"/>
    <x v="3"/>
    <s v="Shannon Blais - Network;Andrea Fuentes;Nannette Umpierre"/>
    <s v="Test Method;Raw material;am;Skeleton Build"/>
    <s v="sop # a11265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 07/30/2024 _x000a_all client blocked start date: _x000a_all client blocked end date: _x000a_all client rework required end date: 07/30/2024 _x000a_-------------------------------------------------------------------------------------------- _x000a_verification complete date:07/09/2024 _x000a_ready to migrate date:"/>
    <x v="2"/>
    <x v="1"/>
    <e v="#VALUE!"/>
    <n v="0"/>
    <x v="1"/>
    <n v="1"/>
    <x v="1"/>
    <n v="0"/>
    <n v="0"/>
    <x v="1"/>
    <n v="0"/>
    <n v="0"/>
    <n v="0"/>
    <n v="0"/>
    <x v="1"/>
    <n v="1"/>
    <n v="1"/>
    <x v="1"/>
    <e v="#VALUE!"/>
    <n v="0"/>
    <x v="1"/>
    <d v="2024-07-09T00:00:00"/>
    <m/>
    <x v="1"/>
    <x v="0"/>
    <x v="0"/>
    <x v="1"/>
    <x v="1"/>
    <x v="0"/>
    <b v="1"/>
    <m/>
    <m/>
    <m/>
    <m/>
    <m/>
    <b v="1"/>
    <m/>
    <m/>
    <m/>
    <m/>
    <m/>
    <m/>
    <m/>
    <m/>
    <m/>
    <b v="1"/>
  </r>
  <r>
    <s v="x2Fl9ZG4U0aZ8uu6KWRDtWUANeKU"/>
    <x v="751"/>
    <x v="13"/>
    <s v="Shannon Blais - Network;Andrea Fuentes;Nannette Umpierre"/>
    <s v="Test Method;Raw material;am;Skeleton Build"/>
    <s v="sop # a11264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BflKN-67aUeUdSp10cUXDWUAJAeh"/>
    <x v="752"/>
    <x v="13"/>
    <s v="Daniela Azofeifa;Nannette Umpierre"/>
    <s v="Test Method;Raw material;am;Skeleton Build"/>
    <s v="sop # a11092 _x000a_ _x000a_config start date:05/29/24 _x000a_all config blocked start date:na _x000a_all config blocked end date:na _x000a_config end date:05/29/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20/24 _x000a_ _x000a_all client rework required start date:na _x000a_all client blocked start date:na _x000a_all client blocked end date:na _x000a_all client rework required end date:na _x000a_-------------------------------------------------------------------------------------------- _x000a_verification complete date:06/17/24 _x000a_ _x000a_ready to migrate date:"/>
    <x v="2"/>
    <x v="1"/>
    <e v="#VALUE!"/>
    <n v="0"/>
    <x v="1"/>
    <n v="1"/>
    <x v="1"/>
    <n v="0"/>
    <n v="0"/>
    <x v="1"/>
    <n v="0"/>
    <n v="0"/>
    <n v="0"/>
    <n v="0"/>
    <x v="1"/>
    <n v="1"/>
    <n v="1"/>
    <x v="1"/>
    <n v="0"/>
    <n v="0"/>
    <x v="1"/>
    <d v="2024-06-17T00:00:00"/>
    <m/>
    <x v="1"/>
    <x v="0"/>
    <x v="0"/>
    <x v="1"/>
    <x v="1"/>
    <x v="0"/>
    <b v="1"/>
    <m/>
    <m/>
    <m/>
    <m/>
    <m/>
    <b v="1"/>
    <m/>
    <m/>
    <m/>
    <m/>
    <m/>
    <m/>
    <m/>
    <m/>
    <m/>
    <b v="1"/>
  </r>
  <r>
    <s v="eQJHI9kXpUq0852-E3FlpmUAAXVH"/>
    <x v="753"/>
    <x v="14"/>
    <s v="Raquel Bolanos - Network;Raquel Bolaños"/>
    <s v="Test Method;Consumable;Raw material;am;Full Build"/>
    <s v="sop # a11088 _x000a_ _x000a_config start date:05/29/24 _x000a_all config blocked start date:na _x000a_all config blocked end date:na _x000a_config end date:06/18/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b v="1"/>
    <m/>
    <m/>
    <m/>
    <m/>
    <m/>
    <m/>
    <m/>
    <m/>
    <b v="1"/>
    <m/>
  </r>
  <r>
    <s v="QPbGioXNv0aYgsIyR-Zf72UAIhhC"/>
    <x v="754"/>
    <x v="13"/>
    <s v="Shannon Blais - Network;Daniela Azofeifa;Nannette Umpierre"/>
    <s v="Test Method;Raw material;am;Skeleton Build"/>
    <s v="sop # a10828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wxy7pgPQfEyy8N4rCmiKKWUAGEXC"/>
    <x v="755"/>
    <x v="13"/>
    <s v="Shannon Blais - Network;Daniela Azofeifa;Nannette Umpierre"/>
    <s v="Test Method;am;Skeleton Build"/>
    <s v="sop # a1082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m/>
    <m/>
    <m/>
    <m/>
    <m/>
    <m/>
    <m/>
    <m/>
    <m/>
    <m/>
    <b v="1"/>
  </r>
  <r>
    <s v="1YRTe1wFIUGpLF4nxvJ85mUAIi7W"/>
    <x v="756"/>
    <x v="13"/>
    <s v="Shannon Blais - Network;Daniela Azofeifa;Nannette Umpierre"/>
    <s v="Test Method;Raw material;am;Skeleton Build"/>
    <s v="sop # a10617 _x000a_ _x000a_config start date:05/29/24 _x000a_all config blocked start date:na _x000a_all config blocked end date:na _x000a_config end date:05/29/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lbCMwzRnJk6bM47NCg44fmUAPvb4"/>
    <x v="757"/>
    <x v="14"/>
    <s v="Joshua Vargas - Network;Rhoda Gill"/>
    <s v="Test Method;Consumable;Raw material;am;Full Build"/>
    <s v="sop # a10615 _x000a_ _x000a_config start date:06/03/24 _x000a_all config blocked start date:06/12/24 _x000a_all config blocked end date:06/14/24 _x000a_config end date:06/1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e v="#VALUE!"/>
    <x v="1"/>
    <n v="0"/>
    <x v="0"/>
    <n v="0"/>
    <n v="0"/>
    <x v="1"/>
    <n v="0"/>
    <n v="0"/>
    <n v="0"/>
    <n v="0"/>
    <x v="1"/>
    <n v="0"/>
    <n v="0"/>
    <x v="0"/>
    <n v="0"/>
    <n v="0"/>
    <x v="1"/>
    <m/>
    <m/>
    <x v="0"/>
    <x v="0"/>
    <x v="0"/>
    <x v="0"/>
    <x v="0"/>
    <x v="0"/>
    <b v="1"/>
    <m/>
    <m/>
    <m/>
    <m/>
    <m/>
    <b v="1"/>
    <m/>
    <m/>
    <m/>
    <m/>
    <m/>
    <m/>
    <m/>
    <m/>
    <b v="1"/>
    <m/>
  </r>
  <r>
    <s v="ixJv9iT-zkG6kmH-Y03b_2UAGAsz"/>
    <x v="758"/>
    <x v="10"/>
    <s v="Daniel Bonilla - Network;Nannette Umpierre;Rhoda Gill"/>
    <s v="Test Method;Raw material;am;Skeleton Build"/>
    <s v="sop # a10604 _x000a_ _x000a_config start date:05/29/24 _x000a_all config blocked start date:na _x000a_all config blocked end date:na _x000a_config end date:05/30/24 _x000a_ -------------------------------------------------------------------------------------------- _x000a_all peer review start date:06/03/24 _x000a_all peer review end date:06/03/24 _x000a_ _x000a_all peer review rework required start date:na _x000a_all pr rework blocked start date:na _x000a_all pr rework blocked end date:na _x000a_all peer review rework required end date:na _x000a_-------------------------------------------------------------------------------------------- _x000a_all ready for demo date:06/03/24 _x000a_ _x000a_all demo date:06/03/24 _x000a_ _x000a_all demo rework required start date:06/12/24 _x000a_all demo blocked start date:na _x000a_all demo blocked end date:na _x000a_all demo rework required end date:06/12/24 _x000a_-------------------------------------------------------------------------------------------- _x000a_all ready for client verification date:06/12/24 _x000a_ _x000a_verification assigned to: nannette umpierre _x000a_all client verification start date:06/12/24 _x000a_all client verification end date:06/12/24 _x000a_ _x000a_all client rework required start date:06/14/24 _x000a_all client blocked start date:na _x000a_all client blocked end date:na _x000a_all client rework required end date:06/14/24 _x000a_-------------------------------------------------------------------------------------------- _x000a_verification complete date:06/14/24 _x000a_ready to migrate date:7/30/2024"/>
    <x v="2"/>
    <x v="2"/>
    <e v="#VALUE!"/>
    <n v="0"/>
    <x v="1"/>
    <n v="1"/>
    <x v="1"/>
    <n v="0"/>
    <n v="0"/>
    <x v="1"/>
    <n v="1"/>
    <n v="1"/>
    <e v="#VALUE!"/>
    <n v="0"/>
    <x v="1"/>
    <n v="1"/>
    <n v="1"/>
    <x v="1"/>
    <e v="#VALUE!"/>
    <n v="0"/>
    <x v="1"/>
    <d v="2024-06-14T00:00:00"/>
    <d v="2024-07-30T00:00:00"/>
    <x v="1"/>
    <x v="0"/>
    <x v="1"/>
    <x v="1"/>
    <x v="1"/>
    <x v="1"/>
    <b v="1"/>
    <m/>
    <m/>
    <m/>
    <m/>
    <m/>
    <b v="1"/>
    <m/>
    <m/>
    <m/>
    <m/>
    <m/>
    <m/>
    <m/>
    <m/>
    <m/>
    <b v="1"/>
  </r>
  <r>
    <s v="Ad4N5fsJ5k2NOQIUz2OkW2UADeO5"/>
    <x v="759"/>
    <x v="13"/>
    <s v="Daniela Azofeifa;Nannette Umpierre"/>
    <s v="Test Method;Raw material;am;Skeleton Build"/>
    <s v="sop # a10296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tOpKhguf9Ue8IEeKcUKk6mUAEPGx"/>
    <x v="760"/>
    <x v="13"/>
    <s v="Alejandra Robles - Network;Daniela Azofeifa;Nannette Umpierre"/>
    <s v="Test Method;Raw material;am;Skeleton Build"/>
    <s v="sop # a1029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9/24 _x000a_ _x000a_all client rework required start date:na _x000a_all client blocked start date:na _x000a_all client blocked end date:na _x000a_all client rework required end date:na _x000a_-------------------------------------------------------------------------------------------- _x000a_verification complete date: 06/17/24 _x000a_ready to migrate date:"/>
    <x v="2"/>
    <x v="1"/>
    <e v="#VALUE!"/>
    <n v="0"/>
    <x v="1"/>
    <n v="1"/>
    <x v="1"/>
    <n v="0"/>
    <n v="0"/>
    <x v="1"/>
    <n v="0"/>
    <n v="0"/>
    <n v="0"/>
    <n v="0"/>
    <x v="1"/>
    <n v="1"/>
    <n v="1"/>
    <x v="1"/>
    <n v="0"/>
    <n v="0"/>
    <x v="1"/>
    <d v="2024-06-17T00:00:00"/>
    <m/>
    <x v="1"/>
    <x v="0"/>
    <x v="0"/>
    <x v="1"/>
    <x v="1"/>
    <x v="0"/>
    <b v="1"/>
    <m/>
    <m/>
    <m/>
    <m/>
    <m/>
    <b v="1"/>
    <m/>
    <m/>
    <m/>
    <m/>
    <m/>
    <m/>
    <m/>
    <m/>
    <m/>
    <b v="1"/>
  </r>
  <r>
    <s v="_Ph9-b0v806UbFWZZsWEWmUAF5Cp"/>
    <x v="761"/>
    <x v="10"/>
    <s v="Glenda Fernandez - Network;Daniel Bonilla - Network;Rhoda Gill"/>
    <s v="Test Method;Raw material;am;Skeleton Build"/>
    <s v="sop # a10015 _x000a_ _x000a_config start date: 05/29/24 _x000a_ _x000a_all config blocked start date: na _x000a_ _x000a_all config blocked end date: na  _x000a_ _x000a_config end date: 05/30/24 _x000a_ _x000a_ -------------------------------------------------------------------------------------------- _x000a_ _x000a_all peer review start date:06/19/24 _x000a_ _x000a_all peer review end date:06/19/24 _x000a_ _x000a_all peer review rework required start date:na _x000a_ _x000a_all pr rework blocked start date:na  _x000a_ _x000a_all pr rework blocked end date:na  _x000a_ _x000a_all peer review rework required end date:na  _x000a_ _x000a_-------------------------------------------------------------------------------------------- _x000a_ _x000a_all ready for demo date:na  _x000a_ _x000a_all demo date:na  _x000a_ _x000a_all demo rework required start date:na  _x000a_ _x000a_all demo blocked start date:na  _x000a_ _x000a_all demo blocked end date:na _x000a_ _x000a_all demo rework required end date:na  _x000a_ _x000a_-------------------------------------------------------------------------------------------- _x000a_ _x000a_all ready for client verification date:06/19/24;07/01/24  _x000a_ _x000a_verification assigned to: noel mendez  _x000a_ _x000a_all client verification start date:06/19/24 _x000a_ _x000a_all client verification end date:06/21/24 _x000a_ _x000a_all client rework required start date:07/01/24 _x000a_ _x000a_all client blocked start date:na _x000a_ _x000a_all client blocked end date:na  _x000a_ _x000a_all client rework required end date:07/01/24  _x000a_ _x000a_------------------------------------------------------------------------------------------- _x000a_ _x000a_verification complete date:07/01/24 _x000a_ _x000a_ready to migrate date:07/30/2024"/>
    <x v="2"/>
    <x v="2"/>
    <e v="#VALUE!"/>
    <n v="0"/>
    <x v="1"/>
    <n v="1"/>
    <x v="1"/>
    <n v="0"/>
    <n v="0"/>
    <x v="1"/>
    <n v="0"/>
    <n v="0"/>
    <n v="0"/>
    <n v="0"/>
    <x v="1"/>
    <n v="2"/>
    <n v="1"/>
    <x v="1"/>
    <e v="#VALUE!"/>
    <n v="0"/>
    <x v="1"/>
    <d v="2024-07-01T00:00:00"/>
    <d v="2024-07-30T00:00:00"/>
    <x v="1"/>
    <x v="0"/>
    <x v="0"/>
    <x v="1"/>
    <x v="1"/>
    <x v="1"/>
    <b v="1"/>
    <m/>
    <m/>
    <m/>
    <m/>
    <m/>
    <b v="1"/>
    <m/>
    <m/>
    <m/>
    <m/>
    <m/>
    <m/>
    <m/>
    <m/>
    <m/>
    <b v="1"/>
  </r>
  <r>
    <s v="ZRfeZb2yQkW0KLOc4TJ6C2UAPZ67"/>
    <x v="762"/>
    <x v="10"/>
    <s v="Ethan Cordero - Network;Nannette Umpierre"/>
    <s v="Test Method;Raw material;am;Skeleton Build"/>
    <s v="sop # a1001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3/24 _x000a_ _x000a_verification assigned to: _x000a_all client verification start date:07/01/24 _x000a_all client verification end date:07/01/24 _x000a_ _x000a_all client rework required start date:07/03/24 _x000a_all client blocked start date:na _x000a_all client blocked end date:na _x000a_all client rework required end date:07/03/24 _x000a_-------------------------------------------------------------------------------------------- _x000a_verification complete date: 07/10/2024 _x000a_ready to migrate date:07/31/2024"/>
    <x v="2"/>
    <x v="2"/>
    <e v="#VALUE!"/>
    <n v="0"/>
    <x v="1"/>
    <n v="1"/>
    <x v="1"/>
    <n v="0"/>
    <n v="0"/>
    <x v="1"/>
    <n v="0"/>
    <n v="0"/>
    <n v="0"/>
    <n v="0"/>
    <x v="1"/>
    <n v="2"/>
    <n v="1"/>
    <x v="1"/>
    <e v="#VALUE!"/>
    <n v="0"/>
    <x v="1"/>
    <d v="2024-07-10T00:00:00"/>
    <d v="2024-07-31T00:00:00"/>
    <x v="1"/>
    <x v="0"/>
    <x v="0"/>
    <x v="1"/>
    <x v="1"/>
    <x v="1"/>
    <b v="1"/>
    <m/>
    <m/>
    <m/>
    <m/>
    <m/>
    <b v="1"/>
    <m/>
    <m/>
    <m/>
    <m/>
    <m/>
    <m/>
    <m/>
    <m/>
    <m/>
    <b v="1"/>
  </r>
  <r>
    <s v="x5qcSk7j10GOqzsnjtSHlWUAI113"/>
    <x v="763"/>
    <x v="10"/>
    <s v="Fabian Soma - Network;Nannette Umpierre;Rhoda Gill"/>
    <s v="Test Method;Raw material;am;Skeleton Build"/>
    <s v="sop # a10011 _x000a_ _x000a_config start date:05/08/24 _x000a_all config blocked start date:na _x000a_all config blocked end date:na _x000a_config end date:05/23/24 _x000a_ -------------------------------------------------------------------------------------------- _x000a_all peer review start date:05/28/24 _x000a_all peer review end date:05/28/24 _x000a_ _x000a_all peer review rework required start date:na _x000a_all pr rework blocked start date:na _x000a_all pr rework blocked end date:na _x000a_all peer review rework required end date:na _x000a_-------------------------------------------------------------------------------------------- _x000a_all ready for demo date:05/28/24 _x000a_ _x000a_all demo date:05/29/24 _x000a_ _x000a_all demo rework required start date:na _x000a_all demo blocked start date:na _x000a_all demo blocked end date:na _x000a_all demo rework required end date:na _x000a_-------------------------------------------------------------------------------------------- _x000a_all ready for client verification date:06/06/24;06/07/24 _x000a_ _x000a_verification assigned to: nannette umpierre _x000a_all client verification start date:06/06/24;06/11/24 _x000a_all client verification end date:06/06/24;06/11/24 _x000a_ _x000a_all client rework required start date:06/06/24 _x000a_all client blocked start date:na _x000a_all client blocked end date:na _x000a_all client rework required end date:06/07/24 _x000a_-------------------------------------------------------------------------------------------- _x000a_verification complete date:06/11/24 _x000a_ready to migrate date:07/31/2024"/>
    <x v="2"/>
    <x v="2"/>
    <e v="#VALUE!"/>
    <n v="0"/>
    <x v="1"/>
    <n v="1"/>
    <x v="1"/>
    <n v="0"/>
    <n v="0"/>
    <x v="1"/>
    <n v="1"/>
    <n v="1"/>
    <n v="0"/>
    <n v="0"/>
    <x v="1"/>
    <n v="2"/>
    <n v="2"/>
    <x v="1"/>
    <e v="#VALUE!"/>
    <n v="0"/>
    <x v="1"/>
    <d v="2024-06-11T00:00:00"/>
    <d v="2024-07-31T00:00:00"/>
    <x v="1"/>
    <x v="0"/>
    <x v="1"/>
    <x v="1"/>
    <x v="1"/>
    <x v="1"/>
    <b v="1"/>
    <m/>
    <m/>
    <m/>
    <m/>
    <m/>
    <b v="1"/>
    <m/>
    <m/>
    <m/>
    <m/>
    <m/>
    <m/>
    <m/>
    <m/>
    <m/>
    <b v="1"/>
  </r>
  <r>
    <s v="0qDHSUjSmEuM6-ULkmTDKGUAD6pM"/>
    <x v="764"/>
    <x v="1"/>
    <s v="Fabian Soma - Network;Raquel Bolaños;Nannette Umpierre;Rhoda Gill;Noel Mendez - Network"/>
    <s v="Test Method;Consumable;Raw material;Full Build"/>
    <s v="sop # a09431 _x000a_ _x000a_config start date:04/16/24 _x000a_all config blocked start date: _x000a_all config blocked end date: _x000a_config end date:05/17/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0/24 _x000a_ _x000a_all demo rework required start date:05/30/24 _x000a_all demo blocked start date:na _x000a_all demo blocked end date:na _x000a_all demo rework required end date:05/30/24 _x000a_-------------------------------------------------------------------------------------------- _x000a_all ready for client verification date:06/06/24;06/11/24 _x000a_ _x000a_verification assigned to: noel mendez _x000a_all client verification start date:06/06/24;06/13/24 _x000a_all client verification end date:06/11/24;06/13/24 _x000a_ _x000a_all client rework required start date:06/11/24;06/17/24 _x000a_all client blocked start date:na _x000a_all client blocked end date:na _x000a_all client rework required end date:06/11/24;06/17/24 _x000a_-------------------------------------------------------------------------------------------- _x000a_verification complete date: _x000a_ready to migrate date:"/>
    <x v="2"/>
    <x v="1"/>
    <e v="#VALUE!"/>
    <n v="0"/>
    <x v="1"/>
    <n v="1"/>
    <x v="1"/>
    <n v="0"/>
    <n v="0"/>
    <x v="1"/>
    <n v="1"/>
    <n v="1"/>
    <e v="#VALUE!"/>
    <n v="0"/>
    <x v="1"/>
    <n v="2"/>
    <n v="2"/>
    <x v="1"/>
    <e v="#VALUE!"/>
    <n v="0"/>
    <x v="1"/>
    <m/>
    <m/>
    <x v="1"/>
    <x v="0"/>
    <x v="1"/>
    <x v="1"/>
    <x v="1"/>
    <x v="0"/>
    <b v="1"/>
    <m/>
    <m/>
    <m/>
    <m/>
    <m/>
    <b v="1"/>
    <m/>
    <m/>
    <m/>
    <m/>
    <m/>
    <m/>
    <m/>
    <m/>
    <b v="1"/>
    <m/>
  </r>
  <r>
    <s v="iHmzE_ECvkGeoMP3CVbgRGUAE5zr"/>
    <x v="765"/>
    <x v="10"/>
    <s v="Shannon Blais - Network;Alejandra Robles - Network;Ethan Cordero - Network;Nannette Umpierre"/>
    <s v="Test Method;Raw material;am;Skeleton Build"/>
    <s v="sop # 000259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07/02/24 _x000a_ _x000a_verification assigned to: miguel lozada _x000a_all client verification start date:06/20/24 _x000a_all client verification end date:06/21/24 _x000a_ _x000a_all client rework required start date:07/02/24 _x000a_all client blocked start date:na _x000a_all client blocked end date:na _x000a_all client rework required end date:07/02/24 _x000a_-------------------------------------------------------------------------------------------- _x000a_verification complete date:07/10/2024 _x000a_ _x000a_ready to migrate date:07/31/2024 _x000a_ _x000a_important: check global test method"/>
    <x v="2"/>
    <x v="2"/>
    <e v="#VALUE!"/>
    <n v="0"/>
    <x v="1"/>
    <n v="1"/>
    <x v="1"/>
    <n v="0"/>
    <n v="0"/>
    <x v="1"/>
    <n v="0"/>
    <n v="0"/>
    <n v="0"/>
    <n v="0"/>
    <x v="1"/>
    <n v="2"/>
    <n v="1"/>
    <x v="1"/>
    <e v="#VALUE!"/>
    <n v="0"/>
    <x v="1"/>
    <d v="2024-07-10T00:00:00"/>
    <d v="2024-07-31T00:00:00"/>
    <x v="1"/>
    <x v="0"/>
    <x v="0"/>
    <x v="1"/>
    <x v="1"/>
    <x v="1"/>
    <b v="1"/>
    <m/>
    <m/>
    <m/>
    <m/>
    <m/>
    <b v="1"/>
    <m/>
    <m/>
    <m/>
    <m/>
    <m/>
    <m/>
    <m/>
    <m/>
    <m/>
    <b v="1"/>
  </r>
  <r>
    <s v="8dQkXDpre0CbIfri2Lx-MmUAKPCt"/>
    <x v="766"/>
    <x v="10"/>
    <s v="Shannon Blais - Network;Alejandra Robles - Network;Ethan Cordero - Network;Nannette Umpierre"/>
    <s v="Test Method;Raw material;am;Skeleton Build"/>
    <s v="sop # 000258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nannette umpierre _x000a_all client verification start date: 07/10/2024 _x000a_all client verification end date: 07/10/2024 _x000a_ _x000a_all client rework required start date:na _x000a_all client blocked start date:na _x000a_all client blocked end date:na _x000a_all client rework required end date:na _x000a_-------------------------------------------------------------------------------------------- _x000a_verification complete date: 07/10/2024 _x000a_ _x000a_ready to migrate date: 07/31/2024 _x000a_ _x000a_important: check global test method"/>
    <x v="2"/>
    <x v="2"/>
    <e v="#VALUE!"/>
    <n v="0"/>
    <x v="1"/>
    <n v="1"/>
    <x v="1"/>
    <n v="0"/>
    <n v="0"/>
    <x v="1"/>
    <n v="0"/>
    <n v="0"/>
    <n v="0"/>
    <n v="0"/>
    <x v="1"/>
    <n v="1"/>
    <n v="1"/>
    <x v="1"/>
    <n v="0"/>
    <n v="0"/>
    <x v="1"/>
    <d v="2024-07-10T00:00:00"/>
    <d v="2024-07-31T00:00:00"/>
    <x v="1"/>
    <x v="0"/>
    <x v="0"/>
    <x v="1"/>
    <x v="1"/>
    <x v="1"/>
    <b v="1"/>
    <m/>
    <m/>
    <m/>
    <m/>
    <m/>
    <b v="1"/>
    <m/>
    <m/>
    <m/>
    <m/>
    <m/>
    <m/>
    <m/>
    <m/>
    <m/>
    <b v="1"/>
  </r>
  <r>
    <s v="slPULOJ5oUe5TNN_a5mXPWUADNR1"/>
    <x v="767"/>
    <x v="10"/>
    <s v="Carlos Rocha - Network;Glenda Fernandez - Network;Nannette Umpierre;Rhoda Gill"/>
    <s v="Test Method;Raw material;am;Skeleton Build"/>
    <s v="sop # pr5-000255 _x000a_ _x000a_config start date:06/03/24 _x000a_all config blocked start date:  _x000a_all config blocked end date: _x000a_config end date:7/8/24 _x000a_ -------------------------------------------------------------------------------------------- _x000a_all peer review start date: 7/15/2024 _x000a_all peer review end date: 7/15/2024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07/15/2024 _x000a_ _x000a_verification assigned to: nannette umpierre _x000a_all client verification start date: 07/15/2024 _x000a_all client verification end date: 07/15/2024 _x000a_ _x000a_all client rework required start date: 07/15/2024 _x000a_all client blocked start date: _x000a_all client blocked end date: _x000a_all client rework required end date: 7/18/2024 _x000a_-------------------------------------------------------------------------------------------- _x000a_verification complete date: 07/18/2024 _x000a_ _x000a_ready to migrate date: _x000a_ _x000a_important: check global test method"/>
    <x v="2"/>
    <x v="2"/>
    <e v="#VALUE!"/>
    <n v="0"/>
    <x v="1"/>
    <n v="1"/>
    <x v="1"/>
    <n v="0"/>
    <n v="0"/>
    <x v="1"/>
    <n v="0"/>
    <n v="0"/>
    <n v="0"/>
    <n v="0"/>
    <x v="1"/>
    <n v="1"/>
    <n v="1"/>
    <x v="1"/>
    <e v="#VALUE!"/>
    <n v="0"/>
    <x v="1"/>
    <d v="2024-07-18T00:00:00"/>
    <m/>
    <x v="1"/>
    <x v="0"/>
    <x v="0"/>
    <x v="1"/>
    <x v="1"/>
    <x v="0"/>
    <b v="1"/>
    <m/>
    <m/>
    <m/>
    <m/>
    <m/>
    <b v="1"/>
    <m/>
    <m/>
    <m/>
    <m/>
    <m/>
    <m/>
    <m/>
    <m/>
    <m/>
    <b v="1"/>
  </r>
  <r>
    <s v="WOLKqWic80uhhmLM-9wtZ2UAP2Hn"/>
    <x v="768"/>
    <x v="13"/>
    <s v="Shannon Blais - Network;Alejandra Robles - Network;Miguel A Lozada;Ethan Cordero - Network;Nannette Umpierre"/>
    <s v="Test Method;Raw material;Skeleton Build"/>
    <s v="sop # 000253 _x000a_ _x000a_config start date:05/30/24 _x000a_all config blocked start date:na _x000a_all config blocked end date:na _x000a_config end date:05/30/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 06/19/2024 _x000a_all client verification end date: 06/21/2024 _x000a_ _x000a_all client rework required start date: 07/26/2024 _x000a_all client blocked start date: _x000a_all client blocked end date: _x000a_all client rework required end date: 07/26/2024 _x000a_-------------------------------------------------------------------------------------------- _x000a_verification complete date: 07/29/2024 _x000a_ready to migrate date: _x000a_ _x000a_important: check global test method"/>
    <x v="2"/>
    <x v="1"/>
    <e v="#VALUE!"/>
    <n v="0"/>
    <x v="1"/>
    <n v="1"/>
    <x v="1"/>
    <n v="0"/>
    <n v="0"/>
    <x v="1"/>
    <n v="0"/>
    <n v="0"/>
    <n v="0"/>
    <n v="0"/>
    <x v="1"/>
    <n v="1"/>
    <n v="1"/>
    <x v="1"/>
    <e v="#VALUE!"/>
    <n v="0"/>
    <x v="1"/>
    <d v="2024-07-29T00:00:00"/>
    <m/>
    <x v="1"/>
    <x v="0"/>
    <x v="0"/>
    <x v="1"/>
    <x v="1"/>
    <x v="0"/>
    <b v="1"/>
    <m/>
    <m/>
    <m/>
    <m/>
    <m/>
    <b v="1"/>
    <m/>
    <m/>
    <m/>
    <m/>
    <m/>
    <m/>
    <m/>
    <m/>
    <m/>
    <b v="1"/>
  </r>
  <r>
    <s v="35hvi1uWX0Go_aT-5lwRKWUAIYGV"/>
    <x v="769"/>
    <x v="17"/>
    <s v="Rhoda Gill - Network;Carlos Rocha - Network"/>
    <s v="Test Method;Consumable;Raw material;am;Full Build"/>
    <s v="sop# 000252 _x000a_ _x000a_config start date:06/10/24 _x000a_ _x000a_all config blocked start date: na _x000a_ _x000a_all config blocked end date: na _x000a_ _x000a_config end date:06/25/24 _x000a_ _x000a_ -------------------------------------------------------------------------------------------- _x000a_ _x000a_all peer review start date: 07/23/2024 _x000a_ _x000a_all peer review end date: _x000a_ _x000a_all peer review rework required start date:07/23/2024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_x000a_ _x000a_-------------------------------------------------------------------------------------------- _x000a_ _x000a_additional information: check global"/>
    <x v="2"/>
    <x v="4"/>
    <e v="#VALUE!"/>
    <n v="0"/>
    <x v="1"/>
    <n v="1"/>
    <x v="1"/>
    <e v="#VALUE!"/>
    <n v="0"/>
    <x v="1"/>
    <n v="0"/>
    <n v="0"/>
    <n v="0"/>
    <n v="0"/>
    <x v="1"/>
    <n v="0"/>
    <n v="0"/>
    <x v="0"/>
    <n v="0"/>
    <n v="0"/>
    <x v="1"/>
    <m/>
    <m/>
    <x v="1"/>
    <x v="1"/>
    <x v="0"/>
    <x v="0"/>
    <x v="0"/>
    <x v="0"/>
    <b v="1"/>
    <m/>
    <m/>
    <m/>
    <m/>
    <m/>
    <b v="1"/>
    <m/>
    <m/>
    <m/>
    <m/>
    <m/>
    <m/>
    <m/>
    <m/>
    <b v="1"/>
    <m/>
  </r>
  <r>
    <s v="qu7i8YcWdEKC4w1ICS4krWUAHz-S"/>
    <x v="770"/>
    <x v="10"/>
    <s v="Fabian Soma - Network;Nannette Umpierre;Rhoda Gill"/>
    <s v="Test Method;Raw material;am;Skeleton Build"/>
    <s v="sop #000251 _x000a_ _x000a_config start date:05/27/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20/24 _x000a_ _x000a_all client rework required start date:na _x000a_all client blocked start date:na _x000a_all client blocked end date:na _x000a_all client rework required end date:na _x000a_-------------------------------------------------------------------------------------------- _x000a_verification complete date:06/26/24 _x000a_ _x000a_ready to migrate date:07/30/2024 _x000a_ _x000a_important: check global test method"/>
    <x v="2"/>
    <x v="2"/>
    <e v="#VALUE!"/>
    <n v="0"/>
    <x v="1"/>
    <n v="1"/>
    <x v="1"/>
    <n v="0"/>
    <n v="0"/>
    <x v="1"/>
    <n v="0"/>
    <n v="0"/>
    <n v="0"/>
    <n v="0"/>
    <x v="1"/>
    <n v="1"/>
    <n v="1"/>
    <x v="1"/>
    <n v="0"/>
    <n v="0"/>
    <x v="1"/>
    <d v="2024-06-26T00:00:00"/>
    <d v="2024-07-30T00:00:00"/>
    <x v="1"/>
    <x v="0"/>
    <x v="0"/>
    <x v="1"/>
    <x v="1"/>
    <x v="1"/>
    <b v="1"/>
    <m/>
    <m/>
    <m/>
    <m/>
    <m/>
    <b v="1"/>
    <m/>
    <m/>
    <m/>
    <m/>
    <m/>
    <m/>
    <m/>
    <m/>
    <m/>
    <b v="1"/>
  </r>
  <r>
    <s v="ECptk3rn1UuhH0Xr7qhn1WUAPPku"/>
    <x v="771"/>
    <x v="10"/>
    <s v="Shannon Blais - Network;Andrea Fuentes;Nannette Umpierre"/>
    <s v="Test Method;Raw material;am;Skeleton Build"/>
    <s v="sop # 000250 _x000a_ _x000a_config start date:05/30/24 _x000a_all config blocked start date:na _x000a_all config blocked end date:na _x000a_config end date:05/30/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 _x000a_ready to migrate date: _x000a_ _x000a_important: check global test method"/>
    <x v="2"/>
    <x v="2"/>
    <e v="#VALUE!"/>
    <n v="0"/>
    <x v="1"/>
    <n v="1"/>
    <x v="1"/>
    <n v="0"/>
    <n v="0"/>
    <x v="1"/>
    <n v="0"/>
    <n v="0"/>
    <n v="0"/>
    <n v="0"/>
    <x v="1"/>
    <n v="1"/>
    <n v="1"/>
    <x v="1"/>
    <n v="0"/>
    <n v="0"/>
    <x v="1"/>
    <d v="2024-06-26T00:00:00"/>
    <m/>
    <x v="1"/>
    <x v="0"/>
    <x v="0"/>
    <x v="1"/>
    <x v="1"/>
    <x v="0"/>
    <b v="1"/>
    <m/>
    <m/>
    <m/>
    <m/>
    <m/>
    <b v="1"/>
    <m/>
    <m/>
    <m/>
    <m/>
    <m/>
    <m/>
    <m/>
    <m/>
    <m/>
    <b v="1"/>
  </r>
  <r>
    <s v="XCiqZc9xP0ioWrw_M48-EWUAGcOC"/>
    <x v="772"/>
    <x v="10"/>
    <s v="Rhoda Gill - Network;Raquel Bolanos - Network;Raquel Bolaños;Nannette Umpierre;Rhoda Gill"/>
    <s v="Test Method;Raw material;am;Skeleton Build"/>
    <s v="sop # 000249 _x000a_ _x000a_config start date:05/27/24 _x000a_all config blocked start date:na _x000a_all config blocked end date:na _x000a_config end date:05/28/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_x000a_ _x000a_important: check global test method"/>
    <x v="2"/>
    <x v="2"/>
    <e v="#VALUE!"/>
    <n v="0"/>
    <x v="1"/>
    <n v="1"/>
    <x v="1"/>
    <n v="0"/>
    <n v="0"/>
    <x v="1"/>
    <n v="0"/>
    <n v="0"/>
    <n v="0"/>
    <n v="0"/>
    <x v="1"/>
    <n v="1"/>
    <n v="1"/>
    <x v="1"/>
    <n v="0"/>
    <n v="0"/>
    <x v="1"/>
    <d v="2024-07-01T00:00:00"/>
    <d v="2024-07-31T00:00:00"/>
    <x v="1"/>
    <x v="0"/>
    <x v="0"/>
    <x v="1"/>
    <x v="1"/>
    <x v="1"/>
    <b v="1"/>
    <m/>
    <m/>
    <m/>
    <m/>
    <m/>
    <b v="1"/>
    <m/>
    <m/>
    <m/>
    <m/>
    <m/>
    <m/>
    <m/>
    <m/>
    <m/>
    <b v="1"/>
  </r>
  <r>
    <s v="64OS9WLpNkG3aA2NuBIlomUADPaz"/>
    <x v="773"/>
    <x v="14"/>
    <s v="Manu Serrano - Network"/>
    <s v="Test Method;Consumable;Raw material;am;Full Build"/>
    <s v="sop # 000248 _x000a_ _x000a_config start date:06/04/24 _x000a_all config blocked start date:na _x000a_all config blocked end date:na _x000a_config end date:06/12/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_x000a_ _x000a_important: check global test method"/>
    <x v="2"/>
    <x v="4"/>
    <e v="#VALUE!"/>
    <n v="0"/>
    <x v="1"/>
    <n v="0"/>
    <x v="0"/>
    <n v="0"/>
    <n v="0"/>
    <x v="1"/>
    <n v="0"/>
    <n v="0"/>
    <n v="0"/>
    <n v="0"/>
    <x v="1"/>
    <n v="0"/>
    <n v="0"/>
    <x v="0"/>
    <n v="0"/>
    <n v="0"/>
    <x v="1"/>
    <m/>
    <m/>
    <x v="0"/>
    <x v="0"/>
    <x v="0"/>
    <x v="0"/>
    <x v="0"/>
    <x v="0"/>
    <b v="1"/>
    <m/>
    <m/>
    <m/>
    <m/>
    <m/>
    <b v="1"/>
    <m/>
    <m/>
    <m/>
    <m/>
    <m/>
    <m/>
    <m/>
    <m/>
    <b v="1"/>
    <m/>
  </r>
  <r>
    <s v="P1t8Hw6xfE2CeOPgbIORkWUAPv6X"/>
    <x v="774"/>
    <x v="17"/>
    <s v="Shannon Blais - Network;Andrea Fuentes;Nannette Umpierre"/>
    <s v="Test Method;Raw material;am;Skeleton Build"/>
    <s v="sop # 000247 _x000a_ _x000a_config start date:06/03/24 _x000a_all config blocked start date:na _x000a_all config blocked end date:na _x000a_config end date:06/03/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4"/>
    <e v="#VALUE!"/>
    <n v="0"/>
    <x v="1"/>
    <n v="1"/>
    <x v="1"/>
    <n v="0"/>
    <n v="0"/>
    <x v="1"/>
    <n v="0"/>
    <n v="0"/>
    <n v="0"/>
    <n v="0"/>
    <x v="1"/>
    <n v="1"/>
    <n v="1"/>
    <x v="1"/>
    <n v="0"/>
    <n v="0"/>
    <x v="1"/>
    <d v="2024-06-26T00:00:00"/>
    <m/>
    <x v="1"/>
    <x v="0"/>
    <x v="0"/>
    <x v="1"/>
    <x v="1"/>
    <x v="0"/>
    <b v="1"/>
    <m/>
    <m/>
    <m/>
    <m/>
    <m/>
    <b v="1"/>
    <m/>
    <m/>
    <m/>
    <m/>
    <m/>
    <m/>
    <m/>
    <m/>
    <m/>
    <b v="1"/>
  </r>
  <r>
    <s v="xD51f1TPn0SHvswGwoMrIGUAPrxD"/>
    <x v="775"/>
    <x v="10"/>
    <s v="Rhoda Gill - Network;Kimberly Mata - Network;Nannette Umpierre"/>
    <s v="Test Method;Raw material;am;Full Build"/>
    <s v="sop # 000236 _x000a_ _x000a_config start date:05/21/24 _x000a_all config blocked start date:na _x000a_all config blocked end date:na _x000a_config end date:05/28/24 _x000a_ -------------------------------------------------------------------------------------------- _x000a_all peer review start date:05/29/24 _x000a_all peer review end date:05/29/24 _x000a_ _x000a_all peer review rework required start date:na _x000a_all pr rework blocked start date:na _x000a_all pr rework blocked end date:na _x000a_all peer review rework required end date:na _x000a_-------------------------------------------------------------------------------------------- _x000a_all ready for demo date:05/29/24 _x000a_ _x000a_all demo date:05/31/2024 _x000a_ _x000a_all demo rework required start date:06/06/24 _x000a_all demo blocked start date:na _x000a_all demo blocked end date:na _x000a_all demo rework required end date:06/06/24 _x000a_-------------------------------------------------------------------------------------------- _x000a_all ready for client verification date:06/06/24;06/18/24 _x000a_ _x000a_verification assigned to: noel mendez _x000a_all client verification start date:06/06/24 _x000a_all client verification end date:06/11/24 _x000a_ _x000a_all client rework required start date:06/14/24 _x000a_all client blocked start date:na _x000a_all client blocked end date:na _x000a_all client rework required end date:06/18/24 _x000a_-------------------------------------------------------------------------------------------- _x000a_verification complete date:06/24/24 _x000a_ready to migrate date:07/30/2024"/>
    <x v="2"/>
    <x v="2"/>
    <e v="#VALUE!"/>
    <n v="0"/>
    <x v="1"/>
    <n v="1"/>
    <x v="1"/>
    <n v="0"/>
    <n v="0"/>
    <x v="1"/>
    <n v="1"/>
    <n v="1"/>
    <e v="#VALUE!"/>
    <n v="0"/>
    <x v="1"/>
    <n v="2"/>
    <n v="1"/>
    <x v="1"/>
    <e v="#VALUE!"/>
    <n v="0"/>
    <x v="1"/>
    <d v="2024-06-24T00:00:00"/>
    <d v="2024-07-30T00:00:00"/>
    <x v="1"/>
    <x v="0"/>
    <x v="1"/>
    <x v="1"/>
    <x v="1"/>
    <x v="1"/>
    <b v="1"/>
    <m/>
    <m/>
    <m/>
    <m/>
    <m/>
    <b v="1"/>
    <m/>
    <m/>
    <m/>
    <m/>
    <m/>
    <m/>
    <m/>
    <m/>
    <b v="1"/>
    <m/>
  </r>
  <r>
    <s v="I7OCxxwMxUqvcfq6UxrjMmUADMdP"/>
    <x v="776"/>
    <x v="10"/>
    <s v="Shannon Blais - Network;Fabian Soma - Network;Nannette Umpierre"/>
    <s v="Test Method;Raw material;am;Skeleton Build"/>
    <s v="sop # 000233 _x000a_ _x000a_config start date:06/10/24 _x000a_all config blocked start date:na _x000a_all config blocked end date:na _x000a_config end date:06/10/24 _x000a_ -------------------------------------------------------------------------------------------- _x000a_all peer review start date:06/14/24 _x000a_all peer review end date:06/14/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4/24  _x000a_ _x000a_verification assigned to: nannette umpierre _x000a_all client verification start date:06/14/24 _x000a_all client verification end date:06/14/24 _x000a_ _x000a_all client rework required start date:na _x000a_all client blocked start date:na _x000a_all client blocked end date:na _x000a_all client rework required end date:na _x000a_-------------------------------------------------------------------------------------------- _x000a_verification complete date:06/14/24 _x000a_ _x000a_ready to migrate date: 7/30/2024 _x000a_ _x000a_important: check global test method"/>
    <x v="2"/>
    <x v="2"/>
    <e v="#VALUE!"/>
    <n v="0"/>
    <x v="1"/>
    <n v="1"/>
    <x v="1"/>
    <n v="0"/>
    <n v="0"/>
    <x v="1"/>
    <n v="0"/>
    <n v="0"/>
    <n v="0"/>
    <n v="0"/>
    <x v="1"/>
    <n v="1"/>
    <n v="1"/>
    <x v="1"/>
    <n v="0"/>
    <n v="0"/>
    <x v="1"/>
    <d v="2024-06-14T00:00:00"/>
    <d v="2024-07-30T00:00:00"/>
    <x v="1"/>
    <x v="0"/>
    <x v="0"/>
    <x v="1"/>
    <x v="1"/>
    <x v="1"/>
    <b v="1"/>
    <m/>
    <m/>
    <m/>
    <m/>
    <m/>
    <b v="1"/>
    <m/>
    <m/>
    <m/>
    <m/>
    <m/>
    <m/>
    <m/>
    <m/>
    <m/>
    <b v="1"/>
  </r>
  <r>
    <s v="xsMmTyrZF0-JqbAQYez2YWUAKBqn"/>
    <x v="777"/>
    <x v="10"/>
    <s v="Carlos Rocha - Network;Alejandra Robles - Network;Nannette Umpierre;Rhoda Gill"/>
    <s v="Test Method;Raw material;am;Skeleton Build"/>
    <s v="sop # 000224 _x000a_ _x000a_config start date:05/29/24 _x000a_all config blocked start date:na _x000a_all config blocked end date:na _x000a_config end date:06/04/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 _x000a_ready to migrate date: 7/29/2024 _x000a_ _x000a_important: check global test method"/>
    <x v="2"/>
    <x v="2"/>
    <e v="#VALUE!"/>
    <n v="0"/>
    <x v="1"/>
    <n v="1"/>
    <x v="1"/>
    <n v="0"/>
    <n v="0"/>
    <x v="1"/>
    <n v="0"/>
    <n v="0"/>
    <n v="0"/>
    <n v="0"/>
    <x v="1"/>
    <n v="1"/>
    <n v="1"/>
    <x v="1"/>
    <n v="0"/>
    <n v="0"/>
    <x v="1"/>
    <d v="2024-06-25T00:00:00"/>
    <d v="2024-07-29T00:00:00"/>
    <x v="1"/>
    <x v="0"/>
    <x v="0"/>
    <x v="1"/>
    <x v="1"/>
    <x v="1"/>
    <b v="1"/>
    <m/>
    <m/>
    <m/>
    <m/>
    <m/>
    <b v="1"/>
    <m/>
    <m/>
    <m/>
    <m/>
    <m/>
    <m/>
    <m/>
    <m/>
    <m/>
    <b v="1"/>
  </r>
  <r>
    <s v="9sIDNSn9KkCFXvlb4GPeCWUAB1cJ"/>
    <x v="778"/>
    <x v="10"/>
    <s v="Nannette Umpierre;Rhoda Gill;Daniela Maroto - Network"/>
    <s v="Test Method;Raw material;am;Skeleton Build"/>
    <s v="sop # a08879 _x000a_ _x000a_config start date:05/20/24 _x000a_all config blocked start date:na _x000a_all config blocked end date:na _x000a_config end date:05/22/24 _x000a_ -------------------------------------------------------------------------------------------- _x000a_all peer review start date:06/20/24 _x000a_all peer review end date:06/20/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20/24  _x000a_ _x000a_verification assigned to: miguel lozada _x000a_all client verification start date:06/20/24 _x000a_all client verification end date:06/21/24 _x000a_ _x000a_all client rework required start date:na _x000a_all client blocked start date:na _x000a_all client blocked end date:na _x000a_all client rework required end date:na _x000a_-------------------------------------------------------------------------------------------- _x000a_verification complete date:07/01/24 _x000a_ready to migrate date:07/31/2024"/>
    <x v="2"/>
    <x v="2"/>
    <e v="#VALUE!"/>
    <n v="0"/>
    <x v="1"/>
    <n v="1"/>
    <x v="1"/>
    <n v="0"/>
    <n v="0"/>
    <x v="1"/>
    <n v="0"/>
    <n v="0"/>
    <n v="0"/>
    <n v="0"/>
    <x v="1"/>
    <n v="1"/>
    <n v="1"/>
    <x v="1"/>
    <n v="0"/>
    <n v="0"/>
    <x v="1"/>
    <d v="2024-07-01T00:00:00"/>
    <d v="2024-07-31T00:00:00"/>
    <x v="1"/>
    <x v="0"/>
    <x v="0"/>
    <x v="1"/>
    <x v="1"/>
    <x v="1"/>
    <b v="1"/>
    <m/>
    <m/>
    <m/>
    <m/>
    <m/>
    <b v="1"/>
    <m/>
    <m/>
    <m/>
    <m/>
    <m/>
    <m/>
    <m/>
    <m/>
    <m/>
    <b v="1"/>
  </r>
  <r>
    <s v="u2GzU8eHdkOv-H4USWvXGWUAI1Yj"/>
    <x v="779"/>
    <x v="13"/>
    <s v="Shannon Blais - Network;Daniela Azofeifa;Nannette Umpierre"/>
    <s v="Test Method;Raw material;am;Skeleton Build"/>
    <s v="sop #a08877 _x000a_ _x000a_config start date:05/31/24 _x000a_all config blocked start date:na _x000a_all config blocked end date:na _x000a_config end date:05/31/24 _x000a_ -------------------------------------------------------------------------------------------- _x000a_all peer review start date:06/18/24 _x000a_all peer review end date:06/18/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8/24  _x000a_ _x000a_verification assigned to: noel mendez _x000a_all client verification start date:06/18/24 _x000a_all client verification end date:06/19/24 _x000a_ _x000a_all client rework required start date:na _x000a_all client blocked start date:na _x000a_all client blocked end date:na _x000a_all client rework required end date:na _x000a_-------------------------------------------------------------------------------------------- _x000a_verification complete date:06/26/24 _x000a_ready to migrate date:"/>
    <x v="2"/>
    <x v="1"/>
    <e v="#VALUE!"/>
    <n v="0"/>
    <x v="1"/>
    <n v="1"/>
    <x v="1"/>
    <n v="0"/>
    <n v="0"/>
    <x v="1"/>
    <n v="0"/>
    <n v="0"/>
    <n v="0"/>
    <n v="0"/>
    <x v="1"/>
    <n v="1"/>
    <n v="1"/>
    <x v="1"/>
    <n v="0"/>
    <n v="0"/>
    <x v="1"/>
    <d v="2024-06-26T00:00:00"/>
    <m/>
    <x v="1"/>
    <x v="0"/>
    <x v="0"/>
    <x v="1"/>
    <x v="1"/>
    <x v="0"/>
    <b v="1"/>
    <m/>
    <m/>
    <m/>
    <m/>
    <m/>
    <b v="1"/>
    <m/>
    <m/>
    <m/>
    <m/>
    <m/>
    <m/>
    <m/>
    <m/>
    <m/>
    <b v="1"/>
  </r>
  <r>
    <s v="AjZOEr8m7EmbKlGwp8sJHWUAMXH0"/>
    <x v="780"/>
    <x v="10"/>
    <s v="Alejandra Robles - Network;Daniela Azofeifa;Nannette Umpierre"/>
    <s v="Test Method;Raw material;am;Skeleton Build"/>
    <s v="sop # a08875 _x000a_ _x000a_config start date:05/30/24 _x000a_all config blocked start date:na _x000a_all config blocked end date:na _x000a_config end date:05/30/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miguel lozada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7/29/2024"/>
    <x v="2"/>
    <x v="2"/>
    <e v="#VALUE!"/>
    <n v="0"/>
    <x v="1"/>
    <n v="1"/>
    <x v="1"/>
    <n v="0"/>
    <n v="0"/>
    <x v="1"/>
    <n v="0"/>
    <n v="0"/>
    <n v="0"/>
    <n v="0"/>
    <x v="1"/>
    <n v="1"/>
    <n v="1"/>
    <x v="1"/>
    <n v="0"/>
    <n v="0"/>
    <x v="1"/>
    <d v="2024-06-25T00:00:00"/>
    <d v="2024-07-29T00:00:00"/>
    <x v="1"/>
    <x v="0"/>
    <x v="0"/>
    <x v="1"/>
    <x v="1"/>
    <x v="1"/>
    <b v="1"/>
    <m/>
    <m/>
    <m/>
    <m/>
    <m/>
    <b v="1"/>
    <m/>
    <m/>
    <m/>
    <m/>
    <m/>
    <m/>
    <m/>
    <m/>
    <m/>
    <b v="1"/>
  </r>
  <r>
    <s v="OO0F3IXLr0q5-ae-_bgHJ2UAGjF4"/>
    <x v="781"/>
    <x v="13"/>
    <s v="Daniel Bonilla - Network;Nannette Umpierre;Rhoda Gill"/>
    <s v="Test Method;Raw material;am;Skeleton Build"/>
    <s v="sop # a08339 _x000a_ _x000a_config start date:05/29/24 _x000a_all config blocked start date:na _x000a_all config blocked end date:na _x000a_config end date:05/31/24 _x000a_ -------------------------------------------------------------------------------------------- _x000a_all peer review start date:06/17/24 _x000a_all peer review end date:06/17/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7/24  _x000a_ _x000a_verification assigned to: noel mendez _x000a_all client verification start date:06/17/24 _x000a_all client verification end date:06/18/24 _x000a_ _x000a_all client rework required start date:na _x000a_all client blocked start date:na _x000a_all client blocked end date:na _x000a_all client rework required end date:na _x000a_-------------------------------------------------------------------------------------------- _x000a_verification complete date:06/25/24  _x000a_ready to migrate date:"/>
    <x v="2"/>
    <x v="1"/>
    <e v="#VALUE!"/>
    <n v="0"/>
    <x v="1"/>
    <n v="1"/>
    <x v="1"/>
    <n v="0"/>
    <n v="0"/>
    <x v="1"/>
    <n v="0"/>
    <n v="0"/>
    <n v="0"/>
    <n v="0"/>
    <x v="1"/>
    <n v="1"/>
    <n v="1"/>
    <x v="1"/>
    <n v="0"/>
    <n v="0"/>
    <x v="1"/>
    <d v="2024-06-25T00:00:00"/>
    <m/>
    <x v="1"/>
    <x v="0"/>
    <x v="0"/>
    <x v="1"/>
    <x v="1"/>
    <x v="0"/>
    <b v="1"/>
    <m/>
    <m/>
    <m/>
    <m/>
    <m/>
    <b v="1"/>
    <m/>
    <m/>
    <m/>
    <m/>
    <m/>
    <m/>
    <m/>
    <m/>
    <m/>
    <b v="1"/>
  </r>
  <r>
    <s v="OcbdLhE7wkiFXa94mF0NhGUAIvr_"/>
    <x v="782"/>
    <x v="10"/>
    <s v="Daniel Bonilla - Network;Nannette Umpierre;Rhoda Gill"/>
    <s v="Test Method;Consumable;Raw material;am;Skeleton Build"/>
    <s v="sop # a08337 _x000a_ _x000a_config start date:05/15/24 _x000a_all config blocked start date:na _x000a_all config blocked end date:na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  _x000a_ _x000a_verification assigned to: nannette umpierre _x000a_all client verification start date:06/13/24;06/14/24 _x000a_all client verification end date:06/13/24;06/14/24 _x000a_ _x000a_all client rework required start date:06/14/24 _x000a_all client blocked start date:na _x000a_all client blocked end date:na _x000a_all client rework required end date:06/14/24 _x000a_-------------------------------------------------------------------------------------------- _x000a_verification complete date:06/14/24 _x000a_ready to migrate date:07/30/2024"/>
    <x v="2"/>
    <x v="2"/>
    <e v="#VALUE!"/>
    <n v="0"/>
    <x v="1"/>
    <n v="1"/>
    <x v="1"/>
    <n v="0"/>
    <n v="0"/>
    <x v="1"/>
    <n v="0"/>
    <n v="0"/>
    <n v="0"/>
    <n v="0"/>
    <x v="1"/>
    <n v="1"/>
    <n v="2"/>
    <x v="1"/>
    <e v="#VALUE!"/>
    <n v="0"/>
    <x v="1"/>
    <d v="2024-06-14T00:00:00"/>
    <d v="2024-07-30T00:00:00"/>
    <x v="1"/>
    <x v="0"/>
    <x v="0"/>
    <x v="1"/>
    <x v="1"/>
    <x v="1"/>
    <b v="1"/>
    <m/>
    <m/>
    <m/>
    <m/>
    <m/>
    <b v="1"/>
    <m/>
    <m/>
    <m/>
    <m/>
    <m/>
    <m/>
    <m/>
    <m/>
    <m/>
    <b v="1"/>
  </r>
  <r>
    <s v="1IldoMZhNEuckY3vLlQC2mUAC_aA"/>
    <x v="783"/>
    <x v="10"/>
    <s v="Kimberly Mata - Network;Shannon Blais - Network;Nannette Umpierre"/>
    <s v="Test Method;Raw material;am;Skeleton Build"/>
    <s v="sop # a08335 _x000a_ _x000a_config start date:06/10/24 _x000a_all config blocked start date:na _x000a_all config blocked end date:na _x000a_config end date:06/10/24 _x000a_ -------------------------------------------------------------------------------------------- _x000a_all peer review start date:06/13/24 _x000a_all peer review end date:06/13/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3/24  _x000a_ _x000a_verification assigned to: yvette lopez _x000a_all client verification start date:06/13/24 _x000a_all client verification end date:06/14/24 _x000a_ _x000a_all client rework required start date:06/14/24 _x000a_all client blocked start date:na _x000a_all client blocked end date:na _x000a_all client rework required end date:06/14/24 _x000a_-------------------------------------------------------------------------------------------- _x000a_verification complete date:06/14/24 _x000a_ _x000a_ready to migrate date: 7/30/2024"/>
    <x v="2"/>
    <x v="2"/>
    <e v="#VALUE!"/>
    <n v="0"/>
    <x v="1"/>
    <n v="1"/>
    <x v="1"/>
    <n v="0"/>
    <n v="0"/>
    <x v="1"/>
    <n v="0"/>
    <n v="0"/>
    <n v="0"/>
    <n v="0"/>
    <x v="1"/>
    <n v="1"/>
    <n v="1"/>
    <x v="1"/>
    <e v="#VALUE!"/>
    <n v="0"/>
    <x v="1"/>
    <d v="2024-06-14T00:00:00"/>
    <d v="2024-07-30T00:00:00"/>
    <x v="1"/>
    <x v="0"/>
    <x v="0"/>
    <x v="1"/>
    <x v="1"/>
    <x v="1"/>
    <b v="1"/>
    <m/>
    <m/>
    <m/>
    <m/>
    <m/>
    <b v="1"/>
    <m/>
    <m/>
    <m/>
    <m/>
    <m/>
    <m/>
    <m/>
    <m/>
    <m/>
    <b v="1"/>
  </r>
  <r>
    <s v="oTvsRz4I20aWmCykasTwkmUANhg2"/>
    <x v="784"/>
    <x v="10"/>
    <s v="Rhoda Gill - Network;Kimberly Mata - Network;Nannette Umpierre"/>
    <s v="Test Method;Consumable;am;Skeleton Build;Finished Product"/>
    <s v="sop # b13140 _x000a_ _x000a_config start date:03/06/24 _x000a_all config blocked start date:05/17/24  _x000a_all config blocked end date:05/21/24 _x000a_config end date:05/22/24 _x000a_ -------------------------------------------------------------------------------------------- _x000a_all peer review start date:06/12/24 _x000a_all peer review end date:06/12/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2/24;06/14/24 _x000a_ _x000a_verification assigned to: nannette umpierre _x000a_all client verification start date:06/12/24;06/14/24 _x000a_all client verification end date:06/12/24;06/14/24 _x000a_ _x000a_all client rework required start date:06/14/24 _x000a_all client blocked start date:na _x000a_all client blocked end date:na _x000a_all client rework required end date:06/14/24 _x000a_-------------------------------------------------------------------------------------------- _x000a_verification complete date:06/14/24 _x000a_ _x000a_ready to migrate date: 7/29/2024 _x000a_ _x000a_05/17/24: blocked, waiting on information from brian _x000a_05/21/24: client informed change from full build to resultsonly"/>
    <x v="2"/>
    <x v="2"/>
    <e v="#VALUE!"/>
    <e v="#VALUE!"/>
    <x v="1"/>
    <n v="1"/>
    <x v="1"/>
    <n v="0"/>
    <n v="0"/>
    <x v="1"/>
    <n v="0"/>
    <n v="0"/>
    <n v="0"/>
    <n v="0"/>
    <x v="1"/>
    <n v="2"/>
    <n v="2"/>
    <x v="1"/>
    <e v="#VALUE!"/>
    <n v="0"/>
    <x v="1"/>
    <d v="2024-06-14T00:00:00"/>
    <d v="2024-07-29T00:00:00"/>
    <x v="1"/>
    <x v="0"/>
    <x v="0"/>
    <x v="1"/>
    <x v="1"/>
    <x v="1"/>
    <b v="1"/>
    <m/>
    <m/>
    <m/>
    <m/>
    <m/>
    <m/>
    <m/>
    <m/>
    <m/>
    <m/>
    <b v="1"/>
    <m/>
    <m/>
    <m/>
    <m/>
    <b v="1"/>
  </r>
  <r>
    <s v="olqyTVdVIUayCqyQTSN2v2UALjGW"/>
    <x v="785"/>
    <x v="5"/>
    <s v="Raquel Bolaños"/>
    <s v="Test Method;Consumable;Empower ;Skeleton Build;Finished Product"/>
    <s v="sop # a00137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n v="0"/>
    <n v="0"/>
    <x v="1"/>
    <n v="0"/>
    <x v="0"/>
    <n v="0"/>
    <n v="0"/>
    <x v="1"/>
    <n v="0"/>
    <n v="0"/>
    <n v="0"/>
    <n v="0"/>
    <x v="1"/>
    <n v="0"/>
    <n v="0"/>
    <x v="0"/>
    <n v="0"/>
    <n v="0"/>
    <x v="1"/>
    <m/>
    <m/>
    <x v="0"/>
    <x v="0"/>
    <x v="0"/>
    <x v="0"/>
    <x v="0"/>
    <x v="0"/>
    <b v="1"/>
    <m/>
    <m/>
    <m/>
    <m/>
    <m/>
    <m/>
    <m/>
    <m/>
    <m/>
    <m/>
    <b v="1"/>
    <b v="1"/>
    <m/>
    <m/>
    <m/>
    <b v="1"/>
  </r>
  <r>
    <s v="rT70cNEc-UGAN-6hUqUQrWUABE5S"/>
    <x v="786"/>
    <x v="12"/>
    <s v="Melanny Camacho - Network"/>
    <s v="Test Method;Consumable;Finished Product"/>
    <s v="sop # b10166 _x000a_ _x000a_config start date:03/06/24 _x000a_all config blocked start date:na _x000a_all config blocked end date:na _x000a_config end date:05/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e v="#VALUE!"/>
    <n v="0"/>
    <x v="1"/>
    <n v="0"/>
    <x v="0"/>
    <n v="0"/>
    <n v="0"/>
    <x v="1"/>
    <n v="0"/>
    <n v="0"/>
    <n v="0"/>
    <n v="0"/>
    <x v="1"/>
    <n v="0"/>
    <n v="0"/>
    <x v="0"/>
    <n v="0"/>
    <n v="0"/>
    <x v="1"/>
    <m/>
    <m/>
    <x v="0"/>
    <x v="0"/>
    <x v="0"/>
    <x v="0"/>
    <x v="0"/>
    <x v="0"/>
    <b v="1"/>
    <m/>
    <m/>
    <m/>
    <m/>
    <m/>
    <m/>
    <m/>
    <m/>
    <m/>
    <m/>
    <b v="1"/>
    <m/>
    <m/>
    <m/>
    <m/>
    <m/>
  </r>
  <r>
    <s v="_5uv30YOJ0KKI31vPQb1-2UAGGgP"/>
    <x v="787"/>
    <x v="4"/>
    <s v="Ivan Solis - Network"/>
    <s v="Test Method;Consumable;Empower ;Finished Product;Full Build"/>
    <s v="sop # b09143 _x000a_ _x000a_config start date: _x000a_all config blocked start date:  _x000a_all config blocked end date: _x000a_config end date: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3"/>
    <n v="0"/>
    <n v="0"/>
    <x v="1"/>
    <n v="0"/>
    <x v="0"/>
    <n v="0"/>
    <n v="0"/>
    <x v="1"/>
    <n v="0"/>
    <n v="0"/>
    <n v="0"/>
    <n v="0"/>
    <x v="1"/>
    <n v="0"/>
    <n v="0"/>
    <x v="0"/>
    <n v="0"/>
    <n v="0"/>
    <x v="1"/>
    <m/>
    <m/>
    <x v="0"/>
    <x v="0"/>
    <x v="0"/>
    <x v="0"/>
    <x v="0"/>
    <x v="0"/>
    <b v="1"/>
    <m/>
    <m/>
    <m/>
    <m/>
    <m/>
    <m/>
    <m/>
    <m/>
    <m/>
    <m/>
    <b v="1"/>
    <b v="1"/>
    <m/>
    <m/>
    <b v="1"/>
    <m/>
  </r>
  <r>
    <s v="UxZWk5AR60yAsj4f_utCzmUAOOo2"/>
    <x v="788"/>
    <x v="14"/>
    <s v="Ivan Solis - Network"/>
    <s v="Test Method;Consumable;am;Finished Product;Full Build"/>
    <s v="sop # b05416 _x000a_ _x000a_config start date:05/15/24 _x000a_all config blocked start date:na _x000a_all config blocked end date:na _x000a_config end date:06/21/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m/>
    <b v="1"/>
    <m/>
    <m/>
    <m/>
    <b v="1"/>
    <m/>
  </r>
  <r>
    <s v="77iqoZOCSkGbr_3bvZdFIGUAOj7X"/>
    <x v="789"/>
    <x v="14"/>
    <s v="Tiago Hasuda - Network;Rhoda Gill"/>
    <s v="Test Method;Consumable;am;Finished Product;Full Build"/>
    <s v="sop # 000309 _x000a_ _x000a_config start date:03/25/24 _x000a_all config blocked start date:na _x000a_all config blocked end date:na _x000a_config end date:05/24/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n v="0"/>
    <x v="1"/>
    <n v="0"/>
    <x v="0"/>
    <n v="0"/>
    <n v="0"/>
    <x v="1"/>
    <n v="0"/>
    <n v="0"/>
    <n v="0"/>
    <n v="0"/>
    <x v="1"/>
    <n v="0"/>
    <n v="0"/>
    <x v="0"/>
    <n v="0"/>
    <n v="0"/>
    <x v="1"/>
    <m/>
    <m/>
    <x v="0"/>
    <x v="0"/>
    <x v="0"/>
    <x v="0"/>
    <x v="0"/>
    <x v="0"/>
    <b v="1"/>
    <m/>
    <m/>
    <m/>
    <m/>
    <m/>
    <m/>
    <m/>
    <m/>
    <m/>
    <m/>
    <b v="1"/>
    <m/>
    <m/>
    <m/>
    <b v="1"/>
    <m/>
  </r>
  <r>
    <s v="VGimNqXZZkaXHkxypN1mFWUAGv9g"/>
    <x v="790"/>
    <x v="17"/>
    <s v="Joseph Alexander - Network;Nannette Umpierre;Rhoda Gill"/>
    <s v="Test Method;Consumable;am;Skeleton Build;Finished Product"/>
    <s v="sop # 000323 and g1324 _x000a_ _x000a_config start date:03/06/24 _x000a_ _x000a_all config blocked start date:na _x000a_ _x000a_all config blocked end date:na  _x000a_ _x000a_config end date:05/22/24 _x000a_ _x000a_ -------------------------------------------------------------------------------------------- _x000a_ _x000a_all peer review start date:06/13/24 _x000a_ _x000a_all peer review end date:06/13/24 _x000a_ _x000a_all peer review rework required start date:07/10/24 _x000a_ _x000a_all pr rework blocked start date:na  _x000a_ _x000a_all pr rework blocked end date:na  _x000a_ _x000a_all peer review rework required end date:07/10/24 _x000a_ _x000a_-------------------------------------------------------------------------------------------- _x000a_ _x000a_all ready for demo date: na  _x000a_ _x000a_all demo date: na  _x000a_ _x000a_all demo rework required start date:na  _x000a_ _x000a_all demo blocked start date:na  _x000a_ _x000a_all demo blocked end date:na _x000a_ _x000a_all demo rework required end date:na  _x000a_ _x000a_-------------------------------------------------------------------------------------------- _x000a_ _x000a_all ready for client verification date:06/13/24 _x000a_ _x000a_verification assigned to: noel mendez  _x000a_ _x000a_all client verification start date:06/13/24 _x000a_ _x000a_all client verification end date:06/14/24 _x000a_ _x000a_all client rework required start date:na _x000a_ _x000a_all client blocked start date:na _x000a_ _x000a_all client blocked end date:na  _x000a_ _x000a_all client rework required end date:na _x000a_ _x000a_------------------------------------------------------------------------------------------- _x000a_ _x000a_verification complete date:06/14/24 _x000a_ _x000a_ready to migrate date: _x000a_ _x000a_**important: check global test method**"/>
    <x v="2"/>
    <x v="4"/>
    <e v="#VALUE!"/>
    <n v="0"/>
    <x v="1"/>
    <n v="1"/>
    <x v="1"/>
    <e v="#VALUE!"/>
    <n v="0"/>
    <x v="1"/>
    <n v="0"/>
    <n v="0"/>
    <n v="0"/>
    <n v="0"/>
    <x v="1"/>
    <n v="1"/>
    <n v="1"/>
    <x v="1"/>
    <n v="0"/>
    <n v="0"/>
    <x v="1"/>
    <d v="2024-06-14T00:00:00"/>
    <m/>
    <x v="1"/>
    <x v="1"/>
    <x v="0"/>
    <x v="1"/>
    <x v="1"/>
    <x v="0"/>
    <b v="1"/>
    <m/>
    <m/>
    <m/>
    <m/>
    <m/>
    <m/>
    <m/>
    <m/>
    <m/>
    <m/>
    <b v="1"/>
    <m/>
    <m/>
    <m/>
    <m/>
    <b v="1"/>
  </r>
  <r>
    <s v="i5HSrQt8NUetlyxwprmGymUANmbN"/>
    <x v="791"/>
    <x v="14"/>
    <s v="Carlos Rocha - Network;Melanny Camacho - Network;Manu Serrano - Network"/>
    <s v="Test Method;Consumable;am;Skeleton Build;Finished Product"/>
    <s v="sop # 000349 _x000a_ _x000a_config start date:04/05/24;06/06/24;07/19/24 _x000a_all config blocked start date:na _x000a_all config blocked end date:na _x000a_config end date:05/22/24;07/18/24;07/30/20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 _x000a_ _x000a_additional information:"/>
    <x v="2"/>
    <x v="4"/>
    <e v="#VALUE!"/>
    <n v="0"/>
    <x v="1"/>
    <n v="0"/>
    <x v="0"/>
    <n v="0"/>
    <n v="0"/>
    <x v="1"/>
    <n v="0"/>
    <n v="0"/>
    <n v="0"/>
    <n v="0"/>
    <x v="1"/>
    <n v="0"/>
    <n v="0"/>
    <x v="0"/>
    <n v="0"/>
    <n v="0"/>
    <x v="1"/>
    <m/>
    <m/>
    <x v="0"/>
    <x v="0"/>
    <x v="0"/>
    <x v="0"/>
    <x v="0"/>
    <x v="0"/>
    <b v="1"/>
    <m/>
    <m/>
    <m/>
    <m/>
    <m/>
    <m/>
    <m/>
    <m/>
    <m/>
    <m/>
    <b v="1"/>
    <m/>
    <m/>
    <m/>
    <m/>
    <b v="1"/>
  </r>
  <r>
    <s v="qqvA3DeNkUKWUsYnufjCjmUAIzGG"/>
    <x v="792"/>
    <x v="10"/>
    <s v="Joshua Vargas - Network;Rhoda Gill - Network;Raquel Bolanos - Network;Raquel Bolaños;Nannette Umpierre;Rhoda Gill"/>
    <s v="Test Method;am;Skeleton Build;Finished Product"/>
    <s v="sop # b12977 _x000a_ _x000a_config start date:03/18/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06/19/24  _x000a_ _x000a_verification assigned to: noel mendez _x000a_all client verification start date:06/19/24 _x000a_all client verification end date:06/20/24 _x000a_ _x000a_all client rework required start date: 07/08/2024 _x000a_all client blocked start date:na _x000a_all client blocked end date:na _x000a_all client rework required end date: 07/08/2024 _x000a_-------------------------------------------------------------------------------------------- _x000a_verification complete date: 07/10/2024 _x000a_ready to migrate date:07/30/2024"/>
    <x v="2"/>
    <x v="2"/>
    <e v="#VALUE!"/>
    <n v="0"/>
    <x v="1"/>
    <n v="1"/>
    <x v="1"/>
    <n v="0"/>
    <n v="0"/>
    <x v="1"/>
    <n v="0"/>
    <n v="0"/>
    <n v="0"/>
    <n v="0"/>
    <x v="1"/>
    <n v="1"/>
    <n v="1"/>
    <x v="1"/>
    <e v="#VALUE!"/>
    <n v="0"/>
    <x v="1"/>
    <d v="2024-07-10T00:00:00"/>
    <d v="2024-07-30T00:00:00"/>
    <x v="1"/>
    <x v="0"/>
    <x v="0"/>
    <x v="1"/>
    <x v="1"/>
    <x v="1"/>
    <b v="1"/>
    <m/>
    <m/>
    <m/>
    <m/>
    <m/>
    <m/>
    <m/>
    <m/>
    <m/>
    <m/>
    <b v="1"/>
    <m/>
    <m/>
    <m/>
    <m/>
    <b v="1"/>
  </r>
  <r>
    <s v="40-yp190DkepOfmfoWYoY2UAEPKL"/>
    <x v="793"/>
    <x v="12"/>
    <s v="Javier Coronado - Network"/>
    <s v="Test Method;Consumable;Finished Product;Do not delete"/>
    <s v="sop # b06538 _x000a_ _x000a_config start date:03/18/24 _x000a_all config blocked start date:na _x000a_all config blocked end date:na _x000a_config end date:04/17/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0"/>
    <e v="#VALUE!"/>
    <n v="0"/>
    <x v="1"/>
    <n v="0"/>
    <x v="0"/>
    <n v="0"/>
    <n v="0"/>
    <x v="1"/>
    <n v="0"/>
    <n v="0"/>
    <n v="0"/>
    <n v="0"/>
    <x v="1"/>
    <n v="0"/>
    <n v="0"/>
    <x v="0"/>
    <n v="0"/>
    <n v="0"/>
    <x v="1"/>
    <m/>
    <m/>
    <x v="0"/>
    <x v="0"/>
    <x v="0"/>
    <x v="0"/>
    <x v="0"/>
    <x v="0"/>
    <b v="1"/>
    <m/>
    <m/>
    <m/>
    <m/>
    <m/>
    <m/>
    <m/>
    <m/>
    <m/>
    <m/>
    <b v="1"/>
    <m/>
    <m/>
    <m/>
    <m/>
    <m/>
  </r>
  <r>
    <s v="b7WEyFXoTUqsYzQRxm0N3mUAPJjS"/>
    <x v="794"/>
    <x v="14"/>
    <s v="Andres Esquivel - Network"/>
    <s v="Test Method;Consumable;am;Finished Product;Full Build"/>
    <s v="sop # g1982 _x000a_ _x000a_config start date:05/03/24 _x000a_all config blocked start date: _x000a_all config blocked end date: _x000a_config end date:05/15/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05/31/2024 _x000a_ _x000a_all demo date:05/31/2024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rework start date: 6/17/2024 (specs)rework end date: 6/21/2024"/>
    <x v="2"/>
    <x v="4"/>
    <e v="#VALUE!"/>
    <n v="0"/>
    <x v="1"/>
    <n v="0"/>
    <x v="0"/>
    <n v="0"/>
    <n v="0"/>
    <x v="1"/>
    <n v="1"/>
    <n v="1"/>
    <n v="0"/>
    <n v="0"/>
    <x v="1"/>
    <n v="0"/>
    <n v="0"/>
    <x v="0"/>
    <n v="0"/>
    <n v="0"/>
    <x v="1"/>
    <m/>
    <m/>
    <x v="0"/>
    <x v="0"/>
    <x v="1"/>
    <x v="0"/>
    <x v="0"/>
    <x v="0"/>
    <b v="1"/>
    <m/>
    <m/>
    <m/>
    <m/>
    <m/>
    <m/>
    <m/>
    <m/>
    <m/>
    <m/>
    <b v="1"/>
    <m/>
    <m/>
    <m/>
    <b v="1"/>
    <m/>
  </r>
  <r>
    <s v="DX8hT-11EUSp1FA3flNGKGUANVYj"/>
    <x v="795"/>
    <x v="4"/>
    <s v="Daniel Bonilla - Network"/>
    <s v="Test Method;Consumable;Empower ;Skeleton Build;Finished Product"/>
    <s v="sop # b06093 _x000a_ _x000a_config start date:  _x000a_ _x000a_all config blocked start date:  _x000a_ _x000a_all config blocked end date:   _x000a_ _x000a_config end date:  _x000a_ _x000a_ -------------------------------------------------------------------------------------------- _x000a_ _x000a_all peer review start date:  _x000a_ _x000a_all peer review end date:  _x000a_ _x000a_all peer review rework required start date:  _x000a_ _x000a_all pr rework blocked start date:  _x000a_ _x000a_all pr rework blocked end date:   _x000a_ _x000a_all peer review rework required end date:  _x000a_ _x000a_-------------------------------------------------------------------------------------------- _x000a_ _x000a_all ready for demo date:  _x000a_ _x000a_all demo date:  _x000a_ _x000a_all demo rework required start date:  _x000a_ _x000a_all demo blocked start date:  _x000a_ _x000a_all demo blocked end date:  _x000a_ _x000a_all demo rework required end date:  _x000a_ _x000a_-------------------------------------------------------------------------------------------- _x000a_ _x000a_all ready for client verification date:  _x000a_ _x000a_verification assigned to:   _x000a_ _x000a_all client verification start date:  _x000a_ _x000a_all client verification end date:  _x000a_ _x000a_all client rework required start date:  _x000a_ _x000a_all client blocked start date:  _x000a_ _x000a_all client blocked end date:   _x000a_ _x000a_all client rework required end date:   _x000a_ _x000a_------------------------------------------------------------------------------------------- _x000a_ _x000a_verification complete date:   _x000a_ _x000a_ready to migrate date:"/>
    <x v="2"/>
    <x v="3"/>
    <n v="0"/>
    <n v="0"/>
    <x v="1"/>
    <n v="0"/>
    <x v="0"/>
    <n v="0"/>
    <n v="0"/>
    <x v="1"/>
    <n v="0"/>
    <n v="0"/>
    <n v="0"/>
    <n v="0"/>
    <x v="1"/>
    <n v="0"/>
    <n v="0"/>
    <x v="0"/>
    <n v="0"/>
    <n v="0"/>
    <x v="1"/>
    <m/>
    <m/>
    <x v="0"/>
    <x v="0"/>
    <x v="0"/>
    <x v="0"/>
    <x v="0"/>
    <x v="0"/>
    <b v="1"/>
    <m/>
    <m/>
    <m/>
    <m/>
    <m/>
    <m/>
    <m/>
    <m/>
    <m/>
    <m/>
    <b v="1"/>
    <b v="1"/>
    <m/>
    <m/>
    <m/>
    <b v="1"/>
  </r>
  <r>
    <s v="uPxHB5iT6EC2kWBcJhE33mUAEyyV"/>
    <x v="796"/>
    <x v="7"/>
    <s v="Fabian Soma - Network;Rhoda Gill"/>
    <s v="Test Method;Consumable;Finished Product;Full Build"/>
    <s v="sop # a13454 _x000a_ _x000a_config start date:03/20/24 _x000a_all config blocked start date:04/04/24  _x000a_all config blocked end date:04/24/24 _x000a_config end date:05/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ready to migrate date:"/>
    <x v="2"/>
    <x v="4"/>
    <e v="#VALUE!"/>
    <e v="#VALUE!"/>
    <x v="1"/>
    <n v="0"/>
    <x v="0"/>
    <n v="0"/>
    <n v="0"/>
    <x v="1"/>
    <n v="0"/>
    <n v="0"/>
    <n v="0"/>
    <n v="0"/>
    <x v="1"/>
    <n v="0"/>
    <n v="0"/>
    <x v="0"/>
    <n v="0"/>
    <n v="0"/>
    <x v="1"/>
    <m/>
    <m/>
    <x v="0"/>
    <x v="0"/>
    <x v="0"/>
    <x v="0"/>
    <x v="0"/>
    <x v="0"/>
    <b v="1"/>
    <m/>
    <m/>
    <m/>
    <m/>
    <m/>
    <m/>
    <m/>
    <m/>
    <m/>
    <m/>
    <b v="1"/>
    <m/>
    <m/>
    <m/>
    <b v="1"/>
    <m/>
  </r>
  <r>
    <s v="DpqiW3LmMUi3dV3WpvYGg2UANJJy"/>
    <x v="797"/>
    <x v="7"/>
    <s v="Carlos Rocha - Network"/>
    <s v="Test Method;Consumable;am;Finished Product;Full Build"/>
    <s v="sop # 000310 _x000a_ _x000a_config start date:04/06/24 _x000a_all config blocked start date: _x000a_all config blocked end date: _x000a_config end date: 7/23/24 _x000a_ -------------------------------------------------------------------------------------------- _x000a_all peer review start date: _x000a_all peer review end date: _x000a_ _x000a_all peer review rework required start date: _x000a_all pr rework blocked start date: _x000a_all pr rework blocked end date: _x000a_all peer review rework required end date: _x000a_-------------------------------------------------------------------------------------------- _x000a_all ready for demo date: _x000a_ _x000a_all demo date: _x000a_ _x000a_all demo rework required start date: _x000a_all demo blocked start date: _x000a_all demo blocked end date: _x000a_all demo rework required end date: _x000a_-------------------------------------------------------------------------------------------- _x000a_all ready for client verification date:  _x000a_ _x000a_verification assigned to: _x000a_all client verification start date: _x000a_all client verification end date: _x000a_ _x000a_all client rework required start date: _x000a_all client blocked start date: _x000a_all client blocked end date: _x000a_all client rework required end date: _x000a_-------------------------------------------------------------------------------------------- _x000a_verification complete date: _x000a_ _x000a_ready to migrate date: _x000a_ _x000a_important: check global test method"/>
    <x v="2"/>
    <x v="4"/>
    <e v="#VALUE!"/>
    <n v="0"/>
    <x v="1"/>
    <n v="0"/>
    <x v="0"/>
    <n v="0"/>
    <n v="0"/>
    <x v="1"/>
    <n v="0"/>
    <n v="0"/>
    <n v="0"/>
    <n v="0"/>
    <x v="1"/>
    <n v="0"/>
    <n v="0"/>
    <x v="0"/>
    <n v="0"/>
    <n v="0"/>
    <x v="1"/>
    <m/>
    <m/>
    <x v="0"/>
    <x v="0"/>
    <x v="0"/>
    <x v="0"/>
    <x v="0"/>
    <x v="0"/>
    <b v="1"/>
    <m/>
    <m/>
    <m/>
    <m/>
    <m/>
    <m/>
    <m/>
    <m/>
    <m/>
    <m/>
    <b v="1"/>
    <m/>
    <m/>
    <m/>
    <b v="1"/>
    <m/>
  </r>
  <r>
    <s v="zJh-zw3c-UmdN4mgFf_5a2UAHEXu"/>
    <x v="798"/>
    <x v="10"/>
    <s v="Nannette Umpierre;Rhoda Gill;Daniela Maroto - Network;Noel Mendez - Network"/>
    <s v="Test Method;am;Skeleton Build;Finished Product"/>
    <s v="sop # b05385 _x000a_ _x000a_config start date:03/20/24 _x000a_all config blocked start date:na _x000a_all config blocked end date:na _x000a_config end date:05/22/24 _x000a_ -------------------------------------------------------------------------------------------- _x000a_all peer review start date:06/19/24 _x000a_all peer review end date:06/19/24 _x000a_ _x000a_all peer review rework required start date:na _x000a_all pr rework blocked start date:na _x000a_all pr rework blocked end date:na _x000a_all peer review rework required end date:na _x000a_-------------------------------------------------------------------------------------------- _x000a_all ready for demo date:na _x000a_ _x000a_all demo date:na _x000a_ _x000a_all demo rework required start date:na _x000a_all demo blocked start date:na _x000a_all demo blocked end date:na _x000a_all demo rework required end date:na _x000a_-------------------------------------------------------------------------------------------- _x000a_all ready for client verification date: 06/19/24; 07/09/2024 _x000a_ _x000a_verification assigned to: noel mendez _x000a_all client verification start date:06/19/24 _x000a_all client verification end date:06/21/24 _x000a_ _x000a_all client rework required start date: 07/09/2024;07/11/2024 _x000a_all client blocked start date:na _x000a_all client blocked end date:na _x000a_all client rework required end date: 7/09/2024;07/11/2024 _x000a_-------------------------------------------------------------------------------------------- _x000a_verification complete date: 07/11/2024 _x000a_ready to migrate date:07/31/2024"/>
    <x v="2"/>
    <x v="2"/>
    <e v="#VALUE!"/>
    <n v="0"/>
    <x v="1"/>
    <n v="1"/>
    <x v="1"/>
    <n v="0"/>
    <n v="0"/>
    <x v="1"/>
    <n v="0"/>
    <n v="0"/>
    <n v="0"/>
    <n v="0"/>
    <x v="1"/>
    <n v="2"/>
    <n v="1"/>
    <x v="1"/>
    <e v="#VALUE!"/>
    <n v="0"/>
    <x v="1"/>
    <d v="2024-07-11T00:00:00"/>
    <d v="2024-07-31T00:00:00"/>
    <x v="1"/>
    <x v="0"/>
    <x v="0"/>
    <x v="1"/>
    <x v="1"/>
    <x v="1"/>
    <b v="1"/>
    <m/>
    <m/>
    <m/>
    <m/>
    <m/>
    <m/>
    <m/>
    <m/>
    <m/>
    <m/>
    <b v="1"/>
    <m/>
    <m/>
    <m/>
    <m/>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76428-D9C2-4379-B355-6D14AE9EC9A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2:Y872" firstHeaderRow="0" firstDataRow="1" firstDataCol="1" rowPageCount="1" colPageCount="1"/>
  <pivotFields count="52">
    <pivotField showAll="0"/>
    <pivotField axis="axisRow" showAll="0">
      <items count="877">
        <item m="1" x="826"/>
        <item x="420"/>
        <item x="433"/>
        <item x="471"/>
        <item x="470"/>
        <item x="460"/>
        <item x="459"/>
        <item x="456"/>
        <item x="455"/>
        <item x="419"/>
        <item x="668"/>
        <item x="663"/>
        <item m="1" x="829"/>
        <item x="659"/>
        <item x="656"/>
        <item x="654"/>
        <item x="652"/>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454"/>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m="1" x="799"/>
        <item m="1" x="804"/>
        <item x="322"/>
        <item x="333"/>
        <item m="1" x="816"/>
        <item m="1" x="802"/>
        <item m="1" x="805"/>
        <item x="350"/>
        <item x="301"/>
        <item x="288"/>
        <item x="318"/>
        <item x="317"/>
        <item x="316"/>
        <item x="315"/>
        <item x="314"/>
        <item x="313"/>
        <item x="306"/>
        <item x="307"/>
        <item x="312"/>
        <item x="311"/>
        <item x="308"/>
        <item x="310"/>
        <item x="309"/>
        <item m="1" x="869"/>
        <item m="1" x="803"/>
        <item x="324"/>
        <item x="452"/>
        <item x="451"/>
        <item x="450"/>
        <item x="449"/>
        <item m="1" x="872"/>
        <item x="448"/>
        <item x="196"/>
        <item x="447"/>
        <item x="446"/>
        <item x="445"/>
        <item x="444"/>
        <item x="453"/>
        <item x="457"/>
        <item x="197"/>
        <item x="458"/>
        <item x="461"/>
        <item x="462"/>
        <item x="463"/>
        <item x="464"/>
        <item x="465"/>
        <item x="195"/>
        <item x="667"/>
        <item x="666"/>
        <item x="665"/>
        <item x="664"/>
        <item x="466"/>
        <item x="662"/>
        <item x="192"/>
        <item x="661"/>
        <item x="467"/>
        <item m="1" x="827"/>
        <item x="658"/>
        <item x="468"/>
        <item x="657"/>
        <item x="655"/>
        <item x="653"/>
        <item x="332"/>
        <item x="412"/>
        <item x="287"/>
        <item x="286"/>
        <item m="1" x="801"/>
        <item x="370"/>
        <item x="365"/>
        <item x="376"/>
        <item x="285"/>
        <item x="284"/>
        <item x="490"/>
        <item x="509"/>
        <item m="1" x="848"/>
        <item x="161"/>
        <item m="1" x="843"/>
        <item m="1" x="852"/>
        <item m="1" x="853"/>
        <item m="1" x="844"/>
        <item x="162"/>
        <item x="164"/>
        <item m="1" x="851"/>
        <item x="165"/>
        <item x="163"/>
        <item x="145"/>
        <item x="144"/>
        <item x="140"/>
        <item x="157"/>
        <item x="142"/>
        <item x="153"/>
        <item x="146"/>
        <item x="149"/>
        <item x="151"/>
        <item x="141"/>
        <item x="143"/>
        <item x="148"/>
        <item x="147"/>
        <item x="154"/>
        <item x="159"/>
        <item x="160"/>
        <item x="158"/>
        <item x="156"/>
        <item x="150"/>
        <item x="152"/>
        <item x="155"/>
        <item x="417"/>
        <item x="437"/>
        <item x="416"/>
        <item x="403"/>
        <item x="125"/>
        <item x="516"/>
        <item x="479"/>
        <item m="1" x="828"/>
        <item x="385"/>
        <item x="363"/>
        <item x="346"/>
        <item x="282"/>
        <item m="1" x="813"/>
        <item x="344"/>
        <item x="289"/>
        <item x="124"/>
        <item x="339"/>
        <item x="348"/>
        <item x="343"/>
        <item x="392"/>
        <item x="342"/>
        <item x="323"/>
        <item x="428"/>
        <item m="1" x="822"/>
        <item x="373"/>
        <item x="362"/>
        <item x="302"/>
        <item x="304"/>
        <item x="281"/>
        <item x="193"/>
        <item x="651"/>
        <item x="650"/>
        <item x="469"/>
        <item x="320"/>
        <item x="402"/>
        <item x="178"/>
        <item x="371"/>
        <item m="1" x="860"/>
        <item m="1" x="867"/>
        <item x="321"/>
        <item x="298"/>
        <item m="1" x="856"/>
        <item m="1" x="855"/>
        <item x="169"/>
        <item m="1" x="854"/>
        <item x="268"/>
        <item x="280"/>
        <item x="279"/>
        <item m="1" x="857"/>
        <item m="1" x="859"/>
        <item x="136"/>
        <item x="391"/>
        <item m="1" x="800"/>
        <item x="390"/>
        <item x="295"/>
        <item x="296"/>
        <item x="293"/>
        <item x="254"/>
        <item x="253"/>
        <item x="255"/>
        <item x="252"/>
        <item x="258"/>
        <item x="259"/>
        <item x="207"/>
        <item x="206"/>
        <item x="256"/>
        <item m="1" x="875"/>
        <item x="261"/>
        <item x="260"/>
        <item x="205"/>
        <item x="204"/>
        <item x="257"/>
        <item x="292"/>
        <item m="1" x="874"/>
        <item m="1" x="873"/>
        <item x="291"/>
        <item x="290"/>
        <item x="294"/>
        <item x="278"/>
        <item x="123"/>
        <item x="426"/>
        <item x="122"/>
        <item x="262"/>
        <item x="305"/>
        <item x="319"/>
        <item x="399"/>
        <item x="361"/>
        <item x="360"/>
        <item x="359"/>
        <item x="267"/>
        <item x="340"/>
        <item m="1" x="850"/>
        <item x="137"/>
        <item x="338"/>
        <item x="389"/>
        <item x="283"/>
        <item m="1" x="866"/>
        <item x="251"/>
        <item x="367"/>
        <item x="366"/>
        <item x="413"/>
        <item x="377"/>
        <item x="336"/>
        <item x="349"/>
        <item x="347"/>
        <item x="337"/>
        <item x="443"/>
        <item x="277"/>
        <item x="351"/>
        <item m="1" x="871"/>
        <item m="1" x="870"/>
        <item m="1" x="824"/>
        <item x="493"/>
        <item x="504"/>
        <item x="341"/>
        <item x="335"/>
        <item x="334"/>
        <item x="132"/>
        <item x="276"/>
        <item x="374"/>
        <item x="431"/>
        <item x="406"/>
        <item m="1" x="825"/>
        <item x="401"/>
        <item x="397"/>
        <item m="1" x="818"/>
        <item x="407"/>
        <item m="1" x="817"/>
        <item x="394"/>
        <item x="393"/>
        <item x="234"/>
        <item x="233"/>
        <item x="232"/>
        <item x="231"/>
        <item x="230"/>
        <item x="229"/>
        <item x="228"/>
        <item x="238"/>
        <item x="248"/>
        <item x="239"/>
        <item x="237"/>
        <item x="245"/>
        <item x="235"/>
        <item x="250"/>
        <item x="236"/>
        <item x="247"/>
        <item x="246"/>
        <item x="249"/>
        <item x="243"/>
        <item x="241"/>
        <item x="240"/>
        <item x="242"/>
        <item x="244"/>
        <item x="396"/>
        <item x="331"/>
        <item x="372"/>
        <item x="364"/>
        <item x="375"/>
        <item x="352"/>
        <item x="369"/>
        <item x="275"/>
        <item x="274"/>
        <item x="395"/>
        <item x="171"/>
        <item x="170"/>
        <item m="1" x="812"/>
        <item m="1" x="814"/>
        <item m="1" x="845"/>
        <item m="1" x="847"/>
        <item x="7"/>
        <item x="126"/>
        <item x="128"/>
        <item m="1" x="846"/>
        <item x="410"/>
        <item x="440"/>
        <item x="436"/>
        <item x="432"/>
        <item x="434"/>
        <item x="409"/>
        <item m="1" x="819"/>
        <item x="297"/>
        <item x="398"/>
        <item m="1" x="815"/>
        <item x="384"/>
        <item x="383"/>
        <item x="382"/>
        <item x="325"/>
        <item m="1" x="849"/>
        <item x="345"/>
        <item x="442"/>
        <item x="408"/>
        <item x="330"/>
        <item m="1" x="842"/>
        <item m="1" x="839"/>
        <item x="135"/>
        <item m="1" x="833"/>
        <item x="116"/>
        <item m="1" x="838"/>
        <item m="1" x="837"/>
        <item m="1" x="832"/>
        <item x="115"/>
        <item m="1" x="836"/>
        <item x="134"/>
        <item m="1" x="835"/>
        <item x="114"/>
        <item m="1" x="831"/>
        <item m="1" x="834"/>
        <item m="1" x="830"/>
        <item x="113"/>
        <item m="1" x="862"/>
        <item x="498"/>
        <item x="525"/>
        <item x="499"/>
        <item x="486"/>
        <item x="494"/>
        <item x="488"/>
        <item x="518"/>
        <item x="520"/>
        <item x="528"/>
        <item x="524"/>
        <item x="496"/>
        <item x="555"/>
        <item x="485"/>
        <item x="526"/>
        <item x="200"/>
        <item x="203"/>
        <item x="510"/>
        <item x="517"/>
        <item x="506"/>
        <item x="521"/>
        <item x="532"/>
        <item x="501"/>
        <item x="527"/>
        <item x="531"/>
        <item x="541"/>
        <item x="523"/>
        <item x="202"/>
        <item x="482"/>
        <item x="472"/>
        <item x="530"/>
        <item x="474"/>
        <item x="507"/>
        <item x="475"/>
        <item x="533"/>
        <item x="491"/>
        <item x="497"/>
        <item x="489"/>
        <item x="512"/>
        <item x="502"/>
        <item x="535"/>
        <item x="519"/>
        <item x="514"/>
        <item x="477"/>
        <item x="484"/>
        <item x="201"/>
        <item x="500"/>
        <item x="536"/>
        <item x="478"/>
        <item x="537"/>
        <item x="513"/>
        <item x="542"/>
        <item x="503"/>
        <item x="534"/>
        <item x="511"/>
        <item x="529"/>
        <item x="492"/>
        <item x="508"/>
        <item x="539"/>
        <item x="580"/>
        <item x="473"/>
        <item x="505"/>
        <item x="481"/>
        <item x="515"/>
        <item x="573"/>
        <item x="483"/>
        <item x="572"/>
        <item x="495"/>
        <item x="576"/>
        <item x="540"/>
        <item x="575"/>
        <item x="487"/>
        <item x="538"/>
        <item x="522"/>
        <item x="559"/>
        <item x="546"/>
        <item x="563"/>
        <item x="547"/>
        <item x="568"/>
        <item x="548"/>
        <item x="569"/>
        <item x="554"/>
        <item x="562"/>
        <item x="566"/>
        <item x="545"/>
        <item x="574"/>
        <item x="565"/>
        <item x="543"/>
        <item x="551"/>
        <item x="549"/>
        <item x="564"/>
        <item x="579"/>
        <item x="582"/>
        <item x="581"/>
        <item x="561"/>
        <item x="552"/>
        <item x="578"/>
        <item x="571"/>
        <item x="570"/>
        <item x="556"/>
        <item x="557"/>
        <item x="577"/>
        <item x="544"/>
        <item x="560"/>
        <item x="550"/>
        <item x="558"/>
        <item x="553"/>
        <item x="567"/>
        <item x="358"/>
        <item m="1" x="810"/>
        <item m="1" x="808"/>
        <item x="328"/>
        <item x="427"/>
        <item x="329"/>
        <item x="273"/>
        <item x="272"/>
        <item x="190"/>
        <item x="194"/>
        <item x="191"/>
        <item x="357"/>
        <item m="1" x="841"/>
        <item x="379"/>
        <item x="327"/>
        <item m="1" x="840"/>
        <item x="480"/>
        <item x="476"/>
        <item m="1" x="807"/>
        <item x="388"/>
        <item m="1" x="861"/>
        <item m="1" x="863"/>
        <item x="214"/>
        <item x="213"/>
        <item x="212"/>
        <item x="211"/>
        <item x="210"/>
        <item x="209"/>
        <item x="208"/>
        <item x="326"/>
        <item m="1" x="811"/>
        <item x="429"/>
        <item x="441"/>
        <item x="439"/>
        <item x="425"/>
        <item x="423"/>
        <item x="415"/>
        <item x="405"/>
        <item m="1" x="809"/>
        <item x="421"/>
        <item x="418"/>
        <item m="1" x="823"/>
        <item x="435"/>
        <item x="438"/>
        <item x="424"/>
        <item x="414"/>
        <item x="404"/>
        <item x="381"/>
        <item x="422"/>
        <item m="1" x="820"/>
        <item x="380"/>
        <item x="368"/>
        <item x="271"/>
        <item m="1" x="806"/>
        <item m="1" x="865"/>
        <item m="1" x="864"/>
        <item m="1" x="868"/>
        <item x="270"/>
        <item x="303"/>
        <item x="269"/>
        <item m="1" x="858"/>
        <item x="300"/>
        <item x="386"/>
        <item x="356"/>
        <item x="355"/>
        <item x="265"/>
        <item x="218"/>
        <item x="226"/>
        <item x="217"/>
        <item x="215"/>
        <item x="220"/>
        <item x="266"/>
        <item x="264"/>
        <item x="216"/>
        <item x="227"/>
        <item x="263"/>
        <item x="219"/>
        <item x="222"/>
        <item x="224"/>
        <item x="221"/>
        <item x="223"/>
        <item x="225"/>
        <item x="378"/>
        <item x="353"/>
        <item x="400"/>
        <item x="411"/>
        <item x="354"/>
        <item m="1" x="821"/>
        <item x="172"/>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7"/>
        <item x="118"/>
        <item x="119"/>
        <item x="120"/>
        <item x="121"/>
        <item x="127"/>
        <item x="129"/>
        <item x="130"/>
        <item x="131"/>
        <item x="133"/>
        <item x="138"/>
        <item x="139"/>
        <item x="166"/>
        <item x="167"/>
        <item x="168"/>
        <item x="173"/>
        <item x="174"/>
        <item x="175"/>
        <item x="176"/>
        <item x="177"/>
        <item x="179"/>
        <item x="180"/>
        <item x="181"/>
        <item x="182"/>
        <item x="183"/>
        <item x="184"/>
        <item x="185"/>
        <item x="186"/>
        <item x="187"/>
        <item x="188"/>
        <item x="189"/>
        <item x="198"/>
        <item x="199"/>
        <item x="299"/>
        <item x="387"/>
        <item x="430"/>
        <item x="660"/>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t="default"/>
      </items>
    </pivotField>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Page"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dataField="1" showAll="0">
      <items count="16">
        <item x="0"/>
        <item m="1" x="14"/>
        <item m="1" x="11"/>
        <item m="1" x="12"/>
        <item m="1" x="10"/>
        <item m="1" x="13"/>
        <item m="1" x="2"/>
        <item m="1" x="3"/>
        <item m="1" x="4"/>
        <item m="1" x="5"/>
        <item m="1" x="6"/>
        <item m="1" x="7"/>
        <item m="1" x="8"/>
        <item m="1" x="9"/>
        <item x="1"/>
        <item t="default"/>
      </items>
    </pivotField>
    <pivotField showAll="0"/>
    <pivotField dataField="1" showAll="0">
      <items count="8">
        <item x="0"/>
        <item m="1" x="2"/>
        <item m="1" x="3"/>
        <item m="1" x="4"/>
        <item m="1" x="5"/>
        <item m="1" x="6"/>
        <item x="1"/>
        <item t="default"/>
      </items>
    </pivotField>
    <pivotField showAll="0"/>
    <pivotField showAll="0"/>
    <pivotField dataField="1" showAll="0">
      <items count="4">
        <item x="0"/>
        <item m="1" x="2"/>
        <item x="1"/>
        <item t="default"/>
      </items>
    </pivotField>
    <pivotField showAll="0"/>
    <pivotField showAll="0"/>
    <pivotField showAll="0"/>
    <pivotField showAll="0"/>
    <pivotField dataField="1" showAll="0">
      <items count="4">
        <item x="0"/>
        <item m="1" x="2"/>
        <item x="1"/>
        <item t="default"/>
      </items>
    </pivotField>
    <pivotField showAll="0"/>
    <pivotField showAll="0"/>
    <pivotField dataField="1" showAll="0">
      <items count="6">
        <item x="0"/>
        <item m="1" x="2"/>
        <item m="1" x="3"/>
        <item m="1" x="4"/>
        <item x="1"/>
        <item t="default"/>
      </items>
    </pivotField>
    <pivotField showAll="0"/>
    <pivotField showAll="0"/>
    <pivotField dataField="1" showAll="0">
      <items count="4">
        <item x="0"/>
        <item m="1" x="2"/>
        <item x="1"/>
        <item t="default"/>
      </items>
    </pivotField>
    <pivotField numFmtId="14" showAll="0"/>
    <pivotField numFmtId="14" showAll="0"/>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dataField="1"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00">
    <i>
      <x v="1"/>
    </i>
    <i>
      <x v="2"/>
    </i>
    <i>
      <x v="3"/>
    </i>
    <i>
      <x v="4"/>
    </i>
    <i>
      <x v="5"/>
    </i>
    <i>
      <x v="6"/>
    </i>
    <i>
      <x v="7"/>
    </i>
    <i>
      <x v="8"/>
    </i>
    <i>
      <x v="9"/>
    </i>
    <i>
      <x v="10"/>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7"/>
    </i>
    <i>
      <x v="88"/>
    </i>
    <i>
      <x v="92"/>
    </i>
    <i>
      <x v="93"/>
    </i>
    <i>
      <x v="94"/>
    </i>
    <i>
      <x v="95"/>
    </i>
    <i>
      <x v="96"/>
    </i>
    <i>
      <x v="97"/>
    </i>
    <i>
      <x v="98"/>
    </i>
    <i>
      <x v="99"/>
    </i>
    <i>
      <x v="100"/>
    </i>
    <i>
      <x v="101"/>
    </i>
    <i>
      <x v="102"/>
    </i>
    <i>
      <x v="103"/>
    </i>
    <i>
      <x v="104"/>
    </i>
    <i>
      <x v="105"/>
    </i>
    <i>
      <x v="106"/>
    </i>
    <i>
      <x v="107"/>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2"/>
    </i>
    <i>
      <x v="143"/>
    </i>
    <i>
      <x v="144"/>
    </i>
    <i>
      <x v="145"/>
    </i>
    <i>
      <x v="146"/>
    </i>
    <i>
      <x v="147"/>
    </i>
    <i>
      <x v="148"/>
    </i>
    <i>
      <x v="149"/>
    </i>
    <i>
      <x v="150"/>
    </i>
    <i>
      <x v="152"/>
    </i>
    <i>
      <x v="153"/>
    </i>
    <i>
      <x v="154"/>
    </i>
    <i>
      <x v="155"/>
    </i>
    <i>
      <x v="156"/>
    </i>
    <i>
      <x v="157"/>
    </i>
    <i>
      <x v="158"/>
    </i>
    <i>
      <x v="160"/>
    </i>
    <i>
      <x v="165"/>
    </i>
    <i>
      <x v="166"/>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9"/>
    </i>
    <i>
      <x v="200"/>
    </i>
    <i>
      <x v="201"/>
    </i>
    <i>
      <x v="202"/>
    </i>
    <i>
      <x v="204"/>
    </i>
    <i>
      <x v="205"/>
    </i>
    <i>
      <x v="206"/>
    </i>
    <i>
      <x v="207"/>
    </i>
    <i>
      <x v="208"/>
    </i>
    <i>
      <x v="209"/>
    </i>
    <i>
      <x v="210"/>
    </i>
    <i>
      <x v="211"/>
    </i>
    <i>
      <x v="212"/>
    </i>
    <i>
      <x v="213"/>
    </i>
    <i>
      <x v="215"/>
    </i>
    <i>
      <x v="216"/>
    </i>
    <i>
      <x v="217"/>
    </i>
    <i>
      <x v="218"/>
    </i>
    <i>
      <x v="219"/>
    </i>
    <i>
      <x v="220"/>
    </i>
    <i>
      <x v="221"/>
    </i>
    <i>
      <x v="222"/>
    </i>
    <i>
      <x v="223"/>
    </i>
    <i>
      <x v="224"/>
    </i>
    <i>
      <x v="225"/>
    </i>
    <i>
      <x v="226"/>
    </i>
    <i>
      <x v="227"/>
    </i>
    <i>
      <x v="230"/>
    </i>
    <i>
      <x v="231"/>
    </i>
    <i>
      <x v="234"/>
    </i>
    <i>
      <x v="236"/>
    </i>
    <i>
      <x v="237"/>
    </i>
    <i>
      <x v="238"/>
    </i>
    <i>
      <x v="241"/>
    </i>
    <i>
      <x v="242"/>
    </i>
    <i>
      <x v="244"/>
    </i>
    <i>
      <x v="245"/>
    </i>
    <i>
      <x v="246"/>
    </i>
    <i>
      <x v="247"/>
    </i>
    <i>
      <x v="248"/>
    </i>
    <i>
      <x v="249"/>
    </i>
    <i>
      <x v="250"/>
    </i>
    <i>
      <x v="251"/>
    </i>
    <i>
      <x v="252"/>
    </i>
    <i>
      <x v="253"/>
    </i>
    <i>
      <x v="254"/>
    </i>
    <i>
      <x v="255"/>
    </i>
    <i>
      <x v="256"/>
    </i>
    <i>
      <x v="258"/>
    </i>
    <i>
      <x v="259"/>
    </i>
    <i>
      <x v="260"/>
    </i>
    <i>
      <x v="261"/>
    </i>
    <i>
      <x v="262"/>
    </i>
    <i>
      <x v="263"/>
    </i>
    <i>
      <x v="266"/>
    </i>
    <i>
      <x v="267"/>
    </i>
    <i>
      <x v="268"/>
    </i>
    <i>
      <x v="269"/>
    </i>
    <i>
      <x v="270"/>
    </i>
    <i>
      <x v="271"/>
    </i>
    <i>
      <x v="272"/>
    </i>
    <i>
      <x v="273"/>
    </i>
    <i>
      <x v="274"/>
    </i>
    <i>
      <x v="275"/>
    </i>
    <i>
      <x v="276"/>
    </i>
    <i>
      <x v="277"/>
    </i>
    <i>
      <x v="278"/>
    </i>
    <i>
      <x v="279"/>
    </i>
    <i>
      <x v="280"/>
    </i>
    <i>
      <x v="281"/>
    </i>
    <i>
      <x v="283"/>
    </i>
    <i>
      <x v="284"/>
    </i>
    <i>
      <x v="285"/>
    </i>
    <i>
      <x v="286"/>
    </i>
    <i>
      <x v="288"/>
    </i>
    <i>
      <x v="289"/>
    </i>
    <i>
      <x v="290"/>
    </i>
    <i>
      <x v="291"/>
    </i>
    <i>
      <x v="292"/>
    </i>
    <i>
      <x v="293"/>
    </i>
    <i>
      <x v="294"/>
    </i>
    <i>
      <x v="295"/>
    </i>
    <i>
      <x v="296"/>
    </i>
    <i>
      <x v="297"/>
    </i>
    <i>
      <x v="298"/>
    </i>
    <i>
      <x v="299"/>
    </i>
    <i>
      <x v="303"/>
    </i>
    <i>
      <x v="304"/>
    </i>
    <i>
      <x v="305"/>
    </i>
    <i>
      <x v="306"/>
    </i>
    <i>
      <x v="307"/>
    </i>
    <i>
      <x v="308"/>
    </i>
    <i>
      <x v="309"/>
    </i>
    <i>
      <x v="310"/>
    </i>
    <i>
      <x v="311"/>
    </i>
    <i>
      <x v="312"/>
    </i>
    <i>
      <x v="314"/>
    </i>
    <i>
      <x v="315"/>
    </i>
    <i>
      <x v="317"/>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60"/>
    </i>
    <i>
      <x v="361"/>
    </i>
    <i>
      <x v="362"/>
    </i>
    <i>
      <x v="364"/>
    </i>
    <i>
      <x v="365"/>
    </i>
    <i>
      <x v="366"/>
    </i>
    <i>
      <x v="367"/>
    </i>
    <i>
      <x v="368"/>
    </i>
    <i>
      <x v="369"/>
    </i>
    <i>
      <x v="371"/>
    </i>
    <i>
      <x v="372"/>
    </i>
    <i>
      <x v="374"/>
    </i>
    <i>
      <x v="375"/>
    </i>
    <i>
      <x v="376"/>
    </i>
    <i>
      <x v="377"/>
    </i>
    <i>
      <x v="379"/>
    </i>
    <i>
      <x v="380"/>
    </i>
    <i>
      <x v="381"/>
    </i>
    <i>
      <x v="382"/>
    </i>
    <i>
      <x v="385"/>
    </i>
    <i>
      <x v="387"/>
    </i>
    <i>
      <x v="391"/>
    </i>
    <i>
      <x v="393"/>
    </i>
    <i>
      <x v="395"/>
    </i>
    <i>
      <x v="399"/>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11"/>
    </i>
    <i>
      <x v="512"/>
    </i>
    <i>
      <x v="513"/>
    </i>
    <i>
      <x v="514"/>
    </i>
    <i>
      <x v="515"/>
    </i>
    <i>
      <x v="516"/>
    </i>
    <i>
      <x v="517"/>
    </i>
    <i>
      <x v="518"/>
    </i>
    <i>
      <x v="519"/>
    </i>
    <i>
      <x v="521"/>
    </i>
    <i>
      <x v="522"/>
    </i>
    <i>
      <x v="524"/>
    </i>
    <i>
      <x v="525"/>
    </i>
    <i>
      <x v="527"/>
    </i>
    <i>
      <x v="530"/>
    </i>
    <i>
      <x v="531"/>
    </i>
    <i>
      <x v="532"/>
    </i>
    <i>
      <x v="533"/>
    </i>
    <i>
      <x v="534"/>
    </i>
    <i>
      <x v="535"/>
    </i>
    <i>
      <x v="536"/>
    </i>
    <i>
      <x v="537"/>
    </i>
    <i>
      <x v="539"/>
    </i>
    <i>
      <x v="540"/>
    </i>
    <i>
      <x v="541"/>
    </i>
    <i>
      <x v="542"/>
    </i>
    <i>
      <x v="543"/>
    </i>
    <i>
      <x v="544"/>
    </i>
    <i>
      <x v="545"/>
    </i>
    <i>
      <x v="547"/>
    </i>
    <i>
      <x v="548"/>
    </i>
    <i>
      <x v="550"/>
    </i>
    <i>
      <x v="551"/>
    </i>
    <i>
      <x v="552"/>
    </i>
    <i>
      <x v="553"/>
    </i>
    <i>
      <x v="554"/>
    </i>
    <i>
      <x v="555"/>
    </i>
    <i>
      <x v="556"/>
    </i>
    <i>
      <x v="558"/>
    </i>
    <i>
      <x v="559"/>
    </i>
    <i>
      <x v="560"/>
    </i>
    <i>
      <x v="565"/>
    </i>
    <i>
      <x v="566"/>
    </i>
    <i>
      <x v="567"/>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t="grand">
      <x/>
    </i>
  </rowItems>
  <colFields count="1">
    <field x="-2"/>
  </colFields>
  <colItems count="12">
    <i>
      <x/>
    </i>
    <i i="1">
      <x v="1"/>
    </i>
    <i i="2">
      <x v="2"/>
    </i>
    <i i="3">
      <x v="3"/>
    </i>
    <i i="4">
      <x v="4"/>
    </i>
    <i i="5">
      <x v="5"/>
    </i>
    <i i="6">
      <x v="6"/>
    </i>
    <i i="7">
      <x v="7"/>
    </i>
    <i i="8">
      <x v="8"/>
    </i>
    <i i="9">
      <x v="9"/>
    </i>
    <i i="10">
      <x v="10"/>
    </i>
    <i i="11">
      <x v="11"/>
    </i>
  </colItems>
  <pageFields count="1">
    <pageField fld="6" hier="-1"/>
  </pageFields>
  <dataFields count="12">
    <dataField name="Sum of Effective Configuration Days" fld="10" baseField="0" baseItem="0"/>
    <dataField name="Sum of Complete Bucket Time" fld="29" baseField="0" baseItem="0"/>
    <dataField name="Sum of Peer Review Days" fld="12" baseField="0" baseItem="0"/>
    <dataField name="Sum of Effective Peer Review Rework Days" fld="15" baseField="0" baseItem="0"/>
    <dataField name="Sum of Peer Review Rework Bucket Time" fld="30" baseField="0" baseItem="0"/>
    <dataField name="Sum of Ready for Demo Bucket Time" fld="31" baseField="0" baseItem="0"/>
    <dataField name="Sum of Demo Bucket Time" fld="32" baseField="0" baseItem="0"/>
    <dataField name="Sum of Effective Demo Rework Days" fld="20" baseField="0" baseItem="0"/>
    <dataField name="Sum of Ready for Client Verification Bucket Time" fld="33" baseField="0" baseItem="0"/>
    <dataField name="Sum of Client Verification Days" fld="23" baseField="0" baseItem="0"/>
    <dataField name="Sum of Effective Rework Client Verification Days" fld="26" baseField="0" baseItem="0"/>
    <dataField name="Sum of Verification Complete Bucket Time" fld="3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BAC50-DE9A-41C5-8E2F-E16E1D5DC3E2}"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E8"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Col" showAll="0">
      <items count="4">
        <item x="0"/>
        <item x="1"/>
        <item x="2"/>
        <item t="default"/>
      </items>
    </pivotField>
    <pivotField axis="axisRow" showAll="0" sortType="ascending">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8">
        <item x="0"/>
        <item m="1" x="2"/>
        <item m="1" x="3"/>
        <item m="1" x="4"/>
        <item m="1" x="5"/>
        <item m="1" x="6"/>
        <item x="1"/>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6">
        <item x="0"/>
        <item m="1" x="2"/>
        <item m="1" x="3"/>
        <item m="1" x="4"/>
        <item x="1"/>
        <item t="default"/>
      </items>
    </pivotField>
    <pivotField showAll="0"/>
    <pivotField showAll="0"/>
    <pivotField showAll="0">
      <items count="4">
        <item x="0"/>
        <item m="1" x="2"/>
        <item x="1"/>
        <item t="default"/>
      </items>
    </pivotField>
    <pivotField numFmtId="14" showAll="0"/>
    <pivotField numFmtId="14" showAll="0"/>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FEF17B-0585-4F30-AF59-E69F0A7C1A8B}"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U6" firstHeaderRow="1" firstDataRow="2" firstDataCol="1"/>
  <pivotFields count="52">
    <pivotField showAll="0"/>
    <pivotField dataField="1" showAll="0"/>
    <pivotField showAll="0">
      <items count="32">
        <item x="4"/>
        <item x="17"/>
        <item x="11"/>
        <item x="3"/>
        <item x="1"/>
        <item x="13"/>
        <item x="10"/>
        <item x="12"/>
        <item x="7"/>
        <item x="5"/>
        <item x="6"/>
        <item x="14"/>
        <item x="8"/>
        <item x="9"/>
        <item x="2"/>
        <item m="1" x="26"/>
        <item m="1" x="18"/>
        <item m="1" x="28"/>
        <item m="1" x="23"/>
        <item m="1" x="21"/>
        <item m="1" x="25"/>
        <item x="0"/>
        <item m="1" x="27"/>
        <item m="1" x="19"/>
        <item m="1" x="22"/>
        <item m="1" x="30"/>
        <item m="1" x="29"/>
        <item x="16"/>
        <item x="15"/>
        <item m="1" x="20"/>
        <item m="1" x="24"/>
        <item t="default"/>
      </items>
    </pivotField>
    <pivotField showAll="0"/>
    <pivotField showAll="0"/>
    <pivotField showAll="0"/>
    <pivotField axis="axisRow" showAll="0">
      <items count="4">
        <item x="0"/>
        <item x="1"/>
        <item x="2"/>
        <item t="default"/>
      </items>
    </pivotField>
    <pivotField axis="axisCol" showAll="0">
      <items count="11">
        <item m="1" x="5"/>
        <item m="1" x="9"/>
        <item m="1" x="6"/>
        <item m="1" x="8"/>
        <item m="1" x="7"/>
        <item x="4"/>
        <item x="1"/>
        <item x="0"/>
        <item x="3"/>
        <item x="2"/>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8">
        <item x="0"/>
        <item m="1" x="2"/>
        <item m="1" x="3"/>
        <item m="1" x="4"/>
        <item m="1" x="5"/>
        <item m="1" x="6"/>
        <item x="1"/>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6">
        <item x="0"/>
        <item m="1" x="2"/>
        <item m="1" x="3"/>
        <item m="1" x="4"/>
        <item x="1"/>
        <item t="default"/>
      </items>
    </pivotField>
    <pivotField showAll="0"/>
    <pivotField showAll="0"/>
    <pivotField showAll="0">
      <items count="4">
        <item x="0"/>
        <item m="1" x="2"/>
        <item x="1"/>
        <item t="default"/>
      </items>
    </pivotField>
    <pivotField numFmtId="14" showAll="0"/>
    <pivotField numFmtId="14" showAll="0"/>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4">
    <i>
      <x/>
    </i>
    <i>
      <x v="1"/>
    </i>
    <i>
      <x v="2"/>
    </i>
    <i t="grand">
      <x/>
    </i>
  </rowItems>
  <colFields count="1">
    <field x="7"/>
  </colFields>
  <colItems count="6">
    <i>
      <x v="5"/>
    </i>
    <i>
      <x v="6"/>
    </i>
    <i>
      <x v="7"/>
    </i>
    <i>
      <x v="8"/>
    </i>
    <i>
      <x v="9"/>
    </i>
    <i t="grand">
      <x/>
    </i>
  </colItems>
  <dataFields count="1">
    <dataField name="Count of Task Name" fld="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6179E7-1574-437C-ABF9-D63685B76A35}"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1:M21" firstHeaderRow="1" firstDataRow="2" firstDataCol="1"/>
  <pivotFields count="52">
    <pivotField showAll="0"/>
    <pivotField dataField="1" showAll="0"/>
    <pivotField axis="axisRow" showAll="0">
      <items count="32">
        <item m="1" x="26"/>
        <item m="1" x="18"/>
        <item m="1" x="28"/>
        <item m="1" x="23"/>
        <item m="1" x="21"/>
        <item m="1" x="25"/>
        <item x="0"/>
        <item m="1" x="27"/>
        <item m="1" x="19"/>
        <item m="1" x="22"/>
        <item m="1" x="30"/>
        <item m="1" x="29"/>
        <item x="16"/>
        <item m="1" x="20"/>
        <item m="1" x="24"/>
        <item x="1"/>
        <item x="2"/>
        <item x="3"/>
        <item x="4"/>
        <item x="5"/>
        <item x="6"/>
        <item x="7"/>
        <item x="8"/>
        <item x="9"/>
        <item x="10"/>
        <item x="11"/>
        <item x="12"/>
        <item x="13"/>
        <item x="14"/>
        <item x="15"/>
        <item x="17"/>
        <item t="default"/>
      </items>
    </pivotField>
    <pivotField showAll="0"/>
    <pivotField showAll="0"/>
    <pivotField showAll="0"/>
    <pivotField axis="axisCol" showAll="0">
      <items count="4">
        <item x="0"/>
        <item x="1"/>
        <item x="2"/>
        <item t="default"/>
      </items>
    </pivotField>
    <pivotField showAll="0">
      <items count="11">
        <item x="0"/>
        <item x="3"/>
        <item x="4"/>
        <item x="1"/>
        <item x="2"/>
        <item m="1" x="5"/>
        <item m="1" x="9"/>
        <item m="1" x="6"/>
        <item m="1" x="8"/>
        <item m="1" x="7"/>
        <item t="default"/>
      </items>
    </pivotField>
    <pivotField showAll="0"/>
    <pivotField showAll="0"/>
    <pivotField showAll="0">
      <items count="16">
        <item x="0"/>
        <item m="1" x="14"/>
        <item m="1" x="11"/>
        <item m="1" x="12"/>
        <item m="1" x="10"/>
        <item m="1" x="13"/>
        <item m="1" x="2"/>
        <item m="1" x="3"/>
        <item m="1" x="4"/>
        <item m="1" x="5"/>
        <item m="1" x="6"/>
        <item m="1" x="7"/>
        <item m="1" x="8"/>
        <item m="1" x="9"/>
        <item x="1"/>
        <item t="default"/>
      </items>
    </pivotField>
    <pivotField showAll="0"/>
    <pivotField showAll="0">
      <items count="8">
        <item x="0"/>
        <item m="1" x="2"/>
        <item m="1" x="3"/>
        <item m="1" x="4"/>
        <item m="1" x="5"/>
        <item m="1" x="6"/>
        <item x="1"/>
        <item t="default"/>
      </items>
    </pivotField>
    <pivotField showAll="0"/>
    <pivotField showAll="0"/>
    <pivotField showAll="0">
      <items count="4">
        <item x="0"/>
        <item m="1" x="2"/>
        <item x="1"/>
        <item t="default"/>
      </items>
    </pivotField>
    <pivotField showAll="0"/>
    <pivotField showAll="0"/>
    <pivotField showAll="0"/>
    <pivotField showAll="0"/>
    <pivotField showAll="0">
      <items count="4">
        <item x="0"/>
        <item m="1" x="2"/>
        <item x="1"/>
        <item t="default"/>
      </items>
    </pivotField>
    <pivotField showAll="0"/>
    <pivotField showAll="0"/>
    <pivotField showAll="0">
      <items count="6">
        <item x="0"/>
        <item m="1" x="2"/>
        <item m="1" x="3"/>
        <item m="1" x="4"/>
        <item x="1"/>
        <item t="default"/>
      </items>
    </pivotField>
    <pivotField showAll="0"/>
    <pivotField showAll="0"/>
    <pivotField showAll="0">
      <items count="4">
        <item x="0"/>
        <item m="1" x="2"/>
        <item x="1"/>
        <item t="default"/>
      </items>
    </pivotField>
    <pivotField numFmtId="14" showAll="0"/>
    <pivotField numFmtId="14" showAll="0"/>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items count="33">
        <item x="0"/>
        <item m="1" x="2"/>
        <item m="1" x="3"/>
        <item m="1" x="4"/>
        <item m="1" x="5"/>
        <item m="1" x="6"/>
        <item m="1" x="7"/>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9">
    <i>
      <x v="6"/>
    </i>
    <i>
      <x v="12"/>
    </i>
    <i>
      <x v="15"/>
    </i>
    <i>
      <x v="16"/>
    </i>
    <i>
      <x v="17"/>
    </i>
    <i>
      <x v="18"/>
    </i>
    <i>
      <x v="19"/>
    </i>
    <i>
      <x v="20"/>
    </i>
    <i>
      <x v="21"/>
    </i>
    <i>
      <x v="22"/>
    </i>
    <i>
      <x v="23"/>
    </i>
    <i>
      <x v="24"/>
    </i>
    <i>
      <x v="25"/>
    </i>
    <i>
      <x v="26"/>
    </i>
    <i>
      <x v="27"/>
    </i>
    <i>
      <x v="28"/>
    </i>
    <i>
      <x v="29"/>
    </i>
    <i>
      <x v="30"/>
    </i>
    <i t="grand">
      <x/>
    </i>
  </rowItems>
  <colFields count="1">
    <field x="6"/>
  </colFields>
  <colItems count="4">
    <i>
      <x/>
    </i>
    <i>
      <x v="1"/>
    </i>
    <i>
      <x v="2"/>
    </i>
    <i t="grand">
      <x/>
    </i>
  </colItems>
  <dataFields count="1">
    <dataField name="Count of Task Name" fld="1" subtotal="count" baseField="0" baseItem="0"/>
  </dataFields>
  <chartFormats count="4">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DB7A5-C0E6-4FE4-827D-BCACE0678775}" sourceName="Category">
  <pivotTables>
    <pivotTable tabId="4" name="PivotTable1"/>
    <pivotTable tabId="4" name="PivotTable2"/>
    <pivotTable tabId="4" name="PivotTable3"/>
    <pivotTable tabId="3" name="PivotTable4"/>
  </pivotTables>
  <data>
    <tabular pivotCacheId="1722682719">
      <items count="10">
        <i x="0" s="1"/>
        <i x="3" s="1"/>
        <i x="4" s="1"/>
        <i x="1" s="1"/>
        <i x="2" s="1"/>
        <i x="5" s="1" nd="1"/>
        <i x="9" s="1" nd="1"/>
        <i x="6" s="1" nd="1"/>
        <i x="8" s="1" nd="1"/>
        <i x="7"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_Bucket_Time" xr10:uid="{7E367B3A-E458-4ECF-B7FB-7A7D874C0676}" sourceName="Complete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Rework_Bucket_Time" xr10:uid="{164ACE50-18F4-47BC-9FAC-59B226D8F1CA}" sourceName="Peer Review Rework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Demo_Bucket_Time" xr10:uid="{B95764E9-DFD1-4D55-9F31-941F3D6C2C43}" sourceName="Ready for Demo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_Bucket_Time" xr10:uid="{321F5883-5509-4D9B-B0F1-585C86127CD8}" sourceName="Demo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_for_Client_Verification_Bucket_Time" xr10:uid="{F93ABF33-EC6D-430B-8EDB-CE54C916895C}" sourceName="Ready for Client Verification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rification_Complete_Bucket_Time" xr10:uid="{620CEBC1-14DB-4ACA-A20E-83B1CDD1A3A8}" sourceName="Verification Complete Bucket Time">
  <pivotTables>
    <pivotTable tabId="3" name="PivotTable4"/>
    <pivotTable tabId="4" name="PivotTable1"/>
    <pivotTable tabId="4" name="PivotTable2"/>
    <pivotTable tabId="4" name="PivotTable3"/>
  </pivotTables>
  <data>
    <tabular pivotCacheId="1722682719">
      <items count="32">
        <i x="0" s="1"/>
        <i x="1" s="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cket_Name" xr10:uid="{C0B32930-28F8-4D70-A1C0-45FC77D0E9B3}" sourceName="Bucket Name">
  <pivotTables>
    <pivotTable tabId="4" name="PivotTable2"/>
    <pivotTable tabId="4" name="PivotTable1"/>
    <pivotTable tabId="4" name="PivotTable3"/>
    <pivotTable tabId="3" name="PivotTable4"/>
  </pivotTables>
  <data>
    <tabular pivotCacheId="1722682719" sortOrder="descending">
      <items count="31">
        <i x="15" s="1"/>
        <i x="16" s="1"/>
        <i x="0" s="1"/>
        <i x="2" s="1"/>
        <i x="9" s="1"/>
        <i x="8" s="1"/>
        <i x="14" s="1"/>
        <i x="6" s="1"/>
        <i x="5" s="1"/>
        <i x="7" s="1"/>
        <i x="12" s="1"/>
        <i x="10" s="1"/>
        <i x="13" s="1"/>
        <i x="1" s="1"/>
        <i x="3" s="1"/>
        <i x="11" s="1"/>
        <i x="17" s="1"/>
        <i x="4" s="1"/>
        <i x="24" s="1" nd="1"/>
        <i x="20" s="1" nd="1"/>
        <i x="29" s="1" nd="1"/>
        <i x="30" s="1" nd="1"/>
        <i x="22" s="1" nd="1"/>
        <i x="19" s="1" nd="1"/>
        <i x="27" s="1" nd="1"/>
        <i x="25" s="1" nd="1"/>
        <i x="21" s="1" nd="1"/>
        <i x="23" s="1" nd="1"/>
        <i x="28" s="1" nd="1"/>
        <i x="18" s="1" nd="1"/>
        <i x="2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 xr10:uid="{FB79D5D2-6BC7-4AFF-8A8E-2DA9734433A7}" sourceName="Site">
  <pivotTables>
    <pivotTable tabId="4" name="PivotTable3"/>
    <pivotTable tabId="4" name="PivotTable1"/>
    <pivotTable tabId="4" name="PivotTable2"/>
    <pivotTable tabId="3" name="PivotTable4"/>
  </pivotTables>
  <data>
    <tabular pivotCacheId="1722682719">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Configuration_Days" xr10:uid="{74A17BC7-46F3-4463-B6B5-82306ED74FA1}" sourceName="Effective Configuration Days">
  <pivotTables>
    <pivotTable tabId="4" name="PivotTable1"/>
    <pivotTable tabId="4" name="PivotTable2"/>
    <pivotTable tabId="4" name="PivotTable3"/>
    <pivotTable tabId="3" name="PivotTable4"/>
  </pivotTables>
  <data>
    <tabular pivotCacheId="1722682719">
      <items count="15">
        <i x="0" s="1"/>
        <i x="1" s="1"/>
        <i x="14" s="1" nd="1"/>
        <i x="11" s="1" nd="1"/>
        <i x="12" s="1" nd="1"/>
        <i x="10" s="1" nd="1"/>
        <i x="13" s="1" nd="1"/>
        <i x="2" s="1" nd="1"/>
        <i x="3" s="1" nd="1"/>
        <i x="4" s="1" nd="1"/>
        <i x="5" s="1" nd="1"/>
        <i x="6" s="1" nd="1"/>
        <i x="7" s="1" nd="1"/>
        <i x="8"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Review_Days" xr10:uid="{F3D399F0-EF9B-4C51-808E-A69A557AC50D}" sourceName="Peer Review Days">
  <pivotTables>
    <pivotTable tabId="4" name="PivotTable1"/>
    <pivotTable tabId="4" name="PivotTable2"/>
    <pivotTable tabId="4" name="PivotTable3"/>
    <pivotTable tabId="3" name="PivotTable4"/>
  </pivotTables>
  <data>
    <tabular pivotCacheId="1722682719">
      <items count="7">
        <i x="0" s="1"/>
        <i x="1" s="1"/>
        <i x="2" s="1" nd="1"/>
        <i x="3" s="1" nd="1"/>
        <i x="4" s="1" nd="1"/>
        <i x="5" s="1" nd="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Peer_Review_Rework_Days" xr10:uid="{E4D8CAA8-E9A7-4D0F-89DD-91F727B100CD}" sourceName="Effective Peer Review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_Verification_Days" xr10:uid="{48E7099F-7578-4DF9-8125-9E92421B7F31}" sourceName="Client Verification Days">
  <pivotTables>
    <pivotTable tabId="4" name="PivotTable1"/>
    <pivotTable tabId="4" name="PivotTable2"/>
    <pivotTable tabId="4" name="PivotTable3"/>
    <pivotTable tabId="3" name="PivotTable4"/>
  </pivotTables>
  <data>
    <tabular pivotCacheId="1722682719">
      <items count="5">
        <i x="0" s="1"/>
        <i x="1" s="1"/>
        <i x="2" s="1" nd="1"/>
        <i x="3"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Rework_Client_Verification_Days" xr10:uid="{CB2DA20B-77C5-41FA-982B-8D0673B44943}" sourceName="Effective Rework Client Verification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ffective_Demo_Rework_Days" xr10:uid="{61FE0915-BF31-4A43-A1D9-0885CE2B4DCA}" sourceName="Effective Demo Rework Days">
  <pivotTables>
    <pivotTable tabId="4" name="PivotTable1"/>
    <pivotTable tabId="4" name="PivotTable2"/>
    <pivotTable tabId="4" name="PivotTable3"/>
    <pivotTable tabId="3" name="PivotTable4"/>
  </pivotTables>
  <data>
    <tabular pivotCacheId="172268271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8B888D-51F1-4391-8D0E-DC64A4F3D356}" cache="Slicer_Category" caption="Category" style="SlicerStyleDark1" rowHeight="251883"/>
  <slicer name="Bucket Name" xr10:uid="{D5F0690B-4CFF-42C0-8E1E-C4B156972BBC}" cache="Slicer_Bucket_Name" caption="Bucket Name" style="SlicerStyleDark1" rowHeight="251883"/>
  <slicer name="Site" xr10:uid="{9BF86E2E-E772-4625-BE47-EE1784EAC457}" cache="Slicer_Site" caption="Site" style="SlicerStyleDark1" rowHeight="251883"/>
  <slicer name="Effective Configuration Days" xr10:uid="{3809C476-FCEB-43B8-8BA7-2EBF4B2C256E}" cache="Slicer_Effective_Configuration_Days" caption="Effective Configuration Days" style="SlicerStyleDark1" rowHeight="251883"/>
  <slicer name="Peer Review Days" xr10:uid="{4B465C5B-A0C9-436D-8F27-CB2B24D8D4D4}" cache="Slicer_Peer_Review_Days" caption="Peer Review Days" style="SlicerStyleDark1" rowHeight="251883"/>
  <slicer name="Effective Peer Review Rework Days" xr10:uid="{058A264D-F13A-4F24-88A4-573B0B5735BB}" cache="Slicer_Effective_Peer_Review_Rework_Days" caption="Effective Peer Review Rework Days" style="SlicerStyleDark1" rowHeight="251883"/>
  <slicer name="Client Verification Days" xr10:uid="{E750DBA2-4871-4089-BA3E-F5055811AA39}" cache="Slicer_Client_Verification_Days" caption="Client Verification Days" style="SlicerStyleDark1" rowHeight="251883"/>
  <slicer name="Effective Rework Client Verification Days" xr10:uid="{DD561CAA-1602-4661-8A1F-FF96D04A1A69}" cache="Slicer_Effective_Rework_Client_Verification_Days" caption="Effective Rework Client Verification Days" style="SlicerStyleDark1" rowHeight="251883"/>
  <slicer name="Effective Demo Rework Days" xr10:uid="{C376E532-1573-4928-A57E-DCB70173A446}" cache="Slicer_Effective_Demo_Rework_Days" caption="Effective Demo Rework Days" style="SlicerStyleDark1" rowHeight="251883"/>
  <slicer name="Complete Bucket Time" xr10:uid="{71505654-802E-43F9-9D3C-41426F16C135}" cache="Slicer_Complete_Bucket_Time" caption="Complete Bucket Time" style="SlicerStyleDark1" rowHeight="251883"/>
  <slicer name="Peer Review Rework Bucket Time" xr10:uid="{EDF58F80-04CC-4BD5-80E5-C04B1142181D}" cache="Slicer_Peer_Review_Rework_Bucket_Time" caption="Peer Review Rework Bucket Time" style="SlicerStyleDark1" rowHeight="251883"/>
  <slicer name="Ready for Demo Bucket Time" xr10:uid="{476D795D-370D-4E68-BAB9-0B0E4CF2D57A}" cache="Slicer_Ready_for_Demo_Bucket_Time" caption="Ready for Demo Bucket Time" startItem="23" style="SlicerStyleDark1" rowHeight="251883"/>
  <slicer name="Demo Bucket Time" xr10:uid="{5453875F-3216-4604-AF63-7703F637227E}" cache="Slicer_Demo_Bucket_Time" caption="Demo Bucket Time" style="SlicerStyleDark1" rowHeight="251883"/>
  <slicer name="Ready for Client Verification Bucket Time" xr10:uid="{9104514C-38F3-4C08-A9B5-92216CEC1355}" cache="Slicer_Ready_for_Client_Verification_Bucket_Time" caption="Ready for Client Verification Bucket Time" style="SlicerStyleDark1" rowHeight="251883"/>
  <slicer name="Verification Complete Bucket Time" xr10:uid="{5409B545-AFFD-471F-AFA3-C8C3BA1D5977}" cache="Slicer_Verification_Complete_Bucket_Time" caption="Verification Complete Bucket Time" startItem="3"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123E1A-BDEA-4E10-B61C-56E12586E133}" name="Tasks" displayName="Tasks" ref="A1:AZ806" totalsRowShown="0" dataDxfId="56">
  <autoFilter ref="A1:AZ806" xr:uid="{2C123E1A-BDEA-4E10-B61C-56E12586E133}"/>
  <tableColumns count="52">
    <tableColumn id="52" xr3:uid="{523EB4DF-E4C8-460A-9881-BAD6403A1A01}" name="Task ID" dataDxfId="55"/>
    <tableColumn id="1" xr3:uid="{F44FE6CC-158F-4AD0-A2A2-A504438A182E}" name="Task Name" dataDxfId="54"/>
    <tableColumn id="2" xr3:uid="{9837AE1E-86D0-42DB-AD25-C57D916AE863}" name="Bucket Name" dataDxfId="53"/>
    <tableColumn id="3" xr3:uid="{80DC2693-57C5-47B0-94AD-1B97FEB4EA78}" name="Assigned To" dataDxfId="52"/>
    <tableColumn id="4" xr3:uid="{1238032F-ED38-4DA3-99C1-1D3C536B1E35}" name="Labels" dataDxfId="51"/>
    <tableColumn id="7" xr3:uid="{D46F2C0F-41D0-48EC-ACC4-444589702832}" name="Description" dataDxfId="50"/>
    <tableColumn id="5" xr3:uid="{34C7D4C5-B86B-45CF-91F7-F64E5640A940}" name="Site" dataDxfId="49"/>
    <tableColumn id="6" xr3:uid="{ABD6162F-A01D-442F-BB8E-2D6DA15B67E4}" name="Category" dataDxfId="48" totalsRowDxfId="47">
      <calculatedColumnFormula>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calculatedColumnFormula>
    </tableColumn>
    <tableColumn id="8" xr3:uid="{58746153-9978-47A3-AD09-EECA981511A1}" name="Configuration Days" dataDxfId="46" totalsRowDxfId="45"/>
    <tableColumn id="11" xr3:uid="{9FDDFE50-1C21-4982-8C5E-3004D8889CB4}" name="Blocked Configuration Days" totalsRowDxfId="44"/>
    <tableColumn id="10" xr3:uid="{E5D788EF-37BF-4743-A93A-B72F2A612971}" name="Effective Configuration Days" dataDxfId="43" totalsRowDxfId="42"/>
    <tableColumn id="13" xr3:uid="{BAC2FC62-89B2-4AEF-98B9-CD48B8B02FCA}" name="Number of Peer Reviews" dataDxfId="41"/>
    <tableColumn id="14" xr3:uid="{46C7AD85-2F5F-4A2C-A0CF-D9E5218A6FDE}" name="Peer Review Days" dataDxfId="40"/>
    <tableColumn id="15" xr3:uid="{DC6F7BD0-C81C-4341-8C36-891E08F795C3}" name="Peer Review Rework Days" dataDxfId="39"/>
    <tableColumn id="16" xr3:uid="{5549ECB5-4ACD-4D97-882E-2D420122B3A0}" name="Blocked Peer Review Rework Days" dataDxfId="38"/>
    <tableColumn id="17" xr3:uid="{3C0030F9-476E-4E8C-8722-2E0058268D1F}" name="Effective Peer Review Rework Days" dataDxfId="37"/>
    <tableColumn id="18" xr3:uid="{788C7313-D334-413A-B9FF-68A1429859F4}" name="Number of Ready for Demo" dataDxfId="36"/>
    <tableColumn id="19" xr3:uid="{C79EDD82-238F-406A-8D81-75F3001F8DA4}" name="Number of Demos" dataDxfId="35"/>
    <tableColumn id="20" xr3:uid="{A3529181-1070-4AA6-AF95-8DF32A1EB013}" name="Demo Rework Days" dataDxfId="34"/>
    <tableColumn id="21" xr3:uid="{6E38ECBB-D373-4992-A02B-255A26140AE2}" name="Blocked Demo Rework Days" dataDxfId="33"/>
    <tableColumn id="22" xr3:uid="{B478707F-EA86-403C-88FB-63A711DA6E0F}" name="Effective Demo Rework Days" dataDxfId="32"/>
    <tableColumn id="23" xr3:uid="{5350BA52-4173-4A59-82D3-A02BA4437BCF}" name="Number of Ready for Client Verification" dataDxfId="31"/>
    <tableColumn id="24" xr3:uid="{7F09DBFC-528B-45F8-9D5B-3303EF7A8C0D}" name="Number of Client Verification" dataDxfId="30"/>
    <tableColumn id="9" xr3:uid="{79FB8359-2865-40DD-A6D2-F4DB1EEBC775}" name="Client Verification Days" dataDxfId="29"/>
    <tableColumn id="25" xr3:uid="{421DC396-BF85-467F-8DDF-D4ACC8163E5A}" name="Rework Client Verification Days" dataDxfId="28"/>
    <tableColumn id="26" xr3:uid="{B5E49AE6-A71E-4B51-A5D2-9C09702ED4BF}" name="Blocked Rework Client Verification Days" dataDxfId="27"/>
    <tableColumn id="27" xr3:uid="{451CBE9B-D9F4-4AEF-A508-30D8C9D37B9D}" name="Effective Rework Client Verification Days" dataDxfId="26"/>
    <tableColumn id="28" xr3:uid="{DE04C53C-C290-4DA8-8AE9-66E3092817EE}" name="Verification Complete Date" dataDxfId="25"/>
    <tableColumn id="29" xr3:uid="{3D50CF9D-2164-4A3F-8E69-F9BDBCE15593}" name="Ready To Migrate Date" dataDxfId="24"/>
    <tableColumn id="12" xr3:uid="{C743CFFB-4B5C-42E9-815E-07ADFC364FDE}" name="Complete Bucket Time" dataDxfId="23"/>
    <tableColumn id="30" xr3:uid="{6B30BA77-9B5E-4D90-B46B-2EEE4CD9762A}" name="Peer Review Rework Bucket Time" dataDxfId="22"/>
    <tableColumn id="31" xr3:uid="{EEB75C18-287F-4ACB-9359-E5E047641895}" name="Ready for Demo Bucket Time" dataDxfId="21"/>
    <tableColumn id="32" xr3:uid="{389ADF49-0235-45BF-BB71-A81066A65779}" name="Demo Bucket Time" dataDxfId="20"/>
    <tableColumn id="33" xr3:uid="{A3D5D293-3A2B-43E9-88F5-B6038D65A677}" name="Ready for Client Verification Bucket Time" dataDxfId="19"/>
    <tableColumn id="34" xr3:uid="{FD672D04-6D59-47C1-8E11-E9C63E1EE70E}" name="Verification Complete Bucket Time" dataDxfId="18"/>
    <tableColumn id="35" xr3:uid="{CB60135A-5E27-443B-A04A-BCE0D4721B8E}" name="TEST METHOD" dataDxfId="17"/>
    <tableColumn id="36" xr3:uid="{B3576018-574B-4B75-9983-BE66FA8C1C4C}" name="PRODUCT" dataDxfId="16"/>
    <tableColumn id="37" xr3:uid="{94259A31-7E83-4E7F-945B-104830AFDAC6}" name="INSTRUMENT" dataDxfId="15"/>
    <tableColumn id="38" xr3:uid="{F6462469-C905-4FB8-9FA1-9F2BA8A68620}" name="PRODUCT VARIANT" dataDxfId="14"/>
    <tableColumn id="39" xr3:uid="{8D236350-7BCB-4E84-B1C1-653B5D8CD753}" name="SAMPLE PLAN" dataDxfId="13"/>
    <tableColumn id="40" xr3:uid="{C53A3F02-3C57-40B1-8B0D-0F861CC8C7D3}" name="CALIBRATION" dataDxfId="12"/>
    <tableColumn id="41" xr3:uid="{D8961BF8-9940-49DC-8EAC-0D7A09052F24}" name="RAW MATERIAL" dataDxfId="11"/>
    <tableColumn id="42" xr3:uid="{550AD003-B656-439D-92E3-352102597F7F}" name="DRUG SUBSTANCE" dataDxfId="10"/>
    <tableColumn id="43" xr3:uid="{850EA329-720A-49A7-A24D-7AD9A28E3532}" name="MICRO METHOD" dataDxfId="9"/>
    <tableColumn id="44" xr3:uid="{4B743768-21B9-4403-859F-6250D65C8A71}" name="NMP METHOD" dataDxfId="8"/>
    <tableColumn id="45" xr3:uid="{7AF2EDAE-2039-411E-9D87-4343086FF112}" name="IN PROCESS" dataDxfId="7"/>
    <tableColumn id="46" xr3:uid="{92F09298-845C-429A-BBD6-9DD6ABE83507}" name="FINISHED PRODUCT" dataDxfId="6"/>
    <tableColumn id="47" xr3:uid="{C4C37447-21E8-4DF9-943F-20F9C0DC2515}" name="EMPOWER" dataDxfId="5"/>
    <tableColumn id="48" xr3:uid="{A8270A04-9906-4261-9E3F-A425C44F262E}" name="PHASE 2.5" dataDxfId="4"/>
    <tableColumn id="49" xr3:uid="{2C06C565-1250-40D0-BD06-48DFDCFDFA27}" name="PHASE 3.0" dataDxfId="3"/>
    <tableColumn id="50" xr3:uid="{3AF010FB-17BB-4CBF-AD9B-1DCA90692AB1}" name="FULL BUILD" dataDxfId="2"/>
    <tableColumn id="51" xr3:uid="{C1077248-F881-445C-AFB7-6BAFA752DB6E}" name="SKELETON BUILD" dataDxfId="1"/>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72A325-FC4D-45D4-A133-6B7FF537699A}" name="Table6" displayName="Table6" ref="Z1:AB48" totalsRowShown="0" headerRowDxfId="0">
  <autoFilter ref="Z1:AB48" xr:uid="{3C72A325-FC4D-45D4-A133-6B7FF537699A}"/>
  <tableColumns count="3">
    <tableColumn id="1" xr3:uid="{68AE0BAD-D5C4-4E67-8BDF-CCD98B91F592}" name="Site"/>
    <tableColumn id="2" xr3:uid="{37D2391F-047E-4C83-8ECA-169D1043950C}" name="Label"/>
    <tableColumn id="3" xr3:uid="{10F3BBBD-1274-4463-A746-0991ED483EF1}" name="Frequ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976"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C9A1BB-00B6-41BE-AB30-35BA101FF603}">
  <we:reference id="wa104380862" version="3.0.0.0" store="en-US" storeType="OMEX"/>
  <we:alternateReferences>
    <we:reference id="WA104380862" version="3.0.0.0" store="WA104380862"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Z806"/>
  <sheetViews>
    <sheetView tabSelected="1" topLeftCell="AU13" zoomScale="101" workbookViewId="0">
      <selection activeCell="AU13" sqref="AU13"/>
    </sheetView>
  </sheetViews>
  <sheetFormatPr defaultRowHeight="15" customHeight="1" x14ac:dyDescent="0.35"/>
  <cols>
    <col min="2" max="2" width="39.54296875" customWidth="1"/>
    <col min="3" max="3" width="7.81640625" customWidth="1"/>
    <col min="4" max="4" width="6.81640625" customWidth="1"/>
    <col min="5" max="5" width="21.1796875" customWidth="1"/>
    <col min="6" max="6" width="51.453125" customWidth="1"/>
    <col min="8" max="8" width="29.453125" customWidth="1"/>
    <col min="9" max="9" width="20.54296875" bestFit="1" customWidth="1"/>
    <col min="10" max="10" width="28.453125" bestFit="1" customWidth="1"/>
    <col min="11" max="11" width="29.1796875" bestFit="1" customWidth="1"/>
    <col min="12" max="12" width="25.26953125" bestFit="1" customWidth="1"/>
    <col min="13" max="13" width="19.1796875" bestFit="1" customWidth="1"/>
    <col min="14" max="14" width="26.453125" bestFit="1" customWidth="1"/>
    <col min="15" max="15" width="34.26953125" bestFit="1" customWidth="1"/>
    <col min="16" max="16" width="34.81640625" bestFit="1" customWidth="1"/>
    <col min="17" max="17" width="27.54296875" bestFit="1" customWidth="1"/>
    <col min="18" max="18" width="19.7265625" bestFit="1" customWidth="1"/>
    <col min="19" max="19" width="20.7265625" bestFit="1" customWidth="1"/>
    <col min="20" max="20" width="28.54296875" bestFit="1" customWidth="1"/>
    <col min="21" max="21" width="29.26953125" bestFit="1" customWidth="1"/>
    <col min="22" max="22" width="38.7265625" bestFit="1" customWidth="1"/>
    <col min="23" max="23" width="29.7265625" bestFit="1" customWidth="1"/>
    <col min="24" max="24" width="31.81640625" bestFit="1" customWidth="1"/>
    <col min="25" max="25" width="39.7265625" bestFit="1" customWidth="1"/>
    <col min="26" max="26" width="40.453125" bestFit="1" customWidth="1"/>
    <col min="27" max="27" width="28" bestFit="1" customWidth="1"/>
    <col min="28" max="29" width="23.26953125" bestFit="1" customWidth="1"/>
    <col min="30" max="30" width="22.453125" bestFit="1" customWidth="1"/>
    <col min="31" max="31" width="31.90625" bestFit="1" customWidth="1"/>
    <col min="32" max="32" width="27.81640625" bestFit="1" customWidth="1"/>
    <col min="33" max="33" width="19.1796875" bestFit="1" customWidth="1"/>
    <col min="34" max="34" width="38.453125" bestFit="1" customWidth="1"/>
    <col min="35" max="35" width="33.08984375" bestFit="1" customWidth="1"/>
    <col min="36" max="36" width="10.7265625" customWidth="1"/>
    <col min="37" max="37" width="11.7265625" bestFit="1" customWidth="1"/>
    <col min="38" max="38" width="14.453125" bestFit="1" customWidth="1"/>
    <col min="39" max="39" width="19.7265625" bestFit="1" customWidth="1"/>
    <col min="40" max="40" width="15" bestFit="1" customWidth="1"/>
    <col min="41" max="41" width="14.81640625" bestFit="1" customWidth="1"/>
    <col min="42" max="42" width="16.1796875" bestFit="1" customWidth="1"/>
    <col min="43" max="43" width="19.36328125" bestFit="1" customWidth="1"/>
    <col min="44" max="44" width="17.26953125" bestFit="1" customWidth="1"/>
    <col min="45" max="45" width="15.26953125" bestFit="1" customWidth="1"/>
    <col min="46" max="46" width="13.7265625" bestFit="1" customWidth="1"/>
    <col min="47" max="47" width="20.54296875" customWidth="1"/>
    <col min="48" max="48" width="12.26953125" bestFit="1" customWidth="1"/>
    <col min="49" max="50" width="11.7265625" bestFit="1" customWidth="1"/>
  </cols>
  <sheetData>
    <row r="1" spans="1:52" ht="29" x14ac:dyDescent="0.35">
      <c r="A1" t="s">
        <v>584</v>
      </c>
      <c r="B1" t="s">
        <v>0</v>
      </c>
      <c r="C1" t="s">
        <v>1</v>
      </c>
      <c r="D1" t="s">
        <v>598</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s="4" t="s">
        <v>25</v>
      </c>
      <c r="AC1" t="s">
        <v>26</v>
      </c>
      <c r="AD1" s="8" t="s">
        <v>561</v>
      </c>
      <c r="AE1" s="8" t="s">
        <v>562</v>
      </c>
      <c r="AF1" s="8" t="s">
        <v>563</v>
      </c>
      <c r="AG1" s="8" t="s">
        <v>564</v>
      </c>
      <c r="AH1" s="8" t="s">
        <v>565</v>
      </c>
      <c r="AI1" s="8" t="s">
        <v>566</v>
      </c>
      <c r="AJ1" s="1" t="s">
        <v>567</v>
      </c>
      <c r="AK1" t="s">
        <v>568</v>
      </c>
      <c r="AL1" t="s">
        <v>569</v>
      </c>
      <c r="AM1" t="s">
        <v>570</v>
      </c>
      <c r="AN1" t="s">
        <v>571</v>
      </c>
      <c r="AO1" t="s">
        <v>572</v>
      </c>
      <c r="AP1" t="s">
        <v>573</v>
      </c>
      <c r="AQ1" t="s">
        <v>574</v>
      </c>
      <c r="AR1" t="s">
        <v>575</v>
      </c>
      <c r="AS1" t="s">
        <v>576</v>
      </c>
      <c r="AT1" t="s">
        <v>577</v>
      </c>
      <c r="AU1" t="s">
        <v>578</v>
      </c>
      <c r="AV1" t="s">
        <v>579</v>
      </c>
      <c r="AW1" t="s">
        <v>580</v>
      </c>
      <c r="AX1" t="s">
        <v>581</v>
      </c>
      <c r="AY1" t="s">
        <v>582</v>
      </c>
      <c r="AZ1" t="s">
        <v>583</v>
      </c>
    </row>
    <row r="2" spans="1:52" ht="15" customHeight="1" x14ac:dyDescent="0.35">
      <c r="A2" s="1" t="s">
        <v>599</v>
      </c>
      <c r="B2" s="1" t="s">
        <v>600</v>
      </c>
      <c r="C2" s="1" t="s">
        <v>601</v>
      </c>
      <c r="D2" s="1" t="s">
        <v>602</v>
      </c>
      <c r="E2" s="1" t="s">
        <v>603</v>
      </c>
      <c r="F2" s="9" t="s">
        <v>604</v>
      </c>
      <c r="G2" s="1" t="s">
        <v>406</v>
      </c>
      <c r="H2" s="10" t="s">
        <v>595</v>
      </c>
      <c r="I2" s="11">
        <f>0</f>
        <v>0</v>
      </c>
      <c r="J2" s="1">
        <f>0</f>
        <v>0</v>
      </c>
      <c r="K2" s="1">
        <v>0</v>
      </c>
      <c r="L2" s="1">
        <v>0</v>
      </c>
      <c r="M2" s="1">
        <f>0</f>
        <v>0</v>
      </c>
      <c r="N2" s="1">
        <f>0</f>
        <v>0</v>
      </c>
      <c r="O2" s="1">
        <f>0</f>
        <v>0</v>
      </c>
      <c r="P2" s="1">
        <v>0</v>
      </c>
      <c r="Q2" s="1">
        <v>0</v>
      </c>
      <c r="R2" s="1">
        <v>0</v>
      </c>
      <c r="S2" s="1">
        <f>0</f>
        <v>0</v>
      </c>
      <c r="T2" s="1">
        <f>0</f>
        <v>0</v>
      </c>
      <c r="U2" s="1">
        <v>0</v>
      </c>
      <c r="V2" s="1">
        <v>0</v>
      </c>
      <c r="W2" s="1">
        <v>0</v>
      </c>
      <c r="X2" s="1">
        <f>0</f>
        <v>0</v>
      </c>
      <c r="Y2" s="1">
        <f>0</f>
        <v>0</v>
      </c>
      <c r="Z2" s="1">
        <f>0</f>
        <v>0</v>
      </c>
      <c r="AA2" s="1">
        <v>0</v>
      </c>
      <c r="AB2" s="5"/>
      <c r="AC2" s="5"/>
      <c r="AD2" s="1">
        <f>0</f>
        <v>0</v>
      </c>
      <c r="AE2" s="1">
        <f>0</f>
        <v>0</v>
      </c>
      <c r="AF2" s="1">
        <f>0</f>
        <v>0</v>
      </c>
      <c r="AG2" s="1">
        <f>0</f>
        <v>0</v>
      </c>
      <c r="AH2" s="1">
        <f>0</f>
        <v>0</v>
      </c>
      <c r="AI2" s="1">
        <f>0</f>
        <v>0</v>
      </c>
      <c r="AJ2" s="1"/>
      <c r="AK2" s="1"/>
      <c r="AL2" s="1"/>
      <c r="AM2" s="1"/>
      <c r="AN2" s="1"/>
      <c r="AO2" s="1"/>
      <c r="AP2" s="1"/>
      <c r="AQ2" s="1"/>
      <c r="AR2" s="1"/>
      <c r="AS2" s="1"/>
      <c r="AT2" s="1"/>
      <c r="AU2" s="1"/>
      <c r="AV2" s="1"/>
      <c r="AW2" s="1"/>
      <c r="AX2" s="1"/>
      <c r="AY2" s="1"/>
      <c r="AZ2" s="1"/>
    </row>
    <row r="3" spans="1:52" ht="15" customHeight="1" x14ac:dyDescent="0.35">
      <c r="A3" s="1" t="s">
        <v>605</v>
      </c>
      <c r="B3" s="1" t="s">
        <v>606</v>
      </c>
      <c r="C3" s="1" t="s">
        <v>601</v>
      </c>
      <c r="D3" s="1" t="s">
        <v>607</v>
      </c>
      <c r="E3" s="1" t="s">
        <v>608</v>
      </c>
      <c r="F3" s="9" t="s">
        <v>609</v>
      </c>
      <c r="G3" s="1" t="s">
        <v>406</v>
      </c>
      <c r="H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 s="11">
        <f>0</f>
        <v>0</v>
      </c>
      <c r="J3" s="1">
        <f>0</f>
        <v>0</v>
      </c>
      <c r="K3" s="1"/>
      <c r="L3" s="1">
        <v>0</v>
      </c>
      <c r="M3" s="1">
        <f>0</f>
        <v>0</v>
      </c>
      <c r="N3" s="1">
        <f>0</f>
        <v>0</v>
      </c>
      <c r="O3" s="1">
        <f>0</f>
        <v>0</v>
      </c>
      <c r="P3" s="1"/>
      <c r="Q3" s="1">
        <v>0</v>
      </c>
      <c r="R3" s="1">
        <v>0</v>
      </c>
      <c r="S3" s="1">
        <f>0</f>
        <v>0</v>
      </c>
      <c r="T3" s="1">
        <f>0</f>
        <v>0</v>
      </c>
      <c r="U3" s="1"/>
      <c r="V3" s="1">
        <v>0</v>
      </c>
      <c r="W3" s="1">
        <v>0</v>
      </c>
      <c r="X3" s="1">
        <f>0</f>
        <v>0</v>
      </c>
      <c r="Y3" s="1">
        <f>0</f>
        <v>0</v>
      </c>
      <c r="Z3" s="1">
        <f>0</f>
        <v>0</v>
      </c>
      <c r="AA3" s="1"/>
      <c r="AB3" s="5"/>
      <c r="AC3" s="5"/>
      <c r="AD3" s="1">
        <f>0</f>
        <v>0</v>
      </c>
      <c r="AE3" s="1">
        <f>0</f>
        <v>0</v>
      </c>
      <c r="AF3" s="1">
        <f>0</f>
        <v>0</v>
      </c>
      <c r="AG3" s="1">
        <f>0</f>
        <v>0</v>
      </c>
      <c r="AH3" s="1">
        <f>0</f>
        <v>0</v>
      </c>
      <c r="AI3" s="1">
        <f>0</f>
        <v>0</v>
      </c>
      <c r="AJ3" s="1"/>
      <c r="AK3" s="1"/>
      <c r="AL3" s="1" t="b">
        <v>1</v>
      </c>
      <c r="AM3" s="1"/>
      <c r="AN3" s="1"/>
      <c r="AO3" s="1"/>
      <c r="AP3" s="1"/>
      <c r="AQ3" s="1"/>
      <c r="AR3" s="1"/>
      <c r="AS3" s="1"/>
      <c r="AT3" s="1"/>
      <c r="AU3" s="1"/>
      <c r="AV3" s="1"/>
      <c r="AW3" s="1"/>
      <c r="AX3" s="1"/>
      <c r="AY3" s="1"/>
      <c r="AZ3" s="1"/>
    </row>
    <row r="4" spans="1:52" ht="15" customHeight="1" x14ac:dyDescent="0.35">
      <c r="A4" s="1" t="s">
        <v>610</v>
      </c>
      <c r="B4" s="1" t="s">
        <v>611</v>
      </c>
      <c r="C4" s="1" t="s">
        <v>612</v>
      </c>
      <c r="D4" s="1" t="s">
        <v>613</v>
      </c>
      <c r="E4" s="1" t="s">
        <v>614</v>
      </c>
      <c r="F4" s="9" t="s">
        <v>615</v>
      </c>
      <c r="G4" s="1" t="s">
        <v>406</v>
      </c>
      <c r="H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4" s="11" t="e">
        <f>ABS(NETWORKDAYS.INTL("07/18/2024", "7/15/2024", 1, {"01/01/2024","01/15/2024","02/19/2024","05/27/2024","07/04/2024","09/02/2024","10/14/2024","11/11/2024","11/28/2024","12/25/2024","12/25/2024","12/26/2024","12/27/2024","12/28/2024","12/29/2024","12/30/2024","31/25/2024","01/01/2024","01/02/2024","01/03/2024","01/04/2024","01/05/2024"}))</f>
        <v>#VALUE!</v>
      </c>
      <c r="J4" s="1">
        <f>0</f>
        <v>0</v>
      </c>
      <c r="K4" s="1"/>
      <c r="L4" s="1">
        <v>1</v>
      </c>
      <c r="M4" s="1" t="e">
        <f>ABS(NETWORKDAYS.INTL("07/18/2024", "07/18/2024", 1, {"01/01/2024","01/15/2024","02/19/2024","05/27/2024","07/04/2024","09/02/2024","10/14/2024","11/11/2024","11/28/2024","12/25/2024","12/25/2024","12/26/2024","12/27/2024","12/28/2024","12/29/2024","12/30/2024","31/25/2024","01/01/2024","01/02/2024","01/03/2024","01/04/2024","01/05/2024"}))</f>
        <v>#VALUE!</v>
      </c>
      <c r="N4" s="1">
        <f>0</f>
        <v>0</v>
      </c>
      <c r="O4" s="1">
        <f>0</f>
        <v>0</v>
      </c>
      <c r="P4" s="1"/>
      <c r="Q4" s="1">
        <v>1</v>
      </c>
      <c r="R4" s="1">
        <v>0</v>
      </c>
      <c r="S4" s="1">
        <f>0</f>
        <v>0</v>
      </c>
      <c r="T4" s="1">
        <f>0</f>
        <v>0</v>
      </c>
      <c r="U4" s="1"/>
      <c r="V4" s="1">
        <v>1</v>
      </c>
      <c r="W4" s="1">
        <v>1</v>
      </c>
      <c r="X4" s="1" t="e">
        <f>ABS(NETWORKDAYS.INTL("07/18/2024", "08/05/24", 1, {"01/01/2024","01/15/2024","02/19/2024","05/27/2024","07/04/2024","09/02/2024","10/14/2024","11/11/2024","11/28/2024","12/25/2024","12/25/2024","12/26/2024","12/27/2024","12/28/2024","12/29/2024","12/30/2024","31/25/2024","01/01/2024","01/02/2024","01/03/2024","01/04/2024","01/05/2024"}))</f>
        <v>#VALUE!</v>
      </c>
      <c r="Y4" s="1">
        <f>0</f>
        <v>0</v>
      </c>
      <c r="Z4" s="1">
        <f>0</f>
        <v>0</v>
      </c>
      <c r="AA4" s="1"/>
      <c r="AB4" s="5"/>
      <c r="AC4" s="5"/>
      <c r="AD4" s="1" t="e">
        <f>ABS(NETWORKDAYS.INTL("07/18/2024", "7/15/2024", 1, {"01/01/2024","01/15/2024","02/19/2024","05/27/2024","07/04/2024","09/02/2024","10/14/2024","11/11/2024","11/28/2024","12/25/2024","12/25/2024","12/26/2024","12/27/2024","12/28/2024","12/29/2024","12/30/2024","31/25/2024","01/01/2024","01/02/2024","01/03/2024","01/04/2024","01/05/2024"}))</f>
        <v>#VALUE!</v>
      </c>
      <c r="AE4" s="1">
        <f>0</f>
        <v>0</v>
      </c>
      <c r="AF4" s="1">
        <f>0</f>
        <v>0</v>
      </c>
      <c r="AG4" s="1" t="e">
        <f>ABS(NETWORKDAYS.INTL("07/18/2024", "08/05/24", 1, {"01/01/2024","01/15/2024","02/19/2024","05/27/2024","07/04/2024","09/02/2024","10/14/2024","11/11/2024","11/28/2024","12/25/2024","12/25/2024","12/26/2024","12/27/2024","12/28/2024","12/29/2024","12/30/2024","31/25/2024","01/01/2024","01/02/2024","01/03/2024","01/04/2024","01/05/2024"}))</f>
        <v>#VALUE!</v>
      </c>
      <c r="AH4" s="1" t="e">
        <f>ABS(NETWORKDAYS.INTL("07/18/2024", "07/18/2024", 1, {"01/01/2024","01/15/2024","02/19/2024","05/27/2024","07/04/2024","09/02/2024","10/14/2024","11/11/2024","11/28/2024","12/25/2024","12/25/2024","12/26/2024","12/27/2024","12/28/2024","12/29/2024","12/30/2024","31/25/2024","01/01/2024","01/02/2024","01/03/2024","01/04/2024","01/05/2024"}))</f>
        <v>#VALUE!</v>
      </c>
      <c r="AI4" s="1">
        <f>0</f>
        <v>0</v>
      </c>
      <c r="AJ4" s="1"/>
      <c r="AK4" s="1" t="b">
        <v>1</v>
      </c>
      <c r="AL4" s="1"/>
      <c r="AM4" s="1"/>
      <c r="AN4" s="1"/>
      <c r="AO4" s="1"/>
      <c r="AP4" s="1"/>
      <c r="AQ4" s="1"/>
      <c r="AR4" s="1"/>
      <c r="AS4" s="1"/>
      <c r="AT4" s="1"/>
      <c r="AU4" s="1"/>
      <c r="AV4" s="1"/>
      <c r="AW4" s="1"/>
      <c r="AX4" s="1"/>
      <c r="AY4" s="1"/>
      <c r="AZ4" s="1"/>
    </row>
    <row r="5" spans="1:52" ht="15" customHeight="1" x14ac:dyDescent="0.35">
      <c r="A5" s="1" t="s">
        <v>616</v>
      </c>
      <c r="B5" s="1" t="s">
        <v>617</v>
      </c>
      <c r="C5" s="1" t="s">
        <v>612</v>
      </c>
      <c r="D5" s="1" t="s">
        <v>613</v>
      </c>
      <c r="E5" s="1" t="s">
        <v>614</v>
      </c>
      <c r="F5" s="9" t="s">
        <v>615</v>
      </c>
      <c r="G5" s="1" t="s">
        <v>406</v>
      </c>
      <c r="H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 s="11" t="e">
        <f>ABS(NETWORKDAYS.INTL("07/18/2024", "7/15/2024", 1, {"01/01/2024","01/15/2024","02/19/2024","05/27/2024","07/04/2024","09/02/2024","10/14/2024","11/11/2024","11/28/2024","12/25/2024","12/25/2024","12/26/2024","12/27/2024","12/28/2024","12/29/2024","12/30/2024","31/25/2024","01/01/2024","01/02/2024","01/03/2024","01/04/2024","01/05/2024"}))</f>
        <v>#VALUE!</v>
      </c>
      <c r="J5" s="1">
        <f>0</f>
        <v>0</v>
      </c>
      <c r="K5" s="1"/>
      <c r="L5" s="1">
        <v>1</v>
      </c>
      <c r="M5" s="1" t="e">
        <f>ABS(NETWORKDAYS.INTL("07/18/2024", "07/18/2024", 1, {"01/01/2024","01/15/2024","02/19/2024","05/27/2024","07/04/2024","09/02/2024","10/14/2024","11/11/2024","11/28/2024","12/25/2024","12/25/2024","12/26/2024","12/27/2024","12/28/2024","12/29/2024","12/30/2024","31/25/2024","01/01/2024","01/02/2024","01/03/2024","01/04/2024","01/05/2024"}))</f>
        <v>#VALUE!</v>
      </c>
      <c r="N5" s="1">
        <f>0</f>
        <v>0</v>
      </c>
      <c r="O5" s="1">
        <f>0</f>
        <v>0</v>
      </c>
      <c r="P5" s="1"/>
      <c r="Q5" s="1">
        <v>1</v>
      </c>
      <c r="R5" s="1">
        <v>0</v>
      </c>
      <c r="S5" s="1">
        <f>0</f>
        <v>0</v>
      </c>
      <c r="T5" s="1">
        <f>0</f>
        <v>0</v>
      </c>
      <c r="U5" s="1"/>
      <c r="V5" s="1">
        <v>1</v>
      </c>
      <c r="W5" s="1">
        <v>1</v>
      </c>
      <c r="X5" s="1" t="e">
        <f>ABS(NETWORKDAYS.INTL("07/18/2024", "08/05/24", 1, {"01/01/2024","01/15/2024","02/19/2024","05/27/2024","07/04/2024","09/02/2024","10/14/2024","11/11/2024","11/28/2024","12/25/2024","12/25/2024","12/26/2024","12/27/2024","12/28/2024","12/29/2024","12/30/2024","31/25/2024","01/01/2024","01/02/2024","01/03/2024","01/04/2024","01/05/2024"}))</f>
        <v>#VALUE!</v>
      </c>
      <c r="Y5" s="1">
        <f>0</f>
        <v>0</v>
      </c>
      <c r="Z5" s="1">
        <f>0</f>
        <v>0</v>
      </c>
      <c r="AA5" s="1"/>
      <c r="AB5" s="5"/>
      <c r="AC5" s="5"/>
      <c r="AD5" s="1" t="e">
        <f>ABS(NETWORKDAYS.INTL("07/18/2024", "7/15/2024", 1, {"01/01/2024","01/15/2024","02/19/2024","05/27/2024","07/04/2024","09/02/2024","10/14/2024","11/11/2024","11/28/2024","12/25/2024","12/25/2024","12/26/2024","12/27/2024","12/28/2024","12/29/2024","12/30/2024","31/25/2024","01/01/2024","01/02/2024","01/03/2024","01/04/2024","01/05/2024"}))</f>
        <v>#VALUE!</v>
      </c>
      <c r="AE5" s="1">
        <f>0</f>
        <v>0</v>
      </c>
      <c r="AF5" s="1">
        <f>0</f>
        <v>0</v>
      </c>
      <c r="AG5" s="1" t="e">
        <f>ABS(NETWORKDAYS.INTL("07/18/2024", "08/05/24", 1, {"01/01/2024","01/15/2024","02/19/2024","05/27/2024","07/04/2024","09/02/2024","10/14/2024","11/11/2024","11/28/2024","12/25/2024","12/25/2024","12/26/2024","12/27/2024","12/28/2024","12/29/2024","12/30/2024","31/25/2024","01/01/2024","01/02/2024","01/03/2024","01/04/2024","01/05/2024"}))</f>
        <v>#VALUE!</v>
      </c>
      <c r="AH5" s="1" t="e">
        <f>ABS(NETWORKDAYS.INTL("07/18/2024", "07/18/2024", 1, {"01/01/2024","01/15/2024","02/19/2024","05/27/2024","07/04/2024","09/02/2024","10/14/2024","11/11/2024","11/28/2024","12/25/2024","12/25/2024","12/26/2024","12/27/2024","12/28/2024","12/29/2024","12/30/2024","31/25/2024","01/01/2024","01/02/2024","01/03/2024","01/04/2024","01/05/2024"}))</f>
        <v>#VALUE!</v>
      </c>
      <c r="AI5" s="1">
        <f>0</f>
        <v>0</v>
      </c>
      <c r="AJ5" s="1"/>
      <c r="AK5" s="1" t="b">
        <v>1</v>
      </c>
      <c r="AL5" s="1"/>
      <c r="AM5" s="1"/>
      <c r="AN5" s="1"/>
      <c r="AO5" s="1"/>
      <c r="AP5" s="1"/>
      <c r="AQ5" s="1"/>
      <c r="AR5" s="1"/>
      <c r="AS5" s="1"/>
      <c r="AT5" s="1"/>
      <c r="AU5" s="1"/>
      <c r="AV5" s="1"/>
      <c r="AW5" s="1"/>
      <c r="AX5" s="1"/>
      <c r="AY5" s="1"/>
      <c r="AZ5" s="1"/>
    </row>
    <row r="6" spans="1:52" ht="15" customHeight="1" x14ac:dyDescent="0.35">
      <c r="A6" s="1" t="s">
        <v>618</v>
      </c>
      <c r="B6" s="1" t="s">
        <v>619</v>
      </c>
      <c r="C6" s="1" t="s">
        <v>612</v>
      </c>
      <c r="D6" s="1" t="s">
        <v>613</v>
      </c>
      <c r="E6" s="1" t="s">
        <v>614</v>
      </c>
      <c r="F6" s="9" t="s">
        <v>615</v>
      </c>
      <c r="G6" s="1" t="s">
        <v>406</v>
      </c>
      <c r="H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 s="11" t="e">
        <f>ABS(NETWORKDAYS.INTL("07/18/2024", "7/15/2024", 1, {"01/01/2024","01/15/2024","02/19/2024","05/27/2024","07/04/2024","09/02/2024","10/14/2024","11/11/2024","11/28/2024","12/25/2024","12/25/2024","12/26/2024","12/27/2024","12/28/2024","12/29/2024","12/30/2024","31/25/2024","01/01/2024","01/02/2024","01/03/2024","01/04/2024","01/05/2024"}))</f>
        <v>#VALUE!</v>
      </c>
      <c r="J6" s="1">
        <f>0</f>
        <v>0</v>
      </c>
      <c r="K6" s="1"/>
      <c r="L6" s="1">
        <v>1</v>
      </c>
      <c r="M6" s="1" t="e">
        <f>ABS(NETWORKDAYS.INTL("07/18/2024", "07/18/2024", 1, {"01/01/2024","01/15/2024","02/19/2024","05/27/2024","07/04/2024","09/02/2024","10/14/2024","11/11/2024","11/28/2024","12/25/2024","12/25/2024","12/26/2024","12/27/2024","12/28/2024","12/29/2024","12/30/2024","31/25/2024","01/01/2024","01/02/2024","01/03/2024","01/04/2024","01/05/2024"}))</f>
        <v>#VALUE!</v>
      </c>
      <c r="N6" s="1">
        <f>0</f>
        <v>0</v>
      </c>
      <c r="O6" s="1">
        <f>0</f>
        <v>0</v>
      </c>
      <c r="P6" s="1"/>
      <c r="Q6" s="1">
        <v>1</v>
      </c>
      <c r="R6" s="1">
        <v>0</v>
      </c>
      <c r="S6" s="1">
        <f>0</f>
        <v>0</v>
      </c>
      <c r="T6" s="1">
        <f>0</f>
        <v>0</v>
      </c>
      <c r="U6" s="1"/>
      <c r="V6" s="1">
        <v>1</v>
      </c>
      <c r="W6" s="1">
        <v>1</v>
      </c>
      <c r="X6" s="1" t="e">
        <f>ABS(NETWORKDAYS.INTL("07/18/2024", "08/05/24", 1, {"01/01/2024","01/15/2024","02/19/2024","05/27/2024","07/04/2024","09/02/2024","10/14/2024","11/11/2024","11/28/2024","12/25/2024","12/25/2024","12/26/2024","12/27/2024","12/28/2024","12/29/2024","12/30/2024","31/25/2024","01/01/2024","01/02/2024","01/03/2024","01/04/2024","01/05/2024"}))</f>
        <v>#VALUE!</v>
      </c>
      <c r="Y6" s="1">
        <f>0</f>
        <v>0</v>
      </c>
      <c r="Z6" s="1">
        <f>0</f>
        <v>0</v>
      </c>
      <c r="AA6" s="1"/>
      <c r="AB6" s="5"/>
      <c r="AC6" s="5"/>
      <c r="AD6" s="1" t="e">
        <f>ABS(NETWORKDAYS.INTL("07/18/2024", "7/15/2024", 1, {"01/01/2024","01/15/2024","02/19/2024","05/27/2024","07/04/2024","09/02/2024","10/14/2024","11/11/2024","11/28/2024","12/25/2024","12/25/2024","12/26/2024","12/27/2024","12/28/2024","12/29/2024","12/30/2024","31/25/2024","01/01/2024","01/02/2024","01/03/2024","01/04/2024","01/05/2024"}))</f>
        <v>#VALUE!</v>
      </c>
      <c r="AE6" s="1">
        <f>0</f>
        <v>0</v>
      </c>
      <c r="AF6" s="1">
        <f>0</f>
        <v>0</v>
      </c>
      <c r="AG6" s="1" t="e">
        <f>ABS(NETWORKDAYS.INTL("07/18/2024", "08/05/24", 1, {"01/01/2024","01/15/2024","02/19/2024","05/27/2024","07/04/2024","09/02/2024","10/14/2024","11/11/2024","11/28/2024","12/25/2024","12/25/2024","12/26/2024","12/27/2024","12/28/2024","12/29/2024","12/30/2024","31/25/2024","01/01/2024","01/02/2024","01/03/2024","01/04/2024","01/05/2024"}))</f>
        <v>#VALUE!</v>
      </c>
      <c r="AH6" s="1" t="e">
        <f>ABS(NETWORKDAYS.INTL("07/18/2024", "07/18/2024", 1, {"01/01/2024","01/15/2024","02/19/2024","05/27/2024","07/04/2024","09/02/2024","10/14/2024","11/11/2024","11/28/2024","12/25/2024","12/25/2024","12/26/2024","12/27/2024","12/28/2024","12/29/2024","12/30/2024","31/25/2024","01/01/2024","01/02/2024","01/03/2024","01/04/2024","01/05/2024"}))</f>
        <v>#VALUE!</v>
      </c>
      <c r="AI6" s="1">
        <f>0</f>
        <v>0</v>
      </c>
      <c r="AJ6" s="1"/>
      <c r="AK6" s="1" t="b">
        <v>1</v>
      </c>
      <c r="AL6" s="1"/>
      <c r="AM6" s="1"/>
      <c r="AN6" s="1"/>
      <c r="AO6" s="1"/>
      <c r="AP6" s="1"/>
      <c r="AQ6" s="1"/>
      <c r="AR6" s="1"/>
      <c r="AS6" s="1"/>
      <c r="AT6" s="1"/>
      <c r="AU6" s="1"/>
      <c r="AV6" s="1"/>
      <c r="AW6" s="1"/>
      <c r="AX6" s="1"/>
      <c r="AY6" s="1"/>
      <c r="AZ6" s="1"/>
    </row>
    <row r="7" spans="1:52" ht="15" customHeight="1" x14ac:dyDescent="0.35">
      <c r="A7" s="1" t="s">
        <v>620</v>
      </c>
      <c r="B7" s="1" t="s">
        <v>621</v>
      </c>
      <c r="C7" s="1" t="s">
        <v>612</v>
      </c>
      <c r="D7" s="1" t="s">
        <v>613</v>
      </c>
      <c r="E7" s="1" t="s">
        <v>614</v>
      </c>
      <c r="F7" s="9" t="s">
        <v>615</v>
      </c>
      <c r="G7" s="1" t="s">
        <v>406</v>
      </c>
      <c r="H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 s="11" t="e">
        <f>ABS(NETWORKDAYS.INTL("07/18/2024", "7/15/2024", 1, {"01/01/2024","01/15/2024","02/19/2024","05/27/2024","07/04/2024","09/02/2024","10/14/2024","11/11/2024","11/28/2024","12/25/2024","12/25/2024","12/26/2024","12/27/2024","12/28/2024","12/29/2024","12/30/2024","31/25/2024","01/01/2024","01/02/2024","01/03/2024","01/04/2024","01/05/2024"}))</f>
        <v>#VALUE!</v>
      </c>
      <c r="J7" s="1">
        <f>0</f>
        <v>0</v>
      </c>
      <c r="K7" s="1"/>
      <c r="L7" s="1">
        <v>1</v>
      </c>
      <c r="M7" s="1" t="e">
        <f>ABS(NETWORKDAYS.INTL("07/18/2024", "07/18/2024", 1, {"01/01/2024","01/15/2024","02/19/2024","05/27/2024","07/04/2024","09/02/2024","10/14/2024","11/11/2024","11/28/2024","12/25/2024","12/25/2024","12/26/2024","12/27/2024","12/28/2024","12/29/2024","12/30/2024","31/25/2024","01/01/2024","01/02/2024","01/03/2024","01/04/2024","01/05/2024"}))</f>
        <v>#VALUE!</v>
      </c>
      <c r="N7" s="1">
        <f>0</f>
        <v>0</v>
      </c>
      <c r="O7" s="1">
        <f>0</f>
        <v>0</v>
      </c>
      <c r="P7" s="1"/>
      <c r="Q7" s="1">
        <v>1</v>
      </c>
      <c r="R7" s="1">
        <v>0</v>
      </c>
      <c r="S7" s="1">
        <f>0</f>
        <v>0</v>
      </c>
      <c r="T7" s="1">
        <f>0</f>
        <v>0</v>
      </c>
      <c r="U7" s="1"/>
      <c r="V7" s="1">
        <v>1</v>
      </c>
      <c r="W7" s="1">
        <v>1</v>
      </c>
      <c r="X7" s="1" t="e">
        <f>ABS(NETWORKDAYS.INTL("07/18/2024", "08/05/24", 1, {"01/01/2024","01/15/2024","02/19/2024","05/27/2024","07/04/2024","09/02/2024","10/14/2024","11/11/2024","11/28/2024","12/25/2024","12/25/2024","12/26/2024","12/27/2024","12/28/2024","12/29/2024","12/30/2024","31/25/2024","01/01/2024","01/02/2024","01/03/2024","01/04/2024","01/05/2024"}))</f>
        <v>#VALUE!</v>
      </c>
      <c r="Y7" s="1">
        <f>0</f>
        <v>0</v>
      </c>
      <c r="Z7" s="1">
        <f>0</f>
        <v>0</v>
      </c>
      <c r="AA7" s="1"/>
      <c r="AB7" s="5"/>
      <c r="AC7" s="5"/>
      <c r="AD7" s="1" t="e">
        <f>ABS(NETWORKDAYS.INTL("07/18/2024", "7/15/2024", 1, {"01/01/2024","01/15/2024","02/19/2024","05/27/2024","07/04/2024","09/02/2024","10/14/2024","11/11/2024","11/28/2024","12/25/2024","12/25/2024","12/26/2024","12/27/2024","12/28/2024","12/29/2024","12/30/2024","31/25/2024","01/01/2024","01/02/2024","01/03/2024","01/04/2024","01/05/2024"}))</f>
        <v>#VALUE!</v>
      </c>
      <c r="AE7" s="1">
        <f>0</f>
        <v>0</v>
      </c>
      <c r="AF7" s="1">
        <f>0</f>
        <v>0</v>
      </c>
      <c r="AG7" s="1" t="e">
        <f>ABS(NETWORKDAYS.INTL("07/18/2024", "08/05/24", 1, {"01/01/2024","01/15/2024","02/19/2024","05/27/2024","07/04/2024","09/02/2024","10/14/2024","11/11/2024","11/28/2024","12/25/2024","12/25/2024","12/26/2024","12/27/2024","12/28/2024","12/29/2024","12/30/2024","31/25/2024","01/01/2024","01/02/2024","01/03/2024","01/04/2024","01/05/2024"}))</f>
        <v>#VALUE!</v>
      </c>
      <c r="AH7" s="1" t="e">
        <f>ABS(NETWORKDAYS.INTL("07/18/2024", "07/18/2024", 1, {"01/01/2024","01/15/2024","02/19/2024","05/27/2024","07/04/2024","09/02/2024","10/14/2024","11/11/2024","11/28/2024","12/25/2024","12/25/2024","12/26/2024","12/27/2024","12/28/2024","12/29/2024","12/30/2024","31/25/2024","01/01/2024","01/02/2024","01/03/2024","01/04/2024","01/05/2024"}))</f>
        <v>#VALUE!</v>
      </c>
      <c r="AI7" s="1">
        <f>0</f>
        <v>0</v>
      </c>
      <c r="AJ7" s="1"/>
      <c r="AK7" s="1" t="b">
        <v>1</v>
      </c>
      <c r="AL7" s="1"/>
      <c r="AM7" s="1"/>
      <c r="AN7" s="1"/>
      <c r="AO7" s="1"/>
      <c r="AP7" s="1"/>
      <c r="AQ7" s="1"/>
      <c r="AR7" s="1"/>
      <c r="AS7" s="1"/>
      <c r="AT7" s="1"/>
      <c r="AU7" s="1"/>
      <c r="AV7" s="1"/>
      <c r="AW7" s="1"/>
      <c r="AX7" s="1"/>
      <c r="AY7" s="1"/>
      <c r="AZ7" s="1"/>
    </row>
    <row r="8" spans="1:52" ht="15" customHeight="1" x14ac:dyDescent="0.35">
      <c r="A8" s="1" t="s">
        <v>622</v>
      </c>
      <c r="B8" s="1" t="s">
        <v>623</v>
      </c>
      <c r="C8" s="1" t="s">
        <v>624</v>
      </c>
      <c r="D8" s="1" t="s">
        <v>625</v>
      </c>
      <c r="E8" s="1" t="s">
        <v>626</v>
      </c>
      <c r="F8" s="9" t="s">
        <v>627</v>
      </c>
      <c r="G8" s="1" t="s">
        <v>406</v>
      </c>
      <c r="H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 s="11" t="e">
        <f>ABS(NETWORKDAYS.INTL("07/18/24", "07/15/24", 1, {"01/01/2024","01/15/2024","02/19/2024","05/27/2024","07/04/2024","09/02/2024","10/14/2024","11/11/2024","11/28/2024","12/25/2024","12/25/2024","12/26/2024","12/27/2024","12/28/2024","12/29/2024","12/30/2024","31/25/2024","01/01/2024","01/02/2024","01/03/2024","01/04/2024","01/05/2024"}))</f>
        <v>#VALUE!</v>
      </c>
      <c r="J8" s="1">
        <f>0</f>
        <v>0</v>
      </c>
      <c r="K8" s="1"/>
      <c r="L8" s="1">
        <v>1</v>
      </c>
      <c r="M8" s="1" t="e">
        <f>ABS(NETWORKDAYS.INTL("07/18/24", "07/18/24", 1, {"01/01/2024","01/15/2024","02/19/2024","05/27/2024","07/04/2024","09/02/2024","10/14/2024","11/11/2024","11/28/2024","12/25/2024","12/25/2024","12/26/2024","12/27/2024","12/28/2024","12/29/2024","12/30/2024","31/25/2024","01/01/2024","01/02/2024","01/03/2024","01/04/2024","01/05/2024"}))</f>
        <v>#VALUE!</v>
      </c>
      <c r="N8" s="1">
        <f>0</f>
        <v>0</v>
      </c>
      <c r="O8" s="1">
        <f>0</f>
        <v>0</v>
      </c>
      <c r="P8" s="1"/>
      <c r="Q8" s="1">
        <v>1</v>
      </c>
      <c r="R8" s="1">
        <v>0</v>
      </c>
      <c r="S8" s="1">
        <f>0</f>
        <v>0</v>
      </c>
      <c r="T8" s="1">
        <f>0</f>
        <v>0</v>
      </c>
      <c r="U8" s="1"/>
      <c r="V8" s="1">
        <v>1</v>
      </c>
      <c r="W8" s="1">
        <v>1</v>
      </c>
      <c r="X8" s="1" t="e">
        <f>ABS(NETWORKDAYS.INTL("07/22/24", "07/22/24", 1, {"01/01/2024","01/15/2024","02/19/2024","05/27/2024","07/04/2024","09/02/2024","10/14/2024","11/11/2024","11/28/2024","12/25/2024","12/25/2024","12/26/2024","12/27/2024","12/28/2024","12/29/2024","12/30/2024","31/25/2024","01/01/2024","01/02/2024","01/03/2024","01/04/2024","01/05/2024"}))</f>
        <v>#VALUE!</v>
      </c>
      <c r="Y8" s="1">
        <f>0</f>
        <v>0</v>
      </c>
      <c r="Z8" s="1">
        <f>0</f>
        <v>0</v>
      </c>
      <c r="AA8" s="1"/>
      <c r="AB8" s="5">
        <v>45495</v>
      </c>
      <c r="AC8" s="5">
        <v>45498</v>
      </c>
      <c r="AD8" s="1" t="e">
        <f>ABS(NETWORKDAYS.INTL("07/18/24", "07/15/24", 1, {"01/01/2024","01/15/2024","02/19/2024","05/27/2024","07/04/2024","09/02/2024","10/14/2024","11/11/2024","11/28/2024","12/25/2024","12/25/2024","12/26/2024","12/27/2024","12/28/2024","12/29/2024","12/30/2024","31/25/2024","01/01/2024","01/02/2024","01/03/2024","01/04/2024","01/05/2024"}))</f>
        <v>#VALUE!</v>
      </c>
      <c r="AE8" s="1">
        <f>0</f>
        <v>0</v>
      </c>
      <c r="AF8" s="1">
        <f>0</f>
        <v>0</v>
      </c>
      <c r="AG8" s="1" t="e">
        <f>ABS(NETWORKDAYS.INTL("07/18/24", "08/05/24", 1, {"01/01/2024","01/15/2024","02/19/2024","05/27/2024","07/04/2024","09/02/2024","10/14/2024","11/11/2024","11/28/2024","12/25/2024","12/25/2024","12/26/2024","12/27/2024","12/28/2024","12/29/2024","12/30/2024","31/25/2024","01/01/2024","01/02/2024","01/03/2024","01/04/2024","01/05/2024"}))</f>
        <v>#VALUE!</v>
      </c>
      <c r="AH8" s="1" t="e">
        <f>ABS(NETWORKDAYS.INTL("07/22/24", "07/18/24", 1, {"01/01/2024","01/15/2024","02/19/2024","05/27/2024","07/04/2024","09/02/2024","10/14/2024","11/11/2024","11/28/2024","12/25/2024","12/25/2024","12/26/2024","12/27/2024","12/28/2024","12/29/2024","12/30/2024","31/25/2024","01/01/2024","01/02/2024","01/03/2024","01/04/2024","01/05/2024"}))</f>
        <v>#VALUE!</v>
      </c>
      <c r="AI8" s="1" t="e">
        <f>ABS(NETWORKDAYS.INTL("07/25/2024", "07/22/24", 1, {"01/01/2024","01/15/2024","02/19/2024","05/27/2024","07/04/2024","09/02/2024","10/14/2024","11/11/2024","11/28/2024","12/25/2024","12/25/2024","12/26/2024","12/27/2024","12/28/2024","12/29/2024","12/30/2024","31/25/2024","01/01/2024","01/02/2024","01/03/2024","01/04/2024","01/05/2024"}))</f>
        <v>#VALUE!</v>
      </c>
      <c r="AJ8" s="1" t="b">
        <v>1</v>
      </c>
      <c r="AK8" s="1"/>
      <c r="AL8" s="1"/>
      <c r="AM8" s="1"/>
      <c r="AN8" s="1"/>
      <c r="AO8" s="1"/>
      <c r="AP8" s="1"/>
      <c r="AQ8" s="1"/>
      <c r="AR8" s="1"/>
      <c r="AS8" s="1"/>
      <c r="AT8" s="1"/>
      <c r="AU8" s="1"/>
      <c r="AV8" s="1"/>
      <c r="AW8" s="1"/>
      <c r="AX8" s="1"/>
      <c r="AY8" s="1"/>
      <c r="AZ8" s="1"/>
    </row>
    <row r="9" spans="1:52" ht="15" customHeight="1" x14ac:dyDescent="0.35">
      <c r="A9" s="1" t="s">
        <v>628</v>
      </c>
      <c r="B9" s="1" t="s">
        <v>417</v>
      </c>
      <c r="C9" s="1" t="s">
        <v>629</v>
      </c>
      <c r="D9" s="1" t="s">
        <v>613</v>
      </c>
      <c r="E9" s="1" t="s">
        <v>630</v>
      </c>
      <c r="F9" s="9" t="s">
        <v>631</v>
      </c>
      <c r="G9" s="1" t="s">
        <v>406</v>
      </c>
      <c r="H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9" s="11" t="e">
        <f>ABS(NETWORKDAYS.INTL("07/17/24", "07/17/24", 1, {"01/01/2024","01/15/2024","02/19/2024","05/27/2024","07/04/2024","09/02/2024","10/14/2024","11/11/2024","11/28/2024","12/25/2024","12/25/2024","12/26/2024","12/27/2024","12/28/2024","12/29/2024","12/30/2024","31/25/2024","01/01/2024","01/02/2024","01/03/2024","01/04/2024","01/05/2024"}))</f>
        <v>#VALUE!</v>
      </c>
      <c r="J9" s="1">
        <f>0</f>
        <v>0</v>
      </c>
      <c r="K9" s="1"/>
      <c r="L9" s="1">
        <v>1</v>
      </c>
      <c r="M9" s="1" t="e">
        <f>ABS(NETWORKDAYS.INTL("07/17/24", "07/17/24", 1, {"01/01/2024","01/15/2024","02/19/2024","05/27/2024","07/04/2024","09/02/2024","10/14/2024","11/11/2024","11/28/2024","12/25/2024","12/25/2024","12/26/2024","12/27/2024","12/28/2024","12/29/2024","12/30/2024","31/25/2024","01/01/2024","01/02/2024","01/03/2024","01/04/2024","01/05/2024"}))</f>
        <v>#VALUE!</v>
      </c>
      <c r="N9" s="1">
        <f>0</f>
        <v>0</v>
      </c>
      <c r="O9" s="1">
        <f>0</f>
        <v>0</v>
      </c>
      <c r="P9" s="1"/>
      <c r="Q9" s="1">
        <v>1</v>
      </c>
      <c r="R9" s="1">
        <v>1</v>
      </c>
      <c r="S9" s="1" t="e">
        <f>ABS(NETWORKDAYS.INTL("07/18/24", "07/19/24", 1, {"01/01/2024","01/15/2024","02/19/2024","05/27/2024","07/04/2024","09/02/2024","10/14/2024","11/11/2024","11/28/2024","12/25/2024","12/25/2024","12/26/2024","12/27/2024","12/28/2024","12/29/2024","12/30/2024","31/25/2024","01/01/2024","01/02/2024","01/03/2024","01/04/2024","01/05/2024"}))</f>
        <v>#VALUE!</v>
      </c>
      <c r="T9" s="1">
        <f>0</f>
        <v>0</v>
      </c>
      <c r="U9" s="1"/>
      <c r="V9" s="1">
        <v>1</v>
      </c>
      <c r="W9" s="1">
        <v>0</v>
      </c>
      <c r="X9" s="1">
        <f>0</f>
        <v>0</v>
      </c>
      <c r="Y9" s="1">
        <f>0</f>
        <v>0</v>
      </c>
      <c r="Z9" s="1">
        <f>0</f>
        <v>0</v>
      </c>
      <c r="AA9" s="1"/>
      <c r="AB9" s="5"/>
      <c r="AC9" s="5"/>
      <c r="AD9" s="1" t="e">
        <f>ABS(NETWORKDAYS.INTL("07/17/24", "07/17/24", 1, {"01/01/2024","01/15/2024","02/19/2024","05/27/2024","07/04/2024","09/02/2024","10/14/2024","11/11/2024","11/28/2024","12/25/2024","12/25/2024","12/26/2024","12/27/2024","12/28/2024","12/29/2024","12/30/2024","31/25/2024","01/01/2024","01/02/2024","01/03/2024","01/04/2024","01/05/2024"}))</f>
        <v>#VALUE!</v>
      </c>
      <c r="AE9" s="1">
        <f>0</f>
        <v>0</v>
      </c>
      <c r="AF9" s="1" t="e">
        <f>ABS(NETWORKDAYS.INTL("07/18/2024", "07/17/24", 1, {"01/01/2024","01/15/2024","02/19/2024","05/27/2024","07/04/2024","09/02/2024","10/14/2024","11/11/2024","11/28/2024","12/25/2024","12/25/2024","12/26/2024","12/27/2024","12/28/2024","12/29/2024","12/30/2024","31/25/2024","01/01/2024","01/02/2024","01/03/2024","01/04/2024","01/05/2024"}))</f>
        <v>#VALUE!</v>
      </c>
      <c r="AG9" s="1" t="e">
        <f>ABS(NETWORKDAYS.INTL("07/19/24", "07/18/2024", 1, {"01/01/2024","01/15/2024","02/19/2024","05/27/2024","07/04/2024","09/02/2024","10/14/2024","11/11/2024","11/28/2024","12/25/2024","12/25/2024","12/26/2024","12/27/2024","12/28/2024","12/29/2024","12/30/2024","31/25/2024","01/01/2024","01/02/2024","01/03/2024","01/04/2024","01/05/2024"}))</f>
        <v>#VALUE!</v>
      </c>
      <c r="AH9" s="1">
        <f>0</f>
        <v>0</v>
      </c>
      <c r="AI9" s="1">
        <f>0</f>
        <v>0</v>
      </c>
      <c r="AJ9" s="1" t="b">
        <v>1</v>
      </c>
      <c r="AK9" s="1"/>
      <c r="AL9" s="1"/>
      <c r="AM9" s="1"/>
      <c r="AN9" s="1"/>
      <c r="AO9" s="1"/>
      <c r="AP9" s="1"/>
      <c r="AQ9" s="1"/>
      <c r="AR9" s="1"/>
      <c r="AS9" s="1"/>
      <c r="AT9" s="1"/>
      <c r="AU9" s="1"/>
      <c r="AV9" s="1"/>
      <c r="AW9" s="1" t="b">
        <v>1</v>
      </c>
      <c r="AX9" s="1"/>
      <c r="AY9" s="1"/>
      <c r="AZ9" s="1"/>
    </row>
    <row r="10" spans="1:52" ht="15" customHeight="1" x14ac:dyDescent="0.35">
      <c r="A10" s="1" t="s">
        <v>632</v>
      </c>
      <c r="B10" s="1" t="s">
        <v>633</v>
      </c>
      <c r="C10" s="1" t="s">
        <v>629</v>
      </c>
      <c r="D10" s="1" t="s">
        <v>613</v>
      </c>
      <c r="E10" s="1" t="s">
        <v>630</v>
      </c>
      <c r="F10" s="9" t="s">
        <v>634</v>
      </c>
      <c r="G10" s="1" t="s">
        <v>406</v>
      </c>
      <c r="H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0" s="11" t="e">
        <f>ABS(NETWORKDAYS.INTL("07/17/24", "07/17/24", 1, {"01/01/2024","01/15/2024","02/19/2024","05/27/2024","07/04/2024","09/02/2024","10/14/2024","11/11/2024","11/28/2024","12/25/2024","12/25/2024","12/26/2024","12/27/2024","12/28/2024","12/29/2024","12/30/2024","31/25/2024","01/01/2024","01/02/2024","01/03/2024","01/04/2024","01/05/2024"}))</f>
        <v>#VALUE!</v>
      </c>
      <c r="J10" s="1">
        <f>0</f>
        <v>0</v>
      </c>
      <c r="K10" s="1"/>
      <c r="L10" s="1">
        <v>1</v>
      </c>
      <c r="M10" s="1" t="e">
        <f>ABS(NETWORKDAYS.INTL("07/17/24", "07/17/24", 1, {"01/01/2024","01/15/2024","02/19/2024","05/27/2024","07/04/2024","09/02/2024","10/14/2024","11/11/2024","11/28/2024","12/25/2024","12/25/2024","12/26/2024","12/27/2024","12/28/2024","12/29/2024","12/30/2024","31/25/2024","01/01/2024","01/02/2024","01/03/2024","01/04/2024","01/05/2024"}))</f>
        <v>#VALUE!</v>
      </c>
      <c r="N10" s="1">
        <f>0</f>
        <v>0</v>
      </c>
      <c r="O10" s="1">
        <f>0</f>
        <v>0</v>
      </c>
      <c r="P10" s="1"/>
      <c r="Q10" s="1">
        <v>1</v>
      </c>
      <c r="R10" s="1">
        <v>1</v>
      </c>
      <c r="S10" s="1" t="e">
        <f>ABS(NETWORKDAYS.INTL("07/18/24", "07/19/24", 1, {"01/01/2024","01/15/2024","02/19/2024","05/27/2024","07/04/2024","09/02/2024","10/14/2024","11/11/2024","11/28/2024","12/25/2024","12/25/2024","12/26/2024","12/27/2024","12/28/2024","12/29/2024","12/30/2024","31/25/2024","01/01/2024","01/02/2024","01/03/2024","01/04/2024","01/05/2024"}))</f>
        <v>#VALUE!</v>
      </c>
      <c r="T10" s="1">
        <f>0</f>
        <v>0</v>
      </c>
      <c r="U10" s="1"/>
      <c r="V10" s="1">
        <v>1</v>
      </c>
      <c r="W10" s="1">
        <v>0</v>
      </c>
      <c r="X10" s="1">
        <f>0</f>
        <v>0</v>
      </c>
      <c r="Y10" s="1">
        <f>0</f>
        <v>0</v>
      </c>
      <c r="Z10" s="1">
        <f>0</f>
        <v>0</v>
      </c>
      <c r="AA10" s="1"/>
      <c r="AB10" s="5"/>
      <c r="AC10" s="5"/>
      <c r="AD10" s="1" t="e">
        <f>ABS(NETWORKDAYS.INTL("07/17/24", "07/17/24", 1, {"01/01/2024","01/15/2024","02/19/2024","05/27/2024","07/04/2024","09/02/2024","10/14/2024","11/11/2024","11/28/2024","12/25/2024","12/25/2024","12/26/2024","12/27/2024","12/28/2024","12/29/2024","12/30/2024","31/25/2024","01/01/2024","01/02/2024","01/03/2024","01/04/2024","01/05/2024"}))</f>
        <v>#VALUE!</v>
      </c>
      <c r="AE10" s="1">
        <f>0</f>
        <v>0</v>
      </c>
      <c r="AF10" s="1" t="e">
        <f>ABS(NETWORKDAYS.INTL("07/17/24", "07/17/24", 1, {"01/01/2024","01/15/2024","02/19/2024","05/27/2024","07/04/2024","09/02/2024","10/14/2024","11/11/2024","11/28/2024","12/25/2024","12/25/2024","12/26/2024","12/27/2024","12/28/2024","12/29/2024","12/30/2024","31/25/2024","01/01/2024","01/02/2024","01/03/2024","01/04/2024","01/05/2024"}))</f>
        <v>#VALUE!</v>
      </c>
      <c r="AG10" s="1" t="e">
        <f>ABS(NETWORKDAYS.INTL("07/19/24", "07/17/24", 1, {"01/01/2024","01/15/2024","02/19/2024","05/27/2024","07/04/2024","09/02/2024","10/14/2024","11/11/2024","11/28/2024","12/25/2024","12/25/2024","12/26/2024","12/27/2024","12/28/2024","12/29/2024","12/30/2024","31/25/2024","01/01/2024","01/02/2024","01/03/2024","01/04/2024","01/05/2024"}))</f>
        <v>#VALUE!</v>
      </c>
      <c r="AH10" s="1">
        <f>0</f>
        <v>0</v>
      </c>
      <c r="AI10" s="1">
        <f>0</f>
        <v>0</v>
      </c>
      <c r="AJ10" s="1" t="b">
        <v>1</v>
      </c>
      <c r="AK10" s="1"/>
      <c r="AL10" s="1"/>
      <c r="AM10" s="1"/>
      <c r="AN10" s="1"/>
      <c r="AO10" s="1"/>
      <c r="AP10" s="1"/>
      <c r="AQ10" s="1"/>
      <c r="AR10" s="1"/>
      <c r="AS10" s="1"/>
      <c r="AT10" s="1"/>
      <c r="AU10" s="1"/>
      <c r="AV10" s="1"/>
      <c r="AW10" s="1" t="b">
        <v>1</v>
      </c>
      <c r="AX10" s="1"/>
      <c r="AY10" s="1"/>
      <c r="AZ10" s="1"/>
    </row>
    <row r="11" spans="1:52" ht="15" customHeight="1" x14ac:dyDescent="0.35">
      <c r="A11" s="1" t="s">
        <v>635</v>
      </c>
      <c r="B11" s="1" t="s">
        <v>636</v>
      </c>
      <c r="C11" s="1" t="s">
        <v>629</v>
      </c>
      <c r="D11" s="1" t="s">
        <v>613</v>
      </c>
      <c r="E11" s="1" t="s">
        <v>630</v>
      </c>
      <c r="F11" s="9" t="s">
        <v>637</v>
      </c>
      <c r="G11" s="1" t="s">
        <v>406</v>
      </c>
      <c r="H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1" s="11" t="e">
        <f>ABS(NETWORKDAYS.INTL("06/10/24", "06/30/24", 1, {"01/01/2024","01/15/2024","02/19/2024","05/27/2024","07/04/2024","09/02/2024","10/14/2024","11/11/2024","11/28/2024","12/25/2024","12/25/2024","12/26/2024","12/27/2024","12/28/2024","12/29/2024","12/30/2024","31/25/2024","01/01/2024","01/02/2024","01/03/2024","01/04/2024","01/05/2024"}))</f>
        <v>#VALUE!</v>
      </c>
      <c r="J11" s="1">
        <f>0</f>
        <v>0</v>
      </c>
      <c r="K11" s="1"/>
      <c r="L11" s="1">
        <v>1</v>
      </c>
      <c r="M11" s="1" t="e">
        <f>ABS(NETWORKDAYS.INTL("07/12/24", "07/15/24", 1, {"01/01/2024","01/15/2024","02/19/2024","05/27/2024","07/04/2024","09/02/2024","10/14/2024","11/11/2024","11/28/2024","12/25/2024","12/25/2024","12/26/2024","12/27/2024","12/28/2024","12/29/2024","12/30/2024","31/25/2024","01/01/2024","01/02/2024","01/03/2024","01/04/2024","01/05/2024"}))</f>
        <v>#VALUE!</v>
      </c>
      <c r="N11" s="1">
        <f>0</f>
        <v>0</v>
      </c>
      <c r="O11" s="1">
        <f>0</f>
        <v>0</v>
      </c>
      <c r="P11" s="1"/>
      <c r="Q11" s="1">
        <v>1</v>
      </c>
      <c r="R11" s="1">
        <v>1</v>
      </c>
      <c r="S11" s="1">
        <f>0</f>
        <v>0</v>
      </c>
      <c r="T11" s="1">
        <f>0</f>
        <v>0</v>
      </c>
      <c r="U11" s="1"/>
      <c r="V11" s="1">
        <v>1</v>
      </c>
      <c r="W11" s="1">
        <v>0</v>
      </c>
      <c r="X11" s="1">
        <f>0</f>
        <v>0</v>
      </c>
      <c r="Y11" s="1">
        <f>0</f>
        <v>0</v>
      </c>
      <c r="Z11" s="1">
        <f>0</f>
        <v>0</v>
      </c>
      <c r="AA11" s="1"/>
      <c r="AB11" s="5"/>
      <c r="AC11" s="5"/>
      <c r="AD11" s="1" t="e">
        <f>ABS(NETWORKDAYS.INTL("07/12/24", "06/30/24", 1, {"01/01/2024","01/15/2024","02/19/2024","05/27/2024","07/04/2024","09/02/2024","10/14/2024","11/11/2024","11/28/2024","12/25/2024","12/25/2024","12/26/2024","12/27/2024","12/28/2024","12/29/2024","12/30/2024","31/25/2024","01/01/2024","01/02/2024","01/03/2024","01/04/2024","01/05/2024"}))</f>
        <v>#VALUE!</v>
      </c>
      <c r="AE11" s="1">
        <f>0</f>
        <v>0</v>
      </c>
      <c r="AF11" s="1" t="e">
        <f>ABS(NETWORKDAYS.INTL("07/18/24", "07/17/24", 1, {"01/01/2024","01/15/2024","02/19/2024","05/27/2024","07/04/2024","09/02/2024","10/14/2024","11/11/2024","11/28/2024","12/25/2024","12/25/2024","12/26/2024","12/27/2024","12/28/2024","12/29/2024","12/30/2024","31/25/2024","01/01/2024","01/02/2024","01/03/2024","01/04/2024","01/05/2024"}))</f>
        <v>#VALUE!</v>
      </c>
      <c r="AG11" s="1" t="e">
        <f>ABS(NETWORKDAYS.INTL("07/19/24", "07/18/24", 1, {"01/01/2024","01/15/2024","02/19/2024","05/27/2024","07/04/2024","09/02/2024","10/14/2024","11/11/2024","11/28/2024","12/25/2024","12/25/2024","12/26/2024","12/27/2024","12/28/2024","12/29/2024","12/30/2024","31/25/2024","01/01/2024","01/02/2024","01/03/2024","01/04/2024","01/05/2024"}))</f>
        <v>#VALUE!</v>
      </c>
      <c r="AH11" s="1">
        <f>0</f>
        <v>0</v>
      </c>
      <c r="AI11" s="1">
        <f>0</f>
        <v>0</v>
      </c>
      <c r="AJ11" s="1" t="b">
        <v>1</v>
      </c>
      <c r="AK11" s="1"/>
      <c r="AL11" s="1"/>
      <c r="AM11" s="1"/>
      <c r="AN11" s="1"/>
      <c r="AO11" s="1"/>
      <c r="AP11" s="1"/>
      <c r="AQ11" s="1"/>
      <c r="AR11" s="1"/>
      <c r="AS11" s="1"/>
      <c r="AT11" s="1"/>
      <c r="AU11" s="1"/>
      <c r="AV11" s="1"/>
      <c r="AW11" s="1" t="b">
        <v>1</v>
      </c>
      <c r="AX11" s="1"/>
      <c r="AY11" s="1"/>
      <c r="AZ11" s="1"/>
    </row>
    <row r="12" spans="1:52" ht="15" customHeight="1" x14ac:dyDescent="0.35">
      <c r="A12" s="1" t="s">
        <v>638</v>
      </c>
      <c r="B12" s="1" t="s">
        <v>639</v>
      </c>
      <c r="C12" s="1" t="s">
        <v>640</v>
      </c>
      <c r="D12" s="1"/>
      <c r="E12" s="1" t="s">
        <v>641</v>
      </c>
      <c r="F12" s="9" t="s">
        <v>642</v>
      </c>
      <c r="G12" s="1" t="s">
        <v>406</v>
      </c>
      <c r="H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2" s="11">
        <f>0</f>
        <v>0</v>
      </c>
      <c r="J12" s="1">
        <f>0</f>
        <v>0</v>
      </c>
      <c r="K12" s="1"/>
      <c r="L12" s="1">
        <v>0</v>
      </c>
      <c r="M12" s="1">
        <f>0</f>
        <v>0</v>
      </c>
      <c r="N12" s="1">
        <f>0</f>
        <v>0</v>
      </c>
      <c r="O12" s="1">
        <f>0</f>
        <v>0</v>
      </c>
      <c r="P12" s="1"/>
      <c r="Q12" s="1">
        <v>0</v>
      </c>
      <c r="R12" s="1">
        <v>0</v>
      </c>
      <c r="S12" s="1">
        <f>0</f>
        <v>0</v>
      </c>
      <c r="T12" s="1">
        <f>0</f>
        <v>0</v>
      </c>
      <c r="U12" s="1"/>
      <c r="V12" s="1">
        <v>0</v>
      </c>
      <c r="W12" s="1">
        <v>0</v>
      </c>
      <c r="X12" s="1">
        <f>0</f>
        <v>0</v>
      </c>
      <c r="Y12" s="1">
        <f>0</f>
        <v>0</v>
      </c>
      <c r="Z12" s="1">
        <f>0</f>
        <v>0</v>
      </c>
      <c r="AA12" s="1"/>
      <c r="AB12" s="5"/>
      <c r="AC12" s="5"/>
      <c r="AD12" s="1">
        <f>0</f>
        <v>0</v>
      </c>
      <c r="AE12" s="1">
        <f>0</f>
        <v>0</v>
      </c>
      <c r="AF12" s="1">
        <f>0</f>
        <v>0</v>
      </c>
      <c r="AG12" s="1">
        <f>0</f>
        <v>0</v>
      </c>
      <c r="AH12" s="1">
        <f>0</f>
        <v>0</v>
      </c>
      <c r="AI12" s="1">
        <f>0</f>
        <v>0</v>
      </c>
      <c r="AJ12" s="1"/>
      <c r="AK12" s="1"/>
      <c r="AL12" s="1" t="b">
        <v>1</v>
      </c>
      <c r="AM12" s="1"/>
      <c r="AN12" s="1"/>
      <c r="AO12" s="1"/>
      <c r="AP12" s="1"/>
      <c r="AQ12" s="1"/>
      <c r="AR12" s="1"/>
      <c r="AS12" s="1"/>
      <c r="AT12" s="1"/>
      <c r="AU12" s="1"/>
      <c r="AV12" s="1"/>
      <c r="AW12" s="1"/>
      <c r="AX12" s="1"/>
      <c r="AY12" s="1"/>
      <c r="AZ12" s="1"/>
    </row>
    <row r="13" spans="1:52" ht="15" customHeight="1" x14ac:dyDescent="0.35">
      <c r="A13" s="1" t="s">
        <v>643</v>
      </c>
      <c r="B13" s="1" t="s">
        <v>644</v>
      </c>
      <c r="C13" s="1" t="s">
        <v>640</v>
      </c>
      <c r="D13" s="1"/>
      <c r="E13" s="1" t="s">
        <v>641</v>
      </c>
      <c r="F13" s="9" t="s">
        <v>645</v>
      </c>
      <c r="G13" s="1" t="s">
        <v>406</v>
      </c>
      <c r="H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3" s="11">
        <f>0</f>
        <v>0</v>
      </c>
      <c r="J13" s="1">
        <f>0</f>
        <v>0</v>
      </c>
      <c r="K13" s="1"/>
      <c r="L13" s="1">
        <v>0</v>
      </c>
      <c r="M13" s="1">
        <f>0</f>
        <v>0</v>
      </c>
      <c r="N13" s="1">
        <f>0</f>
        <v>0</v>
      </c>
      <c r="O13" s="1">
        <f>0</f>
        <v>0</v>
      </c>
      <c r="P13" s="1"/>
      <c r="Q13" s="1">
        <v>0</v>
      </c>
      <c r="R13" s="1">
        <v>0</v>
      </c>
      <c r="S13" s="1">
        <f>0</f>
        <v>0</v>
      </c>
      <c r="T13" s="1">
        <f>0</f>
        <v>0</v>
      </c>
      <c r="U13" s="1"/>
      <c r="V13" s="1">
        <v>0</v>
      </c>
      <c r="W13" s="1">
        <v>0</v>
      </c>
      <c r="X13" s="1">
        <f>0</f>
        <v>0</v>
      </c>
      <c r="Y13" s="1">
        <f>0</f>
        <v>0</v>
      </c>
      <c r="Z13" s="1">
        <f>0</f>
        <v>0</v>
      </c>
      <c r="AA13" s="1"/>
      <c r="AB13" s="5"/>
      <c r="AC13" s="5"/>
      <c r="AD13" s="1">
        <f>0</f>
        <v>0</v>
      </c>
      <c r="AE13" s="1">
        <f>0</f>
        <v>0</v>
      </c>
      <c r="AF13" s="1">
        <f>0</f>
        <v>0</v>
      </c>
      <c r="AG13" s="1">
        <f>0</f>
        <v>0</v>
      </c>
      <c r="AH13" s="1">
        <f>0</f>
        <v>0</v>
      </c>
      <c r="AI13" s="1">
        <f>0</f>
        <v>0</v>
      </c>
      <c r="AJ13" s="1"/>
      <c r="AK13" s="1"/>
      <c r="AL13" s="1" t="b">
        <v>1</v>
      </c>
      <c r="AM13" s="1"/>
      <c r="AN13" s="1"/>
      <c r="AO13" s="1"/>
      <c r="AP13" s="1"/>
      <c r="AQ13" s="1"/>
      <c r="AR13" s="1"/>
      <c r="AS13" s="1"/>
      <c r="AT13" s="1"/>
      <c r="AU13" s="1"/>
      <c r="AV13" s="1"/>
      <c r="AW13" s="1"/>
      <c r="AX13" s="1"/>
      <c r="AY13" s="1"/>
      <c r="AZ13" s="1"/>
    </row>
    <row r="14" spans="1:52" ht="15" customHeight="1" x14ac:dyDescent="0.35">
      <c r="A14" s="1" t="s">
        <v>646</v>
      </c>
      <c r="B14" s="1" t="s">
        <v>647</v>
      </c>
      <c r="C14" s="1" t="s">
        <v>640</v>
      </c>
      <c r="D14" s="1"/>
      <c r="E14" s="1" t="s">
        <v>641</v>
      </c>
      <c r="F14" s="9" t="s">
        <v>642</v>
      </c>
      <c r="G14" s="1" t="s">
        <v>406</v>
      </c>
      <c r="H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4" s="11">
        <f>0</f>
        <v>0</v>
      </c>
      <c r="J14" s="1">
        <f>0</f>
        <v>0</v>
      </c>
      <c r="K14" s="1"/>
      <c r="L14" s="1">
        <v>0</v>
      </c>
      <c r="M14" s="1">
        <f>0</f>
        <v>0</v>
      </c>
      <c r="N14" s="1">
        <f>0</f>
        <v>0</v>
      </c>
      <c r="O14" s="1">
        <f>0</f>
        <v>0</v>
      </c>
      <c r="P14" s="1"/>
      <c r="Q14" s="1">
        <v>0</v>
      </c>
      <c r="R14" s="1">
        <v>0</v>
      </c>
      <c r="S14" s="1">
        <f>0</f>
        <v>0</v>
      </c>
      <c r="T14" s="1">
        <f>0</f>
        <v>0</v>
      </c>
      <c r="U14" s="1"/>
      <c r="V14" s="1">
        <v>0</v>
      </c>
      <c r="W14" s="1">
        <v>0</v>
      </c>
      <c r="X14" s="1">
        <f>0</f>
        <v>0</v>
      </c>
      <c r="Y14" s="1">
        <f>0</f>
        <v>0</v>
      </c>
      <c r="Z14" s="1">
        <f>0</f>
        <v>0</v>
      </c>
      <c r="AA14" s="1"/>
      <c r="AB14" s="5"/>
      <c r="AC14" s="5"/>
      <c r="AD14" s="1">
        <f>0</f>
        <v>0</v>
      </c>
      <c r="AE14" s="1">
        <f>0</f>
        <v>0</v>
      </c>
      <c r="AF14" s="1">
        <f>0</f>
        <v>0</v>
      </c>
      <c r="AG14" s="1">
        <f>0</f>
        <v>0</v>
      </c>
      <c r="AH14" s="1">
        <f>0</f>
        <v>0</v>
      </c>
      <c r="AI14" s="1">
        <f>0</f>
        <v>0</v>
      </c>
      <c r="AJ14" s="1"/>
      <c r="AK14" s="1"/>
      <c r="AL14" s="1" t="b">
        <v>1</v>
      </c>
      <c r="AM14" s="1"/>
      <c r="AN14" s="1"/>
      <c r="AO14" s="1"/>
      <c r="AP14" s="1"/>
      <c r="AQ14" s="1"/>
      <c r="AR14" s="1"/>
      <c r="AS14" s="1"/>
      <c r="AT14" s="1"/>
      <c r="AU14" s="1"/>
      <c r="AV14" s="1"/>
      <c r="AW14" s="1"/>
      <c r="AX14" s="1"/>
      <c r="AY14" s="1"/>
      <c r="AZ14" s="1"/>
    </row>
    <row r="15" spans="1:52" ht="15" customHeight="1" x14ac:dyDescent="0.35">
      <c r="A15" s="1" t="s">
        <v>648</v>
      </c>
      <c r="B15" s="1" t="s">
        <v>649</v>
      </c>
      <c r="C15" s="1" t="s">
        <v>640</v>
      </c>
      <c r="D15" s="1"/>
      <c r="E15" s="1" t="s">
        <v>641</v>
      </c>
      <c r="F15" s="9" t="s">
        <v>645</v>
      </c>
      <c r="G15" s="1" t="s">
        <v>406</v>
      </c>
      <c r="H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5" s="11">
        <f>0</f>
        <v>0</v>
      </c>
      <c r="J15" s="1">
        <f>0</f>
        <v>0</v>
      </c>
      <c r="K15" s="1"/>
      <c r="L15" s="1">
        <v>0</v>
      </c>
      <c r="M15" s="1">
        <f>0</f>
        <v>0</v>
      </c>
      <c r="N15" s="1">
        <f>0</f>
        <v>0</v>
      </c>
      <c r="O15" s="1">
        <f>0</f>
        <v>0</v>
      </c>
      <c r="P15" s="1"/>
      <c r="Q15" s="1">
        <v>0</v>
      </c>
      <c r="R15" s="1">
        <v>0</v>
      </c>
      <c r="S15" s="1">
        <f>0</f>
        <v>0</v>
      </c>
      <c r="T15" s="1">
        <f>0</f>
        <v>0</v>
      </c>
      <c r="U15" s="1"/>
      <c r="V15" s="1">
        <v>0</v>
      </c>
      <c r="W15" s="1">
        <v>0</v>
      </c>
      <c r="X15" s="1">
        <f>0</f>
        <v>0</v>
      </c>
      <c r="Y15" s="1">
        <f>0</f>
        <v>0</v>
      </c>
      <c r="Z15" s="1">
        <f>0</f>
        <v>0</v>
      </c>
      <c r="AA15" s="1"/>
      <c r="AB15" s="5"/>
      <c r="AC15" s="5"/>
      <c r="AD15" s="1">
        <f>0</f>
        <v>0</v>
      </c>
      <c r="AE15" s="1">
        <f>0</f>
        <v>0</v>
      </c>
      <c r="AF15" s="1">
        <f>0</f>
        <v>0</v>
      </c>
      <c r="AG15" s="1">
        <f>0</f>
        <v>0</v>
      </c>
      <c r="AH15" s="1">
        <f>0</f>
        <v>0</v>
      </c>
      <c r="AI15" s="1">
        <f>0</f>
        <v>0</v>
      </c>
      <c r="AJ15" s="1"/>
      <c r="AK15" s="1"/>
      <c r="AL15" s="1" t="b">
        <v>1</v>
      </c>
      <c r="AM15" s="1"/>
      <c r="AN15" s="1"/>
      <c r="AO15" s="1"/>
      <c r="AP15" s="1"/>
      <c r="AQ15" s="1"/>
      <c r="AR15" s="1"/>
      <c r="AS15" s="1"/>
      <c r="AT15" s="1"/>
      <c r="AU15" s="1"/>
      <c r="AV15" s="1"/>
      <c r="AW15" s="1"/>
      <c r="AX15" s="1"/>
      <c r="AY15" s="1"/>
      <c r="AZ15" s="1"/>
    </row>
    <row r="16" spans="1:52" ht="15" customHeight="1" x14ac:dyDescent="0.35">
      <c r="A16" s="1" t="s">
        <v>650</v>
      </c>
      <c r="B16" s="1" t="s">
        <v>651</v>
      </c>
      <c r="C16" s="1" t="s">
        <v>640</v>
      </c>
      <c r="D16" s="1"/>
      <c r="E16" s="1" t="s">
        <v>641</v>
      </c>
      <c r="F16" s="9" t="s">
        <v>645</v>
      </c>
      <c r="G16" s="1" t="s">
        <v>406</v>
      </c>
      <c r="H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6" s="11">
        <f>0</f>
        <v>0</v>
      </c>
      <c r="J16" s="1">
        <f>0</f>
        <v>0</v>
      </c>
      <c r="K16" s="1"/>
      <c r="L16" s="1">
        <v>0</v>
      </c>
      <c r="M16" s="1">
        <f>0</f>
        <v>0</v>
      </c>
      <c r="N16" s="1">
        <f>0</f>
        <v>0</v>
      </c>
      <c r="O16" s="1">
        <f>0</f>
        <v>0</v>
      </c>
      <c r="P16" s="1"/>
      <c r="Q16" s="1">
        <v>0</v>
      </c>
      <c r="R16" s="1">
        <v>0</v>
      </c>
      <c r="S16" s="1">
        <f>0</f>
        <v>0</v>
      </c>
      <c r="T16" s="1">
        <f>0</f>
        <v>0</v>
      </c>
      <c r="U16" s="1"/>
      <c r="V16" s="1">
        <v>0</v>
      </c>
      <c r="W16" s="1">
        <v>0</v>
      </c>
      <c r="X16" s="1">
        <f>0</f>
        <v>0</v>
      </c>
      <c r="Y16" s="1">
        <f>0</f>
        <v>0</v>
      </c>
      <c r="Z16" s="1">
        <f>0</f>
        <v>0</v>
      </c>
      <c r="AA16" s="1"/>
      <c r="AB16" s="5"/>
      <c r="AC16" s="5"/>
      <c r="AD16" s="1">
        <f>0</f>
        <v>0</v>
      </c>
      <c r="AE16" s="1">
        <f>0</f>
        <v>0</v>
      </c>
      <c r="AF16" s="1">
        <f>0</f>
        <v>0</v>
      </c>
      <c r="AG16" s="1">
        <f>0</f>
        <v>0</v>
      </c>
      <c r="AH16" s="1">
        <f>0</f>
        <v>0</v>
      </c>
      <c r="AI16" s="1">
        <f>0</f>
        <v>0</v>
      </c>
      <c r="AJ16" s="1"/>
      <c r="AK16" s="1"/>
      <c r="AL16" s="1" t="b">
        <v>1</v>
      </c>
      <c r="AM16" s="1"/>
      <c r="AN16" s="1"/>
      <c r="AO16" s="1"/>
      <c r="AP16" s="1"/>
      <c r="AQ16" s="1"/>
      <c r="AR16" s="1"/>
      <c r="AS16" s="1"/>
      <c r="AT16" s="1"/>
      <c r="AU16" s="1"/>
      <c r="AV16" s="1"/>
      <c r="AW16" s="1"/>
      <c r="AX16" s="1"/>
      <c r="AY16" s="1"/>
      <c r="AZ16" s="1"/>
    </row>
    <row r="17" spans="1:52" ht="15" customHeight="1" x14ac:dyDescent="0.35">
      <c r="A17" s="1" t="s">
        <v>652</v>
      </c>
      <c r="B17" s="1" t="s">
        <v>653</v>
      </c>
      <c r="C17" s="1" t="s">
        <v>640</v>
      </c>
      <c r="D17" s="1"/>
      <c r="E17" s="1" t="s">
        <v>641</v>
      </c>
      <c r="F17" s="9" t="s">
        <v>645</v>
      </c>
      <c r="G17" s="1" t="s">
        <v>406</v>
      </c>
      <c r="H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7" s="11">
        <f>0</f>
        <v>0</v>
      </c>
      <c r="J17" s="1">
        <f>0</f>
        <v>0</v>
      </c>
      <c r="K17" s="1"/>
      <c r="L17" s="1">
        <v>0</v>
      </c>
      <c r="M17" s="1">
        <f>0</f>
        <v>0</v>
      </c>
      <c r="N17" s="1">
        <f>0</f>
        <v>0</v>
      </c>
      <c r="O17" s="1">
        <f>0</f>
        <v>0</v>
      </c>
      <c r="P17" s="1"/>
      <c r="Q17" s="1">
        <v>0</v>
      </c>
      <c r="R17" s="1">
        <v>0</v>
      </c>
      <c r="S17" s="1">
        <f>0</f>
        <v>0</v>
      </c>
      <c r="T17" s="1">
        <f>0</f>
        <v>0</v>
      </c>
      <c r="U17" s="1"/>
      <c r="V17" s="1">
        <v>0</v>
      </c>
      <c r="W17" s="1">
        <v>0</v>
      </c>
      <c r="X17" s="1">
        <f>0</f>
        <v>0</v>
      </c>
      <c r="Y17" s="1">
        <f>0</f>
        <v>0</v>
      </c>
      <c r="Z17" s="1">
        <f>0</f>
        <v>0</v>
      </c>
      <c r="AA17" s="1"/>
      <c r="AB17" s="5"/>
      <c r="AC17" s="5"/>
      <c r="AD17" s="1">
        <f>0</f>
        <v>0</v>
      </c>
      <c r="AE17" s="1">
        <f>0</f>
        <v>0</v>
      </c>
      <c r="AF17" s="1">
        <f>0</f>
        <v>0</v>
      </c>
      <c r="AG17" s="1">
        <f>0</f>
        <v>0</v>
      </c>
      <c r="AH17" s="1">
        <f>0</f>
        <v>0</v>
      </c>
      <c r="AI17" s="1">
        <f>0</f>
        <v>0</v>
      </c>
      <c r="AJ17" s="1"/>
      <c r="AK17" s="1"/>
      <c r="AL17" s="1" t="b">
        <v>1</v>
      </c>
      <c r="AM17" s="1"/>
      <c r="AN17" s="1"/>
      <c r="AO17" s="1"/>
      <c r="AP17" s="1"/>
      <c r="AQ17" s="1"/>
      <c r="AR17" s="1"/>
      <c r="AS17" s="1"/>
      <c r="AT17" s="1"/>
      <c r="AU17" s="1"/>
      <c r="AV17" s="1"/>
      <c r="AW17" s="1"/>
      <c r="AX17" s="1"/>
      <c r="AY17" s="1"/>
      <c r="AZ17" s="1"/>
    </row>
    <row r="18" spans="1:52" ht="15" customHeight="1" x14ac:dyDescent="0.35">
      <c r="A18" s="1" t="s">
        <v>654</v>
      </c>
      <c r="B18" s="1" t="s">
        <v>655</v>
      </c>
      <c r="C18" s="1" t="s">
        <v>640</v>
      </c>
      <c r="D18" s="1"/>
      <c r="E18" s="1" t="s">
        <v>641</v>
      </c>
      <c r="F18" s="9" t="s">
        <v>645</v>
      </c>
      <c r="G18" s="1" t="s">
        <v>406</v>
      </c>
      <c r="H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8" s="11">
        <f>0</f>
        <v>0</v>
      </c>
      <c r="J18" s="1">
        <f>0</f>
        <v>0</v>
      </c>
      <c r="K18" s="1"/>
      <c r="L18" s="1">
        <v>0</v>
      </c>
      <c r="M18" s="1">
        <f>0</f>
        <v>0</v>
      </c>
      <c r="N18" s="1">
        <f>0</f>
        <v>0</v>
      </c>
      <c r="O18" s="1">
        <f>0</f>
        <v>0</v>
      </c>
      <c r="P18" s="1"/>
      <c r="Q18" s="1">
        <v>0</v>
      </c>
      <c r="R18" s="1">
        <v>0</v>
      </c>
      <c r="S18" s="1">
        <f>0</f>
        <v>0</v>
      </c>
      <c r="T18" s="1">
        <f>0</f>
        <v>0</v>
      </c>
      <c r="U18" s="1"/>
      <c r="V18" s="1">
        <v>0</v>
      </c>
      <c r="W18" s="1">
        <v>0</v>
      </c>
      <c r="X18" s="1">
        <f>0</f>
        <v>0</v>
      </c>
      <c r="Y18" s="1">
        <f>0</f>
        <v>0</v>
      </c>
      <c r="Z18" s="1">
        <f>0</f>
        <v>0</v>
      </c>
      <c r="AA18" s="1"/>
      <c r="AB18" s="5"/>
      <c r="AC18" s="5"/>
      <c r="AD18" s="1">
        <f>0</f>
        <v>0</v>
      </c>
      <c r="AE18" s="1">
        <f>0</f>
        <v>0</v>
      </c>
      <c r="AF18" s="1">
        <f>0</f>
        <v>0</v>
      </c>
      <c r="AG18" s="1">
        <f>0</f>
        <v>0</v>
      </c>
      <c r="AH18" s="1">
        <f>0</f>
        <v>0</v>
      </c>
      <c r="AI18" s="1">
        <f>0</f>
        <v>0</v>
      </c>
      <c r="AJ18" s="1"/>
      <c r="AK18" s="1"/>
      <c r="AL18" s="1" t="b">
        <v>1</v>
      </c>
      <c r="AM18" s="1"/>
      <c r="AN18" s="1"/>
      <c r="AO18" s="1"/>
      <c r="AP18" s="1"/>
      <c r="AQ18" s="1"/>
      <c r="AR18" s="1"/>
      <c r="AS18" s="1"/>
      <c r="AT18" s="1"/>
      <c r="AU18" s="1"/>
      <c r="AV18" s="1"/>
      <c r="AW18" s="1"/>
      <c r="AX18" s="1"/>
      <c r="AY18" s="1"/>
      <c r="AZ18" s="1"/>
    </row>
    <row r="19" spans="1:52" ht="15" customHeight="1" x14ac:dyDescent="0.35">
      <c r="A19" s="1" t="s">
        <v>656</v>
      </c>
      <c r="B19" s="1" t="s">
        <v>657</v>
      </c>
      <c r="C19" s="1" t="s">
        <v>640</v>
      </c>
      <c r="D19" s="1"/>
      <c r="E19" s="1" t="s">
        <v>641</v>
      </c>
      <c r="F19" s="9" t="s">
        <v>645</v>
      </c>
      <c r="G19" s="1" t="s">
        <v>406</v>
      </c>
      <c r="H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9" s="11">
        <f>0</f>
        <v>0</v>
      </c>
      <c r="J19" s="1">
        <f>0</f>
        <v>0</v>
      </c>
      <c r="K19" s="1"/>
      <c r="L19" s="1">
        <v>0</v>
      </c>
      <c r="M19" s="1">
        <f>0</f>
        <v>0</v>
      </c>
      <c r="N19" s="1">
        <f>0</f>
        <v>0</v>
      </c>
      <c r="O19" s="1">
        <f>0</f>
        <v>0</v>
      </c>
      <c r="P19" s="1"/>
      <c r="Q19" s="1">
        <v>0</v>
      </c>
      <c r="R19" s="1">
        <v>0</v>
      </c>
      <c r="S19" s="1">
        <f>0</f>
        <v>0</v>
      </c>
      <c r="T19" s="1">
        <f>0</f>
        <v>0</v>
      </c>
      <c r="U19" s="1"/>
      <c r="V19" s="1">
        <v>0</v>
      </c>
      <c r="W19" s="1">
        <v>0</v>
      </c>
      <c r="X19" s="1">
        <f>0</f>
        <v>0</v>
      </c>
      <c r="Y19" s="1">
        <f>0</f>
        <v>0</v>
      </c>
      <c r="Z19" s="1">
        <f>0</f>
        <v>0</v>
      </c>
      <c r="AA19" s="1"/>
      <c r="AB19" s="5"/>
      <c r="AC19" s="5"/>
      <c r="AD19" s="1">
        <f>0</f>
        <v>0</v>
      </c>
      <c r="AE19" s="1">
        <f>0</f>
        <v>0</v>
      </c>
      <c r="AF19" s="1">
        <f>0</f>
        <v>0</v>
      </c>
      <c r="AG19" s="1">
        <f>0</f>
        <v>0</v>
      </c>
      <c r="AH19" s="1">
        <f>0</f>
        <v>0</v>
      </c>
      <c r="AI19" s="1">
        <f>0</f>
        <v>0</v>
      </c>
      <c r="AJ19" s="1"/>
      <c r="AK19" s="1"/>
      <c r="AL19" s="1" t="b">
        <v>1</v>
      </c>
      <c r="AM19" s="1"/>
      <c r="AN19" s="1"/>
      <c r="AO19" s="1"/>
      <c r="AP19" s="1"/>
      <c r="AQ19" s="1"/>
      <c r="AR19" s="1"/>
      <c r="AS19" s="1"/>
      <c r="AT19" s="1"/>
      <c r="AU19" s="1"/>
      <c r="AV19" s="1"/>
      <c r="AW19" s="1"/>
      <c r="AX19" s="1"/>
      <c r="AY19" s="1"/>
      <c r="AZ19" s="1"/>
    </row>
    <row r="20" spans="1:52" ht="15" customHeight="1" x14ac:dyDescent="0.35">
      <c r="A20" s="1" t="s">
        <v>658</v>
      </c>
      <c r="B20" s="1" t="s">
        <v>659</v>
      </c>
      <c r="C20" s="1" t="s">
        <v>640</v>
      </c>
      <c r="D20" s="1"/>
      <c r="E20" s="1" t="s">
        <v>641</v>
      </c>
      <c r="F20" s="9" t="s">
        <v>645</v>
      </c>
      <c r="G20" s="1" t="s">
        <v>406</v>
      </c>
      <c r="H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 s="11">
        <f>0</f>
        <v>0</v>
      </c>
      <c r="J20" s="1">
        <f>0</f>
        <v>0</v>
      </c>
      <c r="K20" s="1"/>
      <c r="L20" s="1">
        <v>0</v>
      </c>
      <c r="M20" s="1">
        <f>0</f>
        <v>0</v>
      </c>
      <c r="N20" s="1">
        <f>0</f>
        <v>0</v>
      </c>
      <c r="O20" s="1">
        <f>0</f>
        <v>0</v>
      </c>
      <c r="P20" s="1"/>
      <c r="Q20" s="1">
        <v>0</v>
      </c>
      <c r="R20" s="1">
        <v>0</v>
      </c>
      <c r="S20" s="1">
        <f>0</f>
        <v>0</v>
      </c>
      <c r="T20" s="1">
        <f>0</f>
        <v>0</v>
      </c>
      <c r="U20" s="1"/>
      <c r="V20" s="1">
        <v>0</v>
      </c>
      <c r="W20" s="1">
        <v>0</v>
      </c>
      <c r="X20" s="1">
        <f>0</f>
        <v>0</v>
      </c>
      <c r="Y20" s="1">
        <f>0</f>
        <v>0</v>
      </c>
      <c r="Z20" s="1">
        <f>0</f>
        <v>0</v>
      </c>
      <c r="AA20" s="1"/>
      <c r="AB20" s="5"/>
      <c r="AC20" s="5"/>
      <c r="AD20" s="1">
        <f>0</f>
        <v>0</v>
      </c>
      <c r="AE20" s="1">
        <f>0</f>
        <v>0</v>
      </c>
      <c r="AF20" s="1">
        <f>0</f>
        <v>0</v>
      </c>
      <c r="AG20" s="1">
        <f>0</f>
        <v>0</v>
      </c>
      <c r="AH20" s="1">
        <f>0</f>
        <v>0</v>
      </c>
      <c r="AI20" s="1">
        <f>0</f>
        <v>0</v>
      </c>
      <c r="AJ20" s="1"/>
      <c r="AK20" s="1"/>
      <c r="AL20" s="1" t="b">
        <v>1</v>
      </c>
      <c r="AM20" s="1"/>
      <c r="AN20" s="1"/>
      <c r="AO20" s="1"/>
      <c r="AP20" s="1"/>
      <c r="AQ20" s="1"/>
      <c r="AR20" s="1"/>
      <c r="AS20" s="1"/>
      <c r="AT20" s="1"/>
      <c r="AU20" s="1"/>
      <c r="AV20" s="1"/>
      <c r="AW20" s="1"/>
      <c r="AX20" s="1"/>
      <c r="AY20" s="1"/>
      <c r="AZ20" s="1"/>
    </row>
    <row r="21" spans="1:52" ht="15" customHeight="1" x14ac:dyDescent="0.35">
      <c r="A21" s="1" t="s">
        <v>660</v>
      </c>
      <c r="B21" s="1" t="s">
        <v>661</v>
      </c>
      <c r="C21" s="1" t="s">
        <v>640</v>
      </c>
      <c r="D21" s="1"/>
      <c r="E21" s="1" t="s">
        <v>641</v>
      </c>
      <c r="F21" s="9" t="s">
        <v>645</v>
      </c>
      <c r="G21" s="1" t="s">
        <v>406</v>
      </c>
      <c r="H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1" s="11">
        <f>0</f>
        <v>0</v>
      </c>
      <c r="J21" s="1">
        <f>0</f>
        <v>0</v>
      </c>
      <c r="K21" s="1"/>
      <c r="L21" s="1">
        <v>0</v>
      </c>
      <c r="M21" s="1">
        <f>0</f>
        <v>0</v>
      </c>
      <c r="N21" s="1">
        <f>0</f>
        <v>0</v>
      </c>
      <c r="O21" s="1">
        <f>0</f>
        <v>0</v>
      </c>
      <c r="P21" s="1"/>
      <c r="Q21" s="1">
        <v>0</v>
      </c>
      <c r="R21" s="1">
        <v>0</v>
      </c>
      <c r="S21" s="1">
        <f>0</f>
        <v>0</v>
      </c>
      <c r="T21" s="1">
        <f>0</f>
        <v>0</v>
      </c>
      <c r="U21" s="1"/>
      <c r="V21" s="1">
        <v>0</v>
      </c>
      <c r="W21" s="1">
        <v>0</v>
      </c>
      <c r="X21" s="1">
        <f>0</f>
        <v>0</v>
      </c>
      <c r="Y21" s="1">
        <f>0</f>
        <v>0</v>
      </c>
      <c r="Z21" s="1">
        <f>0</f>
        <v>0</v>
      </c>
      <c r="AA21" s="1"/>
      <c r="AB21" s="5"/>
      <c r="AC21" s="5"/>
      <c r="AD21" s="1">
        <f>0</f>
        <v>0</v>
      </c>
      <c r="AE21" s="1">
        <f>0</f>
        <v>0</v>
      </c>
      <c r="AF21" s="1">
        <f>0</f>
        <v>0</v>
      </c>
      <c r="AG21" s="1">
        <f>0</f>
        <v>0</v>
      </c>
      <c r="AH21" s="1">
        <f>0</f>
        <v>0</v>
      </c>
      <c r="AI21" s="1">
        <f>0</f>
        <v>0</v>
      </c>
      <c r="AJ21" s="1"/>
      <c r="AK21" s="1"/>
      <c r="AL21" s="1" t="b">
        <v>1</v>
      </c>
      <c r="AM21" s="1"/>
      <c r="AN21" s="1"/>
      <c r="AO21" s="1"/>
      <c r="AP21" s="1"/>
      <c r="AQ21" s="1"/>
      <c r="AR21" s="1"/>
      <c r="AS21" s="1"/>
      <c r="AT21" s="1"/>
      <c r="AU21" s="1"/>
      <c r="AV21" s="1"/>
      <c r="AW21" s="1"/>
      <c r="AX21" s="1"/>
      <c r="AY21" s="1"/>
      <c r="AZ21" s="1"/>
    </row>
    <row r="22" spans="1:52" ht="15" customHeight="1" x14ac:dyDescent="0.35">
      <c r="A22" s="1" t="s">
        <v>662</v>
      </c>
      <c r="B22" s="1" t="s">
        <v>663</v>
      </c>
      <c r="C22" s="1" t="s">
        <v>640</v>
      </c>
      <c r="D22" s="1"/>
      <c r="E22" s="1" t="s">
        <v>641</v>
      </c>
      <c r="F22" s="9" t="s">
        <v>664</v>
      </c>
      <c r="G22" s="1" t="s">
        <v>406</v>
      </c>
      <c r="H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2" s="11">
        <f>0</f>
        <v>0</v>
      </c>
      <c r="J22" s="1">
        <f>0</f>
        <v>0</v>
      </c>
      <c r="K22" s="1"/>
      <c r="L22" s="1">
        <v>0</v>
      </c>
      <c r="M22" s="1">
        <f>0</f>
        <v>0</v>
      </c>
      <c r="N22" s="1">
        <f>0</f>
        <v>0</v>
      </c>
      <c r="O22" s="1">
        <f>0</f>
        <v>0</v>
      </c>
      <c r="P22" s="1"/>
      <c r="Q22" s="1">
        <v>0</v>
      </c>
      <c r="R22" s="1">
        <v>0</v>
      </c>
      <c r="S22" s="1">
        <f>0</f>
        <v>0</v>
      </c>
      <c r="T22" s="1">
        <f>0</f>
        <v>0</v>
      </c>
      <c r="U22" s="1"/>
      <c r="V22" s="1">
        <v>0</v>
      </c>
      <c r="W22" s="1">
        <v>0</v>
      </c>
      <c r="X22" s="1">
        <f>0</f>
        <v>0</v>
      </c>
      <c r="Y22" s="1">
        <f>0</f>
        <v>0</v>
      </c>
      <c r="Z22" s="1">
        <f>0</f>
        <v>0</v>
      </c>
      <c r="AA22" s="1"/>
      <c r="AB22" s="5"/>
      <c r="AC22" s="5"/>
      <c r="AD22" s="1">
        <f>0</f>
        <v>0</v>
      </c>
      <c r="AE22" s="1">
        <f>0</f>
        <v>0</v>
      </c>
      <c r="AF22" s="1">
        <f>0</f>
        <v>0</v>
      </c>
      <c r="AG22" s="1">
        <f>0</f>
        <v>0</v>
      </c>
      <c r="AH22" s="1">
        <f>0</f>
        <v>0</v>
      </c>
      <c r="AI22" s="1">
        <f>0</f>
        <v>0</v>
      </c>
      <c r="AJ22" s="1"/>
      <c r="AK22" s="1"/>
      <c r="AL22" s="1" t="b">
        <v>1</v>
      </c>
      <c r="AM22" s="1"/>
      <c r="AN22" s="1"/>
      <c r="AO22" s="1"/>
      <c r="AP22" s="1"/>
      <c r="AQ22" s="1"/>
      <c r="AR22" s="1"/>
      <c r="AS22" s="1"/>
      <c r="AT22" s="1"/>
      <c r="AU22" s="1"/>
      <c r="AV22" s="1"/>
      <c r="AW22" s="1"/>
      <c r="AX22" s="1"/>
      <c r="AY22" s="1"/>
      <c r="AZ22" s="1"/>
    </row>
    <row r="23" spans="1:52" ht="15" customHeight="1" x14ac:dyDescent="0.35">
      <c r="A23" s="1" t="s">
        <v>665</v>
      </c>
      <c r="B23" s="1" t="s">
        <v>666</v>
      </c>
      <c r="C23" s="1" t="s">
        <v>640</v>
      </c>
      <c r="D23" s="1"/>
      <c r="E23" s="1" t="s">
        <v>641</v>
      </c>
      <c r="F23" s="9" t="s">
        <v>645</v>
      </c>
      <c r="G23" s="1" t="s">
        <v>406</v>
      </c>
      <c r="H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3" s="11">
        <f>0</f>
        <v>0</v>
      </c>
      <c r="J23" s="1">
        <f>0</f>
        <v>0</v>
      </c>
      <c r="K23" s="1"/>
      <c r="L23" s="1">
        <v>0</v>
      </c>
      <c r="M23" s="1">
        <f>0</f>
        <v>0</v>
      </c>
      <c r="N23" s="1">
        <f>0</f>
        <v>0</v>
      </c>
      <c r="O23" s="1">
        <f>0</f>
        <v>0</v>
      </c>
      <c r="P23" s="1"/>
      <c r="Q23" s="1">
        <v>0</v>
      </c>
      <c r="R23" s="1">
        <v>0</v>
      </c>
      <c r="S23" s="1">
        <f>0</f>
        <v>0</v>
      </c>
      <c r="T23" s="1">
        <f>0</f>
        <v>0</v>
      </c>
      <c r="U23" s="1"/>
      <c r="V23" s="1">
        <v>0</v>
      </c>
      <c r="W23" s="1">
        <v>0</v>
      </c>
      <c r="X23" s="1">
        <f>0</f>
        <v>0</v>
      </c>
      <c r="Y23" s="1">
        <f>0</f>
        <v>0</v>
      </c>
      <c r="Z23" s="1">
        <f>0</f>
        <v>0</v>
      </c>
      <c r="AA23" s="1"/>
      <c r="AB23" s="5"/>
      <c r="AC23" s="5"/>
      <c r="AD23" s="1">
        <f>0</f>
        <v>0</v>
      </c>
      <c r="AE23" s="1">
        <f>0</f>
        <v>0</v>
      </c>
      <c r="AF23" s="1">
        <f>0</f>
        <v>0</v>
      </c>
      <c r="AG23" s="1">
        <f>0</f>
        <v>0</v>
      </c>
      <c r="AH23" s="1">
        <f>0</f>
        <v>0</v>
      </c>
      <c r="AI23" s="1">
        <f>0</f>
        <v>0</v>
      </c>
      <c r="AJ23" s="1"/>
      <c r="AK23" s="1"/>
      <c r="AL23" s="1" t="b">
        <v>1</v>
      </c>
      <c r="AM23" s="1"/>
      <c r="AN23" s="1"/>
      <c r="AO23" s="1"/>
      <c r="AP23" s="1"/>
      <c r="AQ23" s="1"/>
      <c r="AR23" s="1"/>
      <c r="AS23" s="1"/>
      <c r="AT23" s="1"/>
      <c r="AU23" s="1"/>
      <c r="AV23" s="1"/>
      <c r="AW23" s="1"/>
      <c r="AX23" s="1"/>
      <c r="AY23" s="1"/>
      <c r="AZ23" s="1"/>
    </row>
    <row r="24" spans="1:52" ht="15" customHeight="1" x14ac:dyDescent="0.35">
      <c r="A24" s="1" t="s">
        <v>667</v>
      </c>
      <c r="B24" s="1" t="s">
        <v>668</v>
      </c>
      <c r="C24" s="1" t="s">
        <v>640</v>
      </c>
      <c r="D24" s="1"/>
      <c r="E24" s="1" t="s">
        <v>641</v>
      </c>
      <c r="F24" s="9" t="s">
        <v>645</v>
      </c>
      <c r="G24" s="1" t="s">
        <v>406</v>
      </c>
      <c r="H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4" s="11">
        <f>0</f>
        <v>0</v>
      </c>
      <c r="J24" s="1">
        <f>0</f>
        <v>0</v>
      </c>
      <c r="K24" s="1"/>
      <c r="L24" s="1">
        <v>0</v>
      </c>
      <c r="M24" s="1">
        <f>0</f>
        <v>0</v>
      </c>
      <c r="N24" s="1">
        <f>0</f>
        <v>0</v>
      </c>
      <c r="O24" s="1">
        <f>0</f>
        <v>0</v>
      </c>
      <c r="P24" s="1"/>
      <c r="Q24" s="1">
        <v>0</v>
      </c>
      <c r="R24" s="1">
        <v>0</v>
      </c>
      <c r="S24" s="1">
        <f>0</f>
        <v>0</v>
      </c>
      <c r="T24" s="1">
        <f>0</f>
        <v>0</v>
      </c>
      <c r="U24" s="1"/>
      <c r="V24" s="1">
        <v>0</v>
      </c>
      <c r="W24" s="1">
        <v>0</v>
      </c>
      <c r="X24" s="1">
        <f>0</f>
        <v>0</v>
      </c>
      <c r="Y24" s="1">
        <f>0</f>
        <v>0</v>
      </c>
      <c r="Z24" s="1">
        <f>0</f>
        <v>0</v>
      </c>
      <c r="AA24" s="1"/>
      <c r="AB24" s="5"/>
      <c r="AC24" s="5"/>
      <c r="AD24" s="1">
        <f>0</f>
        <v>0</v>
      </c>
      <c r="AE24" s="1">
        <f>0</f>
        <v>0</v>
      </c>
      <c r="AF24" s="1">
        <f>0</f>
        <v>0</v>
      </c>
      <c r="AG24" s="1">
        <f>0</f>
        <v>0</v>
      </c>
      <c r="AH24" s="1">
        <f>0</f>
        <v>0</v>
      </c>
      <c r="AI24" s="1">
        <f>0</f>
        <v>0</v>
      </c>
      <c r="AJ24" s="1"/>
      <c r="AK24" s="1"/>
      <c r="AL24" s="1" t="b">
        <v>1</v>
      </c>
      <c r="AM24" s="1"/>
      <c r="AN24" s="1"/>
      <c r="AO24" s="1"/>
      <c r="AP24" s="1"/>
      <c r="AQ24" s="1"/>
      <c r="AR24" s="1"/>
      <c r="AS24" s="1"/>
      <c r="AT24" s="1"/>
      <c r="AU24" s="1"/>
      <c r="AV24" s="1"/>
      <c r="AW24" s="1"/>
      <c r="AX24" s="1"/>
      <c r="AY24" s="1"/>
      <c r="AZ24" s="1"/>
    </row>
    <row r="25" spans="1:52" ht="15" customHeight="1" x14ac:dyDescent="0.35">
      <c r="A25" s="1" t="s">
        <v>669</v>
      </c>
      <c r="B25" s="1" t="s">
        <v>670</v>
      </c>
      <c r="C25" s="1" t="s">
        <v>640</v>
      </c>
      <c r="D25" s="1"/>
      <c r="E25" s="1" t="s">
        <v>641</v>
      </c>
      <c r="F25" s="9" t="s">
        <v>645</v>
      </c>
      <c r="G25" s="1" t="s">
        <v>406</v>
      </c>
      <c r="H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5" s="11">
        <f>0</f>
        <v>0</v>
      </c>
      <c r="J25" s="1">
        <f>0</f>
        <v>0</v>
      </c>
      <c r="K25" s="1"/>
      <c r="L25" s="1">
        <v>0</v>
      </c>
      <c r="M25" s="1">
        <f>0</f>
        <v>0</v>
      </c>
      <c r="N25" s="1">
        <f>0</f>
        <v>0</v>
      </c>
      <c r="O25" s="1">
        <f>0</f>
        <v>0</v>
      </c>
      <c r="P25" s="1"/>
      <c r="Q25" s="1">
        <v>0</v>
      </c>
      <c r="R25" s="1">
        <v>0</v>
      </c>
      <c r="S25" s="1">
        <f>0</f>
        <v>0</v>
      </c>
      <c r="T25" s="1">
        <f>0</f>
        <v>0</v>
      </c>
      <c r="U25" s="1"/>
      <c r="V25" s="1">
        <v>0</v>
      </c>
      <c r="W25" s="1">
        <v>0</v>
      </c>
      <c r="X25" s="1">
        <f>0</f>
        <v>0</v>
      </c>
      <c r="Y25" s="1">
        <f>0</f>
        <v>0</v>
      </c>
      <c r="Z25" s="1">
        <f>0</f>
        <v>0</v>
      </c>
      <c r="AA25" s="1"/>
      <c r="AB25" s="5"/>
      <c r="AC25" s="5"/>
      <c r="AD25" s="1">
        <f>0</f>
        <v>0</v>
      </c>
      <c r="AE25" s="1">
        <f>0</f>
        <v>0</v>
      </c>
      <c r="AF25" s="1">
        <f>0</f>
        <v>0</v>
      </c>
      <c r="AG25" s="1">
        <f>0</f>
        <v>0</v>
      </c>
      <c r="AH25" s="1">
        <f>0</f>
        <v>0</v>
      </c>
      <c r="AI25" s="1">
        <f>0</f>
        <v>0</v>
      </c>
      <c r="AJ25" s="1"/>
      <c r="AK25" s="1"/>
      <c r="AL25" s="1" t="b">
        <v>1</v>
      </c>
      <c r="AM25" s="1"/>
      <c r="AN25" s="1"/>
      <c r="AO25" s="1"/>
      <c r="AP25" s="1"/>
      <c r="AQ25" s="1"/>
      <c r="AR25" s="1"/>
      <c r="AS25" s="1"/>
      <c r="AT25" s="1"/>
      <c r="AU25" s="1"/>
      <c r="AV25" s="1"/>
      <c r="AW25" s="1"/>
      <c r="AX25" s="1"/>
      <c r="AY25" s="1"/>
      <c r="AZ25" s="1"/>
    </row>
    <row r="26" spans="1:52" ht="15" customHeight="1" x14ac:dyDescent="0.35">
      <c r="A26" s="1" t="s">
        <v>671</v>
      </c>
      <c r="B26" s="1" t="s">
        <v>672</v>
      </c>
      <c r="C26" s="1" t="s">
        <v>640</v>
      </c>
      <c r="D26" s="1"/>
      <c r="E26" s="1" t="s">
        <v>673</v>
      </c>
      <c r="F26" s="9" t="s">
        <v>645</v>
      </c>
      <c r="G26" s="1" t="s">
        <v>406</v>
      </c>
      <c r="H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6" s="11">
        <f>0</f>
        <v>0</v>
      </c>
      <c r="J26" s="1">
        <f>0</f>
        <v>0</v>
      </c>
      <c r="K26" s="1"/>
      <c r="L26" s="1">
        <v>0</v>
      </c>
      <c r="M26" s="1">
        <f>0</f>
        <v>0</v>
      </c>
      <c r="N26" s="1">
        <f>0</f>
        <v>0</v>
      </c>
      <c r="O26" s="1">
        <f>0</f>
        <v>0</v>
      </c>
      <c r="P26" s="1"/>
      <c r="Q26" s="1">
        <v>0</v>
      </c>
      <c r="R26" s="1">
        <v>0</v>
      </c>
      <c r="S26" s="1">
        <f>0</f>
        <v>0</v>
      </c>
      <c r="T26" s="1">
        <f>0</f>
        <v>0</v>
      </c>
      <c r="U26" s="1"/>
      <c r="V26" s="1">
        <v>0</v>
      </c>
      <c r="W26" s="1">
        <v>0</v>
      </c>
      <c r="X26" s="1">
        <f>0</f>
        <v>0</v>
      </c>
      <c r="Y26" s="1">
        <f>0</f>
        <v>0</v>
      </c>
      <c r="Z26" s="1">
        <f>0</f>
        <v>0</v>
      </c>
      <c r="AA26" s="1"/>
      <c r="AB26" s="5"/>
      <c r="AC26" s="5"/>
      <c r="AD26" s="1">
        <f>0</f>
        <v>0</v>
      </c>
      <c r="AE26" s="1">
        <f>0</f>
        <v>0</v>
      </c>
      <c r="AF26" s="1">
        <f>0</f>
        <v>0</v>
      </c>
      <c r="AG26" s="1">
        <f>0</f>
        <v>0</v>
      </c>
      <c r="AH26" s="1">
        <f>0</f>
        <v>0</v>
      </c>
      <c r="AI26" s="1">
        <f>0</f>
        <v>0</v>
      </c>
      <c r="AJ26" s="1"/>
      <c r="AK26" s="1"/>
      <c r="AL26" s="1" t="b">
        <v>1</v>
      </c>
      <c r="AM26" s="1"/>
      <c r="AN26" s="1"/>
      <c r="AO26" s="1"/>
      <c r="AP26" s="1"/>
      <c r="AQ26" s="1"/>
      <c r="AR26" s="1"/>
      <c r="AS26" s="1"/>
      <c r="AT26" s="1"/>
      <c r="AU26" s="1"/>
      <c r="AV26" s="1"/>
      <c r="AW26" s="1"/>
      <c r="AX26" s="1"/>
      <c r="AY26" s="1"/>
      <c r="AZ26" s="1"/>
    </row>
    <row r="27" spans="1:52" ht="15" customHeight="1" x14ac:dyDescent="0.35">
      <c r="A27" s="1" t="s">
        <v>674</v>
      </c>
      <c r="B27" s="1" t="s">
        <v>675</v>
      </c>
      <c r="C27" s="1" t="s">
        <v>640</v>
      </c>
      <c r="D27" s="1"/>
      <c r="E27" s="1" t="s">
        <v>673</v>
      </c>
      <c r="F27" s="9" t="s">
        <v>645</v>
      </c>
      <c r="G27" s="1" t="s">
        <v>406</v>
      </c>
      <c r="H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7" s="11">
        <f>0</f>
        <v>0</v>
      </c>
      <c r="J27" s="1">
        <f>0</f>
        <v>0</v>
      </c>
      <c r="K27" s="1"/>
      <c r="L27" s="1">
        <v>0</v>
      </c>
      <c r="M27" s="1">
        <f>0</f>
        <v>0</v>
      </c>
      <c r="N27" s="1">
        <f>0</f>
        <v>0</v>
      </c>
      <c r="O27" s="1">
        <f>0</f>
        <v>0</v>
      </c>
      <c r="P27" s="1"/>
      <c r="Q27" s="1">
        <v>0</v>
      </c>
      <c r="R27" s="1">
        <v>0</v>
      </c>
      <c r="S27" s="1">
        <f>0</f>
        <v>0</v>
      </c>
      <c r="T27" s="1">
        <f>0</f>
        <v>0</v>
      </c>
      <c r="U27" s="1"/>
      <c r="V27" s="1">
        <v>0</v>
      </c>
      <c r="W27" s="1">
        <v>0</v>
      </c>
      <c r="X27" s="1">
        <f>0</f>
        <v>0</v>
      </c>
      <c r="Y27" s="1">
        <f>0</f>
        <v>0</v>
      </c>
      <c r="Z27" s="1">
        <f>0</f>
        <v>0</v>
      </c>
      <c r="AA27" s="1"/>
      <c r="AB27" s="5"/>
      <c r="AC27" s="5"/>
      <c r="AD27" s="1">
        <f>0</f>
        <v>0</v>
      </c>
      <c r="AE27" s="1">
        <f>0</f>
        <v>0</v>
      </c>
      <c r="AF27" s="1">
        <f>0</f>
        <v>0</v>
      </c>
      <c r="AG27" s="1">
        <f>0</f>
        <v>0</v>
      </c>
      <c r="AH27" s="1">
        <f>0</f>
        <v>0</v>
      </c>
      <c r="AI27" s="1">
        <f>0</f>
        <v>0</v>
      </c>
      <c r="AJ27" s="1"/>
      <c r="AK27" s="1"/>
      <c r="AL27" s="1" t="b">
        <v>1</v>
      </c>
      <c r="AM27" s="1"/>
      <c r="AN27" s="1"/>
      <c r="AO27" s="1"/>
      <c r="AP27" s="1"/>
      <c r="AQ27" s="1"/>
      <c r="AR27" s="1"/>
      <c r="AS27" s="1"/>
      <c r="AT27" s="1"/>
      <c r="AU27" s="1"/>
      <c r="AV27" s="1"/>
      <c r="AW27" s="1"/>
      <c r="AX27" s="1"/>
      <c r="AY27" s="1"/>
      <c r="AZ27" s="1"/>
    </row>
    <row r="28" spans="1:52" ht="15" customHeight="1" x14ac:dyDescent="0.35">
      <c r="A28" s="1" t="s">
        <v>676</v>
      </c>
      <c r="B28" s="1" t="s">
        <v>677</v>
      </c>
      <c r="C28" s="1" t="s">
        <v>640</v>
      </c>
      <c r="D28" s="1"/>
      <c r="E28" s="1" t="s">
        <v>673</v>
      </c>
      <c r="F28" s="9" t="s">
        <v>664</v>
      </c>
      <c r="G28" s="1" t="s">
        <v>406</v>
      </c>
      <c r="H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8" s="11">
        <f>0</f>
        <v>0</v>
      </c>
      <c r="J28" s="1">
        <f>0</f>
        <v>0</v>
      </c>
      <c r="K28" s="1"/>
      <c r="L28" s="1">
        <v>0</v>
      </c>
      <c r="M28" s="1">
        <f>0</f>
        <v>0</v>
      </c>
      <c r="N28" s="1">
        <f>0</f>
        <v>0</v>
      </c>
      <c r="O28" s="1">
        <f>0</f>
        <v>0</v>
      </c>
      <c r="P28" s="1"/>
      <c r="Q28" s="1">
        <v>0</v>
      </c>
      <c r="R28" s="1">
        <v>0</v>
      </c>
      <c r="S28" s="1">
        <f>0</f>
        <v>0</v>
      </c>
      <c r="T28" s="1">
        <f>0</f>
        <v>0</v>
      </c>
      <c r="U28" s="1"/>
      <c r="V28" s="1">
        <v>0</v>
      </c>
      <c r="W28" s="1">
        <v>0</v>
      </c>
      <c r="X28" s="1">
        <f>0</f>
        <v>0</v>
      </c>
      <c r="Y28" s="1">
        <f>0</f>
        <v>0</v>
      </c>
      <c r="Z28" s="1">
        <f>0</f>
        <v>0</v>
      </c>
      <c r="AA28" s="1"/>
      <c r="AB28" s="5"/>
      <c r="AC28" s="5"/>
      <c r="AD28" s="1">
        <f>0</f>
        <v>0</v>
      </c>
      <c r="AE28" s="1">
        <f>0</f>
        <v>0</v>
      </c>
      <c r="AF28" s="1">
        <f>0</f>
        <v>0</v>
      </c>
      <c r="AG28" s="1">
        <f>0</f>
        <v>0</v>
      </c>
      <c r="AH28" s="1">
        <f>0</f>
        <v>0</v>
      </c>
      <c r="AI28" s="1">
        <f>0</f>
        <v>0</v>
      </c>
      <c r="AJ28" s="1"/>
      <c r="AK28" s="1"/>
      <c r="AL28" s="1" t="b">
        <v>1</v>
      </c>
      <c r="AM28" s="1"/>
      <c r="AN28" s="1"/>
      <c r="AO28" s="1"/>
      <c r="AP28" s="1"/>
      <c r="AQ28" s="1"/>
      <c r="AR28" s="1"/>
      <c r="AS28" s="1"/>
      <c r="AT28" s="1"/>
      <c r="AU28" s="1"/>
      <c r="AV28" s="1"/>
      <c r="AW28" s="1"/>
      <c r="AX28" s="1"/>
      <c r="AY28" s="1"/>
      <c r="AZ28" s="1"/>
    </row>
    <row r="29" spans="1:52" ht="15" customHeight="1" x14ac:dyDescent="0.35">
      <c r="A29" s="1" t="s">
        <v>678</v>
      </c>
      <c r="B29" s="1" t="s">
        <v>679</v>
      </c>
      <c r="C29" s="1" t="s">
        <v>680</v>
      </c>
      <c r="D29" s="1" t="s">
        <v>681</v>
      </c>
      <c r="E29" s="1" t="s">
        <v>682</v>
      </c>
      <c r="F29" s="9" t="s">
        <v>683</v>
      </c>
      <c r="G29" s="1" t="s">
        <v>406</v>
      </c>
      <c r="H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29" s="11" t="e">
        <f>ABS(NETWORKDAYS.INTL("7/24/2024", "08/05/24", 1, {"01/01/2024","01/15/2024","02/19/2024","05/27/2024","07/04/2024","09/02/2024","10/14/2024","11/11/2024","11/28/2024","12/25/2024","12/25/2024","12/26/2024","12/27/2024","12/28/2024","12/29/2024","12/30/2024","31/25/2024","01/01/2024","01/02/2024","01/03/2024","01/04/2024","01/05/2024"}))</f>
        <v>#VALUE!</v>
      </c>
      <c r="J29" s="1" t="e">
        <f>ABS(NETWORKDAYS.INTL("7/29/2024", "08/05/24", 1, {"01/01/2024","01/15/2024","02/19/2024","05/27/2024","07/04/2024","09/02/2024","10/14/2024","11/11/2024","11/28/2024","12/25/2024","12/25/2024","12/26/2024","12/27/2024","12/28/2024","12/29/2024","12/30/2024","31/25/2024","01/01/2024","01/02/2024","01/03/2024","01/04/2024","01/05/2024"}))</f>
        <v>#VALUE!</v>
      </c>
      <c r="K29" s="1"/>
      <c r="L29" s="1">
        <v>0</v>
      </c>
      <c r="M29" s="1">
        <f>0</f>
        <v>0</v>
      </c>
      <c r="N29" s="1">
        <f>0</f>
        <v>0</v>
      </c>
      <c r="O29" s="1">
        <f>0</f>
        <v>0</v>
      </c>
      <c r="P29" s="1"/>
      <c r="Q29" s="1">
        <v>0</v>
      </c>
      <c r="R29" s="1">
        <v>0</v>
      </c>
      <c r="S29" s="1">
        <f>0</f>
        <v>0</v>
      </c>
      <c r="T29" s="1">
        <f>0</f>
        <v>0</v>
      </c>
      <c r="U29" s="1"/>
      <c r="V29" s="1">
        <v>0</v>
      </c>
      <c r="W29" s="1">
        <v>0</v>
      </c>
      <c r="X29" s="1">
        <f>0</f>
        <v>0</v>
      </c>
      <c r="Y29" s="1">
        <f>0</f>
        <v>0</v>
      </c>
      <c r="Z29" s="1">
        <f>0</f>
        <v>0</v>
      </c>
      <c r="AA29" s="1"/>
      <c r="AB29" s="5"/>
      <c r="AC29" s="5"/>
      <c r="AD29" s="1">
        <f>0</f>
        <v>0</v>
      </c>
      <c r="AE29" s="1">
        <f>0</f>
        <v>0</v>
      </c>
      <c r="AF29" s="1">
        <f>0</f>
        <v>0</v>
      </c>
      <c r="AG29" s="1">
        <f>0</f>
        <v>0</v>
      </c>
      <c r="AH29" s="1">
        <f>0</f>
        <v>0</v>
      </c>
      <c r="AI29" s="1">
        <f>0</f>
        <v>0</v>
      </c>
      <c r="AJ29" s="1"/>
      <c r="AK29" s="1"/>
      <c r="AL29" s="1" t="b">
        <v>1</v>
      </c>
      <c r="AM29" s="1"/>
      <c r="AN29" s="1"/>
      <c r="AO29" s="1"/>
      <c r="AP29" s="1"/>
      <c r="AQ29" s="1"/>
      <c r="AR29" s="1"/>
      <c r="AS29" s="1"/>
      <c r="AT29" s="1"/>
      <c r="AU29" s="1"/>
      <c r="AV29" s="1"/>
      <c r="AW29" s="1"/>
      <c r="AX29" s="1"/>
      <c r="AY29" s="1"/>
      <c r="AZ29" s="1"/>
    </row>
    <row r="30" spans="1:52" ht="15" customHeight="1" x14ac:dyDescent="0.35">
      <c r="A30" s="1" t="s">
        <v>684</v>
      </c>
      <c r="B30" s="1" t="s">
        <v>685</v>
      </c>
      <c r="C30" s="1" t="s">
        <v>640</v>
      </c>
      <c r="D30" s="1"/>
      <c r="E30" s="1" t="s">
        <v>673</v>
      </c>
      <c r="F30" s="9" t="s">
        <v>645</v>
      </c>
      <c r="G30" s="1" t="s">
        <v>406</v>
      </c>
      <c r="H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 s="11">
        <f>0</f>
        <v>0</v>
      </c>
      <c r="J30" s="1">
        <f>0</f>
        <v>0</v>
      </c>
      <c r="K30" s="1"/>
      <c r="L30" s="1">
        <v>0</v>
      </c>
      <c r="M30" s="1">
        <f>0</f>
        <v>0</v>
      </c>
      <c r="N30" s="1">
        <f>0</f>
        <v>0</v>
      </c>
      <c r="O30" s="1">
        <f>0</f>
        <v>0</v>
      </c>
      <c r="P30" s="1"/>
      <c r="Q30" s="1">
        <v>0</v>
      </c>
      <c r="R30" s="1">
        <v>0</v>
      </c>
      <c r="S30" s="1">
        <f>0</f>
        <v>0</v>
      </c>
      <c r="T30" s="1">
        <f>0</f>
        <v>0</v>
      </c>
      <c r="U30" s="1"/>
      <c r="V30" s="1">
        <v>0</v>
      </c>
      <c r="W30" s="1">
        <v>0</v>
      </c>
      <c r="X30" s="1">
        <f>0</f>
        <v>0</v>
      </c>
      <c r="Y30" s="1">
        <f>0</f>
        <v>0</v>
      </c>
      <c r="Z30" s="1">
        <f>0</f>
        <v>0</v>
      </c>
      <c r="AA30" s="1"/>
      <c r="AB30" s="5"/>
      <c r="AC30" s="5"/>
      <c r="AD30" s="1">
        <f>0</f>
        <v>0</v>
      </c>
      <c r="AE30" s="1">
        <f>0</f>
        <v>0</v>
      </c>
      <c r="AF30" s="1">
        <f>0</f>
        <v>0</v>
      </c>
      <c r="AG30" s="1">
        <f>0</f>
        <v>0</v>
      </c>
      <c r="AH30" s="1">
        <f>0</f>
        <v>0</v>
      </c>
      <c r="AI30" s="1">
        <f>0</f>
        <v>0</v>
      </c>
      <c r="AJ30" s="1"/>
      <c r="AK30" s="1"/>
      <c r="AL30" s="1" t="b">
        <v>1</v>
      </c>
      <c r="AM30" s="1"/>
      <c r="AN30" s="1"/>
      <c r="AO30" s="1"/>
      <c r="AP30" s="1"/>
      <c r="AQ30" s="1"/>
      <c r="AR30" s="1"/>
      <c r="AS30" s="1"/>
      <c r="AT30" s="1"/>
      <c r="AU30" s="1"/>
      <c r="AV30" s="1"/>
      <c r="AW30" s="1"/>
      <c r="AX30" s="1"/>
      <c r="AY30" s="1"/>
      <c r="AZ30" s="1"/>
    </row>
    <row r="31" spans="1:52" ht="15" customHeight="1" x14ac:dyDescent="0.35">
      <c r="A31" s="1" t="s">
        <v>686</v>
      </c>
      <c r="B31" s="1" t="s">
        <v>687</v>
      </c>
      <c r="C31" s="1" t="s">
        <v>640</v>
      </c>
      <c r="D31" s="1"/>
      <c r="E31" s="1" t="s">
        <v>673</v>
      </c>
      <c r="F31" s="9" t="s">
        <v>645</v>
      </c>
      <c r="G31" s="1" t="s">
        <v>406</v>
      </c>
      <c r="H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1" s="11">
        <f>0</f>
        <v>0</v>
      </c>
      <c r="J31" s="1">
        <f>0</f>
        <v>0</v>
      </c>
      <c r="K31" s="1"/>
      <c r="L31" s="1">
        <v>0</v>
      </c>
      <c r="M31" s="1">
        <f>0</f>
        <v>0</v>
      </c>
      <c r="N31" s="1">
        <f>0</f>
        <v>0</v>
      </c>
      <c r="O31" s="1">
        <f>0</f>
        <v>0</v>
      </c>
      <c r="P31" s="1"/>
      <c r="Q31" s="1">
        <v>0</v>
      </c>
      <c r="R31" s="1">
        <v>0</v>
      </c>
      <c r="S31" s="1">
        <f>0</f>
        <v>0</v>
      </c>
      <c r="T31" s="1">
        <f>0</f>
        <v>0</v>
      </c>
      <c r="U31" s="1"/>
      <c r="V31" s="1">
        <v>0</v>
      </c>
      <c r="W31" s="1">
        <v>0</v>
      </c>
      <c r="X31" s="1">
        <f>0</f>
        <v>0</v>
      </c>
      <c r="Y31" s="1">
        <f>0</f>
        <v>0</v>
      </c>
      <c r="Z31" s="1">
        <f>0</f>
        <v>0</v>
      </c>
      <c r="AA31" s="1"/>
      <c r="AB31" s="5"/>
      <c r="AC31" s="5"/>
      <c r="AD31" s="1">
        <f>0</f>
        <v>0</v>
      </c>
      <c r="AE31" s="1">
        <f>0</f>
        <v>0</v>
      </c>
      <c r="AF31" s="1">
        <f>0</f>
        <v>0</v>
      </c>
      <c r="AG31" s="1">
        <f>0</f>
        <v>0</v>
      </c>
      <c r="AH31" s="1">
        <f>0</f>
        <v>0</v>
      </c>
      <c r="AI31" s="1">
        <f>0</f>
        <v>0</v>
      </c>
      <c r="AJ31" s="1"/>
      <c r="AK31" s="1"/>
      <c r="AL31" s="1" t="b">
        <v>1</v>
      </c>
      <c r="AM31" s="1"/>
      <c r="AN31" s="1"/>
      <c r="AO31" s="1"/>
      <c r="AP31" s="1"/>
      <c r="AQ31" s="1"/>
      <c r="AR31" s="1"/>
      <c r="AS31" s="1"/>
      <c r="AT31" s="1"/>
      <c r="AU31" s="1"/>
      <c r="AV31" s="1"/>
      <c r="AW31" s="1"/>
      <c r="AX31" s="1"/>
      <c r="AY31" s="1"/>
      <c r="AZ31" s="1"/>
    </row>
    <row r="32" spans="1:52" ht="15" customHeight="1" x14ac:dyDescent="0.35">
      <c r="A32" s="1" t="s">
        <v>688</v>
      </c>
      <c r="B32" s="1" t="s">
        <v>689</v>
      </c>
      <c r="C32" s="1" t="s">
        <v>640</v>
      </c>
      <c r="D32" s="1"/>
      <c r="E32" s="1" t="s">
        <v>690</v>
      </c>
      <c r="F32" s="9" t="s">
        <v>664</v>
      </c>
      <c r="G32" s="1" t="s">
        <v>406</v>
      </c>
      <c r="H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 s="11">
        <f>0</f>
        <v>0</v>
      </c>
      <c r="J32" s="1">
        <f>0</f>
        <v>0</v>
      </c>
      <c r="K32" s="1"/>
      <c r="L32" s="1">
        <v>0</v>
      </c>
      <c r="M32" s="1">
        <f>0</f>
        <v>0</v>
      </c>
      <c r="N32" s="1">
        <f>0</f>
        <v>0</v>
      </c>
      <c r="O32" s="1">
        <f>0</f>
        <v>0</v>
      </c>
      <c r="P32" s="1"/>
      <c r="Q32" s="1">
        <v>0</v>
      </c>
      <c r="R32" s="1">
        <v>0</v>
      </c>
      <c r="S32" s="1">
        <f>0</f>
        <v>0</v>
      </c>
      <c r="T32" s="1">
        <f>0</f>
        <v>0</v>
      </c>
      <c r="U32" s="1"/>
      <c r="V32" s="1">
        <v>0</v>
      </c>
      <c r="W32" s="1">
        <v>0</v>
      </c>
      <c r="X32" s="1">
        <f>0</f>
        <v>0</v>
      </c>
      <c r="Y32" s="1">
        <f>0</f>
        <v>0</v>
      </c>
      <c r="Z32" s="1">
        <f>0</f>
        <v>0</v>
      </c>
      <c r="AA32" s="1"/>
      <c r="AB32" s="5"/>
      <c r="AC32" s="5"/>
      <c r="AD32" s="1">
        <f>0</f>
        <v>0</v>
      </c>
      <c r="AE32" s="1">
        <f>0</f>
        <v>0</v>
      </c>
      <c r="AF32" s="1">
        <f>0</f>
        <v>0</v>
      </c>
      <c r="AG32" s="1">
        <f>0</f>
        <v>0</v>
      </c>
      <c r="AH32" s="1">
        <f>0</f>
        <v>0</v>
      </c>
      <c r="AI32" s="1">
        <f>0</f>
        <v>0</v>
      </c>
      <c r="AJ32" s="1" t="b">
        <v>1</v>
      </c>
      <c r="AK32" s="1"/>
      <c r="AL32" s="1"/>
      <c r="AM32" s="1"/>
      <c r="AN32" s="1"/>
      <c r="AO32" s="1"/>
      <c r="AP32" s="1"/>
      <c r="AQ32" s="1"/>
      <c r="AR32" s="1"/>
      <c r="AS32" s="1"/>
      <c r="AT32" s="1"/>
      <c r="AU32" s="1"/>
      <c r="AV32" s="1"/>
      <c r="AW32" s="1"/>
      <c r="AX32" s="1"/>
      <c r="AY32" s="1"/>
      <c r="AZ32" s="1" t="b">
        <v>1</v>
      </c>
    </row>
    <row r="33" spans="1:52" ht="15" customHeight="1" x14ac:dyDescent="0.35">
      <c r="A33" s="1" t="s">
        <v>691</v>
      </c>
      <c r="B33" s="1" t="s">
        <v>692</v>
      </c>
      <c r="C33" s="1" t="s">
        <v>640</v>
      </c>
      <c r="D33" s="1"/>
      <c r="E33" s="1" t="s">
        <v>690</v>
      </c>
      <c r="F33" s="9" t="s">
        <v>645</v>
      </c>
      <c r="G33" s="1" t="s">
        <v>406</v>
      </c>
      <c r="H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 s="11">
        <f>0</f>
        <v>0</v>
      </c>
      <c r="J33" s="1">
        <f>0</f>
        <v>0</v>
      </c>
      <c r="K33" s="1"/>
      <c r="L33" s="1">
        <v>0</v>
      </c>
      <c r="M33" s="1">
        <f>0</f>
        <v>0</v>
      </c>
      <c r="N33" s="1">
        <f>0</f>
        <v>0</v>
      </c>
      <c r="O33" s="1">
        <f>0</f>
        <v>0</v>
      </c>
      <c r="P33" s="1"/>
      <c r="Q33" s="1">
        <v>0</v>
      </c>
      <c r="R33" s="1">
        <v>0</v>
      </c>
      <c r="S33" s="1">
        <f>0</f>
        <v>0</v>
      </c>
      <c r="T33" s="1">
        <f>0</f>
        <v>0</v>
      </c>
      <c r="U33" s="1"/>
      <c r="V33" s="1">
        <v>0</v>
      </c>
      <c r="W33" s="1">
        <v>0</v>
      </c>
      <c r="X33" s="1">
        <f>0</f>
        <v>0</v>
      </c>
      <c r="Y33" s="1">
        <f>0</f>
        <v>0</v>
      </c>
      <c r="Z33" s="1">
        <f>0</f>
        <v>0</v>
      </c>
      <c r="AA33" s="1"/>
      <c r="AB33" s="5"/>
      <c r="AC33" s="5"/>
      <c r="AD33" s="1">
        <f>0</f>
        <v>0</v>
      </c>
      <c r="AE33" s="1">
        <f>0</f>
        <v>0</v>
      </c>
      <c r="AF33" s="1">
        <f>0</f>
        <v>0</v>
      </c>
      <c r="AG33" s="1">
        <f>0</f>
        <v>0</v>
      </c>
      <c r="AH33" s="1">
        <f>0</f>
        <v>0</v>
      </c>
      <c r="AI33" s="1">
        <f>0</f>
        <v>0</v>
      </c>
      <c r="AJ33" s="1" t="b">
        <v>1</v>
      </c>
      <c r="AK33" s="1"/>
      <c r="AL33" s="1"/>
      <c r="AM33" s="1"/>
      <c r="AN33" s="1"/>
      <c r="AO33" s="1"/>
      <c r="AP33" s="1"/>
      <c r="AQ33" s="1"/>
      <c r="AR33" s="1"/>
      <c r="AS33" s="1"/>
      <c r="AT33" s="1"/>
      <c r="AU33" s="1"/>
      <c r="AV33" s="1"/>
      <c r="AW33" s="1"/>
      <c r="AX33" s="1"/>
      <c r="AY33" s="1"/>
      <c r="AZ33" s="1" t="b">
        <v>1</v>
      </c>
    </row>
    <row r="34" spans="1:52" ht="15" customHeight="1" x14ac:dyDescent="0.35">
      <c r="A34" s="1" t="s">
        <v>693</v>
      </c>
      <c r="B34" s="1" t="s">
        <v>694</v>
      </c>
      <c r="C34" s="1" t="s">
        <v>640</v>
      </c>
      <c r="D34" s="1"/>
      <c r="E34" s="1" t="s">
        <v>690</v>
      </c>
      <c r="F34" s="9" t="s">
        <v>645</v>
      </c>
      <c r="G34" s="1" t="s">
        <v>406</v>
      </c>
      <c r="H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 s="11">
        <f>0</f>
        <v>0</v>
      </c>
      <c r="J34" s="1">
        <f>0</f>
        <v>0</v>
      </c>
      <c r="K34" s="1"/>
      <c r="L34" s="1">
        <v>0</v>
      </c>
      <c r="M34" s="1">
        <f>0</f>
        <v>0</v>
      </c>
      <c r="N34" s="1">
        <f>0</f>
        <v>0</v>
      </c>
      <c r="O34" s="1">
        <f>0</f>
        <v>0</v>
      </c>
      <c r="P34" s="1"/>
      <c r="Q34" s="1">
        <v>0</v>
      </c>
      <c r="R34" s="1">
        <v>0</v>
      </c>
      <c r="S34" s="1">
        <f>0</f>
        <v>0</v>
      </c>
      <c r="T34" s="1">
        <f>0</f>
        <v>0</v>
      </c>
      <c r="U34" s="1"/>
      <c r="V34" s="1">
        <v>0</v>
      </c>
      <c r="W34" s="1">
        <v>0</v>
      </c>
      <c r="X34" s="1">
        <f>0</f>
        <v>0</v>
      </c>
      <c r="Y34" s="1">
        <f>0</f>
        <v>0</v>
      </c>
      <c r="Z34" s="1">
        <f>0</f>
        <v>0</v>
      </c>
      <c r="AA34" s="1"/>
      <c r="AB34" s="5"/>
      <c r="AC34" s="5"/>
      <c r="AD34" s="1">
        <f>0</f>
        <v>0</v>
      </c>
      <c r="AE34" s="1">
        <f>0</f>
        <v>0</v>
      </c>
      <c r="AF34" s="1">
        <f>0</f>
        <v>0</v>
      </c>
      <c r="AG34" s="1">
        <f>0</f>
        <v>0</v>
      </c>
      <c r="AH34" s="1">
        <f>0</f>
        <v>0</v>
      </c>
      <c r="AI34" s="1">
        <f>0</f>
        <v>0</v>
      </c>
      <c r="AJ34" s="1" t="b">
        <v>1</v>
      </c>
      <c r="AK34" s="1"/>
      <c r="AL34" s="1"/>
      <c r="AM34" s="1"/>
      <c r="AN34" s="1"/>
      <c r="AO34" s="1"/>
      <c r="AP34" s="1"/>
      <c r="AQ34" s="1"/>
      <c r="AR34" s="1"/>
      <c r="AS34" s="1"/>
      <c r="AT34" s="1"/>
      <c r="AU34" s="1"/>
      <c r="AV34" s="1"/>
      <c r="AW34" s="1"/>
      <c r="AX34" s="1"/>
      <c r="AY34" s="1"/>
      <c r="AZ34" s="1" t="b">
        <v>1</v>
      </c>
    </row>
    <row r="35" spans="1:52" ht="15" customHeight="1" x14ac:dyDescent="0.35">
      <c r="A35" s="1" t="s">
        <v>695</v>
      </c>
      <c r="B35" s="1" t="s">
        <v>696</v>
      </c>
      <c r="C35" s="1" t="s">
        <v>640</v>
      </c>
      <c r="D35" s="1"/>
      <c r="E35" s="1" t="s">
        <v>690</v>
      </c>
      <c r="F35" s="9" t="s">
        <v>645</v>
      </c>
      <c r="G35" s="1" t="s">
        <v>406</v>
      </c>
      <c r="H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 s="11">
        <f>0</f>
        <v>0</v>
      </c>
      <c r="J35" s="1">
        <f>0</f>
        <v>0</v>
      </c>
      <c r="K35" s="1"/>
      <c r="L35" s="1">
        <v>0</v>
      </c>
      <c r="M35" s="1">
        <f>0</f>
        <v>0</v>
      </c>
      <c r="N35" s="1">
        <f>0</f>
        <v>0</v>
      </c>
      <c r="O35" s="1">
        <f>0</f>
        <v>0</v>
      </c>
      <c r="P35" s="1"/>
      <c r="Q35" s="1">
        <v>0</v>
      </c>
      <c r="R35" s="1">
        <v>0</v>
      </c>
      <c r="S35" s="1">
        <f>0</f>
        <v>0</v>
      </c>
      <c r="T35" s="1">
        <f>0</f>
        <v>0</v>
      </c>
      <c r="U35" s="1"/>
      <c r="V35" s="1">
        <v>0</v>
      </c>
      <c r="W35" s="1">
        <v>0</v>
      </c>
      <c r="X35" s="1">
        <f>0</f>
        <v>0</v>
      </c>
      <c r="Y35" s="1">
        <f>0</f>
        <v>0</v>
      </c>
      <c r="Z35" s="1">
        <f>0</f>
        <v>0</v>
      </c>
      <c r="AA35" s="1"/>
      <c r="AB35" s="5"/>
      <c r="AC35" s="5"/>
      <c r="AD35" s="1">
        <f>0</f>
        <v>0</v>
      </c>
      <c r="AE35" s="1">
        <f>0</f>
        <v>0</v>
      </c>
      <c r="AF35" s="1">
        <f>0</f>
        <v>0</v>
      </c>
      <c r="AG35" s="1">
        <f>0</f>
        <v>0</v>
      </c>
      <c r="AH35" s="1">
        <f>0</f>
        <v>0</v>
      </c>
      <c r="AI35" s="1">
        <f>0</f>
        <v>0</v>
      </c>
      <c r="AJ35" s="1" t="b">
        <v>1</v>
      </c>
      <c r="AK35" s="1"/>
      <c r="AL35" s="1"/>
      <c r="AM35" s="1"/>
      <c r="AN35" s="1"/>
      <c r="AO35" s="1"/>
      <c r="AP35" s="1"/>
      <c r="AQ35" s="1"/>
      <c r="AR35" s="1"/>
      <c r="AS35" s="1"/>
      <c r="AT35" s="1"/>
      <c r="AU35" s="1"/>
      <c r="AV35" s="1"/>
      <c r="AW35" s="1"/>
      <c r="AX35" s="1"/>
      <c r="AY35" s="1"/>
      <c r="AZ35" s="1" t="b">
        <v>1</v>
      </c>
    </row>
    <row r="36" spans="1:52" ht="15" customHeight="1" x14ac:dyDescent="0.35">
      <c r="A36" s="1" t="s">
        <v>697</v>
      </c>
      <c r="B36" s="1" t="s">
        <v>698</v>
      </c>
      <c r="C36" s="1" t="s">
        <v>640</v>
      </c>
      <c r="D36" s="1"/>
      <c r="E36" s="1" t="s">
        <v>690</v>
      </c>
      <c r="F36" s="9" t="s">
        <v>645</v>
      </c>
      <c r="G36" s="1" t="s">
        <v>406</v>
      </c>
      <c r="H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 s="11">
        <f>0</f>
        <v>0</v>
      </c>
      <c r="J36" s="1">
        <f>0</f>
        <v>0</v>
      </c>
      <c r="K36" s="1"/>
      <c r="L36" s="1">
        <v>0</v>
      </c>
      <c r="M36" s="1">
        <f>0</f>
        <v>0</v>
      </c>
      <c r="N36" s="1">
        <f>0</f>
        <v>0</v>
      </c>
      <c r="O36" s="1">
        <f>0</f>
        <v>0</v>
      </c>
      <c r="P36" s="1"/>
      <c r="Q36" s="1">
        <v>0</v>
      </c>
      <c r="R36" s="1">
        <v>0</v>
      </c>
      <c r="S36" s="1">
        <f>0</f>
        <v>0</v>
      </c>
      <c r="T36" s="1">
        <f>0</f>
        <v>0</v>
      </c>
      <c r="U36" s="1"/>
      <c r="V36" s="1">
        <v>0</v>
      </c>
      <c r="W36" s="1">
        <v>0</v>
      </c>
      <c r="X36" s="1">
        <f>0</f>
        <v>0</v>
      </c>
      <c r="Y36" s="1">
        <f>0</f>
        <v>0</v>
      </c>
      <c r="Z36" s="1">
        <f>0</f>
        <v>0</v>
      </c>
      <c r="AA36" s="1"/>
      <c r="AB36" s="5"/>
      <c r="AC36" s="5"/>
      <c r="AD36" s="1">
        <f>0</f>
        <v>0</v>
      </c>
      <c r="AE36" s="1">
        <f>0</f>
        <v>0</v>
      </c>
      <c r="AF36" s="1">
        <f>0</f>
        <v>0</v>
      </c>
      <c r="AG36" s="1">
        <f>0</f>
        <v>0</v>
      </c>
      <c r="AH36" s="1">
        <f>0</f>
        <v>0</v>
      </c>
      <c r="AI36" s="1">
        <f>0</f>
        <v>0</v>
      </c>
      <c r="AJ36" s="1" t="b">
        <v>1</v>
      </c>
      <c r="AK36" s="1"/>
      <c r="AL36" s="1"/>
      <c r="AM36" s="1"/>
      <c r="AN36" s="1"/>
      <c r="AO36" s="1"/>
      <c r="AP36" s="1"/>
      <c r="AQ36" s="1"/>
      <c r="AR36" s="1"/>
      <c r="AS36" s="1"/>
      <c r="AT36" s="1"/>
      <c r="AU36" s="1"/>
      <c r="AV36" s="1"/>
      <c r="AW36" s="1"/>
      <c r="AX36" s="1"/>
      <c r="AY36" s="1"/>
      <c r="AZ36" s="1" t="b">
        <v>1</v>
      </c>
    </row>
    <row r="37" spans="1:52" ht="15" customHeight="1" x14ac:dyDescent="0.35">
      <c r="A37" s="1" t="s">
        <v>699</v>
      </c>
      <c r="B37" s="1" t="s">
        <v>700</v>
      </c>
      <c r="C37" s="1" t="s">
        <v>640</v>
      </c>
      <c r="D37" s="1"/>
      <c r="E37" s="1" t="s">
        <v>690</v>
      </c>
      <c r="F37" s="9" t="s">
        <v>645</v>
      </c>
      <c r="G37" s="1" t="s">
        <v>406</v>
      </c>
      <c r="H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 s="11">
        <f>0</f>
        <v>0</v>
      </c>
      <c r="J37" s="1">
        <f>0</f>
        <v>0</v>
      </c>
      <c r="K37" s="1"/>
      <c r="L37" s="1">
        <v>0</v>
      </c>
      <c r="M37" s="1">
        <f>0</f>
        <v>0</v>
      </c>
      <c r="N37" s="1">
        <f>0</f>
        <v>0</v>
      </c>
      <c r="O37" s="1">
        <f>0</f>
        <v>0</v>
      </c>
      <c r="P37" s="1"/>
      <c r="Q37" s="1">
        <v>0</v>
      </c>
      <c r="R37" s="1">
        <v>0</v>
      </c>
      <c r="S37" s="1">
        <f>0</f>
        <v>0</v>
      </c>
      <c r="T37" s="1">
        <f>0</f>
        <v>0</v>
      </c>
      <c r="U37" s="1"/>
      <c r="V37" s="1">
        <v>0</v>
      </c>
      <c r="W37" s="1">
        <v>0</v>
      </c>
      <c r="X37" s="1">
        <f>0</f>
        <v>0</v>
      </c>
      <c r="Y37" s="1">
        <f>0</f>
        <v>0</v>
      </c>
      <c r="Z37" s="1">
        <f>0</f>
        <v>0</v>
      </c>
      <c r="AA37" s="1"/>
      <c r="AB37" s="5"/>
      <c r="AC37" s="5"/>
      <c r="AD37" s="1">
        <f>0</f>
        <v>0</v>
      </c>
      <c r="AE37" s="1">
        <f>0</f>
        <v>0</v>
      </c>
      <c r="AF37" s="1">
        <f>0</f>
        <v>0</v>
      </c>
      <c r="AG37" s="1">
        <f>0</f>
        <v>0</v>
      </c>
      <c r="AH37" s="1">
        <f>0</f>
        <v>0</v>
      </c>
      <c r="AI37" s="1">
        <f>0</f>
        <v>0</v>
      </c>
      <c r="AJ37" s="1" t="b">
        <v>1</v>
      </c>
      <c r="AK37" s="1"/>
      <c r="AL37" s="1"/>
      <c r="AM37" s="1"/>
      <c r="AN37" s="1"/>
      <c r="AO37" s="1"/>
      <c r="AP37" s="1"/>
      <c r="AQ37" s="1"/>
      <c r="AR37" s="1"/>
      <c r="AS37" s="1"/>
      <c r="AT37" s="1"/>
      <c r="AU37" s="1"/>
      <c r="AV37" s="1"/>
      <c r="AW37" s="1"/>
      <c r="AX37" s="1"/>
      <c r="AY37" s="1"/>
      <c r="AZ37" s="1" t="b">
        <v>1</v>
      </c>
    </row>
    <row r="38" spans="1:52" ht="15" customHeight="1" x14ac:dyDescent="0.35">
      <c r="A38" s="1" t="s">
        <v>701</v>
      </c>
      <c r="B38" s="1" t="s">
        <v>702</v>
      </c>
      <c r="C38" s="1" t="s">
        <v>640</v>
      </c>
      <c r="D38" s="1"/>
      <c r="E38" s="1" t="s">
        <v>690</v>
      </c>
      <c r="F38" s="9" t="s">
        <v>645</v>
      </c>
      <c r="G38" s="1" t="s">
        <v>406</v>
      </c>
      <c r="H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 s="11">
        <f>0</f>
        <v>0</v>
      </c>
      <c r="J38" s="1">
        <f>0</f>
        <v>0</v>
      </c>
      <c r="K38" s="1"/>
      <c r="L38" s="1">
        <v>0</v>
      </c>
      <c r="M38" s="1">
        <f>0</f>
        <v>0</v>
      </c>
      <c r="N38" s="1">
        <f>0</f>
        <v>0</v>
      </c>
      <c r="O38" s="1">
        <f>0</f>
        <v>0</v>
      </c>
      <c r="P38" s="1"/>
      <c r="Q38" s="1">
        <v>0</v>
      </c>
      <c r="R38" s="1">
        <v>0</v>
      </c>
      <c r="S38" s="1">
        <f>0</f>
        <v>0</v>
      </c>
      <c r="T38" s="1">
        <f>0</f>
        <v>0</v>
      </c>
      <c r="U38" s="1"/>
      <c r="V38" s="1">
        <v>0</v>
      </c>
      <c r="W38" s="1">
        <v>0</v>
      </c>
      <c r="X38" s="1">
        <f>0</f>
        <v>0</v>
      </c>
      <c r="Y38" s="1">
        <f>0</f>
        <v>0</v>
      </c>
      <c r="Z38" s="1">
        <f>0</f>
        <v>0</v>
      </c>
      <c r="AA38" s="1"/>
      <c r="AB38" s="5"/>
      <c r="AC38" s="5"/>
      <c r="AD38" s="1">
        <f>0</f>
        <v>0</v>
      </c>
      <c r="AE38" s="1">
        <f>0</f>
        <v>0</v>
      </c>
      <c r="AF38" s="1">
        <f>0</f>
        <v>0</v>
      </c>
      <c r="AG38" s="1">
        <f>0</f>
        <v>0</v>
      </c>
      <c r="AH38" s="1">
        <f>0</f>
        <v>0</v>
      </c>
      <c r="AI38" s="1">
        <f>0</f>
        <v>0</v>
      </c>
      <c r="AJ38" s="1" t="b">
        <v>1</v>
      </c>
      <c r="AK38" s="1"/>
      <c r="AL38" s="1"/>
      <c r="AM38" s="1"/>
      <c r="AN38" s="1"/>
      <c r="AO38" s="1"/>
      <c r="AP38" s="1"/>
      <c r="AQ38" s="1"/>
      <c r="AR38" s="1"/>
      <c r="AS38" s="1"/>
      <c r="AT38" s="1"/>
      <c r="AU38" s="1"/>
      <c r="AV38" s="1"/>
      <c r="AW38" s="1"/>
      <c r="AX38" s="1"/>
      <c r="AY38" s="1"/>
      <c r="AZ38" s="1" t="b">
        <v>1</v>
      </c>
    </row>
    <row r="39" spans="1:52" ht="15" customHeight="1" x14ac:dyDescent="0.35">
      <c r="A39" s="1" t="s">
        <v>703</v>
      </c>
      <c r="B39" s="1" t="s">
        <v>704</v>
      </c>
      <c r="C39" s="1" t="s">
        <v>640</v>
      </c>
      <c r="D39" s="1"/>
      <c r="E39" s="1" t="s">
        <v>690</v>
      </c>
      <c r="F39" s="9" t="s">
        <v>645</v>
      </c>
      <c r="G39" s="1" t="s">
        <v>406</v>
      </c>
      <c r="H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 s="11">
        <f>0</f>
        <v>0</v>
      </c>
      <c r="J39" s="1">
        <f>0</f>
        <v>0</v>
      </c>
      <c r="K39" s="1"/>
      <c r="L39" s="1">
        <v>0</v>
      </c>
      <c r="M39" s="1">
        <f>0</f>
        <v>0</v>
      </c>
      <c r="N39" s="1">
        <f>0</f>
        <v>0</v>
      </c>
      <c r="O39" s="1">
        <f>0</f>
        <v>0</v>
      </c>
      <c r="P39" s="1"/>
      <c r="Q39" s="1">
        <v>0</v>
      </c>
      <c r="R39" s="1">
        <v>0</v>
      </c>
      <c r="S39" s="1">
        <f>0</f>
        <v>0</v>
      </c>
      <c r="T39" s="1">
        <f>0</f>
        <v>0</v>
      </c>
      <c r="U39" s="1"/>
      <c r="V39" s="1">
        <v>0</v>
      </c>
      <c r="W39" s="1">
        <v>0</v>
      </c>
      <c r="X39" s="1">
        <f>0</f>
        <v>0</v>
      </c>
      <c r="Y39" s="1">
        <f>0</f>
        <v>0</v>
      </c>
      <c r="Z39" s="1">
        <f>0</f>
        <v>0</v>
      </c>
      <c r="AA39" s="1"/>
      <c r="AB39" s="5"/>
      <c r="AC39" s="5"/>
      <c r="AD39" s="1">
        <f>0</f>
        <v>0</v>
      </c>
      <c r="AE39" s="1">
        <f>0</f>
        <v>0</v>
      </c>
      <c r="AF39" s="1">
        <f>0</f>
        <v>0</v>
      </c>
      <c r="AG39" s="1">
        <f>0</f>
        <v>0</v>
      </c>
      <c r="AH39" s="1">
        <f>0</f>
        <v>0</v>
      </c>
      <c r="AI39" s="1">
        <f>0</f>
        <v>0</v>
      </c>
      <c r="AJ39" s="1" t="b">
        <v>1</v>
      </c>
      <c r="AK39" s="1"/>
      <c r="AL39" s="1"/>
      <c r="AM39" s="1"/>
      <c r="AN39" s="1"/>
      <c r="AO39" s="1"/>
      <c r="AP39" s="1"/>
      <c r="AQ39" s="1"/>
      <c r="AR39" s="1"/>
      <c r="AS39" s="1"/>
      <c r="AT39" s="1"/>
      <c r="AU39" s="1"/>
      <c r="AV39" s="1"/>
      <c r="AW39" s="1"/>
      <c r="AX39" s="1"/>
      <c r="AY39" s="1"/>
      <c r="AZ39" s="1" t="b">
        <v>1</v>
      </c>
    </row>
    <row r="40" spans="1:52" ht="15" customHeight="1" x14ac:dyDescent="0.35">
      <c r="A40" s="1" t="s">
        <v>705</v>
      </c>
      <c r="B40" s="1" t="s">
        <v>706</v>
      </c>
      <c r="C40" s="1" t="s">
        <v>640</v>
      </c>
      <c r="D40" s="1"/>
      <c r="E40" s="1" t="s">
        <v>690</v>
      </c>
      <c r="F40" s="9" t="s">
        <v>645</v>
      </c>
      <c r="G40" s="1" t="s">
        <v>406</v>
      </c>
      <c r="H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 s="11">
        <f>0</f>
        <v>0</v>
      </c>
      <c r="J40" s="1">
        <f>0</f>
        <v>0</v>
      </c>
      <c r="K40" s="1"/>
      <c r="L40" s="1">
        <v>0</v>
      </c>
      <c r="M40" s="1">
        <f>0</f>
        <v>0</v>
      </c>
      <c r="N40" s="1">
        <f>0</f>
        <v>0</v>
      </c>
      <c r="O40" s="1">
        <f>0</f>
        <v>0</v>
      </c>
      <c r="P40" s="1"/>
      <c r="Q40" s="1">
        <v>0</v>
      </c>
      <c r="R40" s="1">
        <v>0</v>
      </c>
      <c r="S40" s="1">
        <f>0</f>
        <v>0</v>
      </c>
      <c r="T40" s="1">
        <f>0</f>
        <v>0</v>
      </c>
      <c r="U40" s="1"/>
      <c r="V40" s="1">
        <v>0</v>
      </c>
      <c r="W40" s="1">
        <v>0</v>
      </c>
      <c r="X40" s="1">
        <f>0</f>
        <v>0</v>
      </c>
      <c r="Y40" s="1">
        <f>0</f>
        <v>0</v>
      </c>
      <c r="Z40" s="1">
        <f>0</f>
        <v>0</v>
      </c>
      <c r="AA40" s="1"/>
      <c r="AB40" s="5"/>
      <c r="AC40" s="5"/>
      <c r="AD40" s="1">
        <f>0</f>
        <v>0</v>
      </c>
      <c r="AE40" s="1">
        <f>0</f>
        <v>0</v>
      </c>
      <c r="AF40" s="1">
        <f>0</f>
        <v>0</v>
      </c>
      <c r="AG40" s="1">
        <f>0</f>
        <v>0</v>
      </c>
      <c r="AH40" s="1">
        <f>0</f>
        <v>0</v>
      </c>
      <c r="AI40" s="1">
        <f>0</f>
        <v>0</v>
      </c>
      <c r="AJ40" s="1" t="b">
        <v>1</v>
      </c>
      <c r="AK40" s="1"/>
      <c r="AL40" s="1"/>
      <c r="AM40" s="1"/>
      <c r="AN40" s="1"/>
      <c r="AO40" s="1"/>
      <c r="AP40" s="1"/>
      <c r="AQ40" s="1"/>
      <c r="AR40" s="1"/>
      <c r="AS40" s="1"/>
      <c r="AT40" s="1"/>
      <c r="AU40" s="1"/>
      <c r="AV40" s="1"/>
      <c r="AW40" s="1"/>
      <c r="AX40" s="1"/>
      <c r="AY40" s="1"/>
      <c r="AZ40" s="1" t="b">
        <v>1</v>
      </c>
    </row>
    <row r="41" spans="1:52" ht="15" customHeight="1" x14ac:dyDescent="0.35">
      <c r="A41" s="1" t="s">
        <v>707</v>
      </c>
      <c r="B41" s="1" t="s">
        <v>708</v>
      </c>
      <c r="C41" s="1" t="s">
        <v>640</v>
      </c>
      <c r="D41" s="1"/>
      <c r="E41" s="1" t="s">
        <v>690</v>
      </c>
      <c r="F41" s="9" t="s">
        <v>645</v>
      </c>
      <c r="G41" s="1" t="s">
        <v>406</v>
      </c>
      <c r="H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 s="11">
        <f>0</f>
        <v>0</v>
      </c>
      <c r="J41" s="1">
        <f>0</f>
        <v>0</v>
      </c>
      <c r="K41" s="1"/>
      <c r="L41" s="1">
        <v>0</v>
      </c>
      <c r="M41" s="1">
        <f>0</f>
        <v>0</v>
      </c>
      <c r="N41" s="1">
        <f>0</f>
        <v>0</v>
      </c>
      <c r="O41" s="1">
        <f>0</f>
        <v>0</v>
      </c>
      <c r="P41" s="1"/>
      <c r="Q41" s="1">
        <v>0</v>
      </c>
      <c r="R41" s="1">
        <v>0</v>
      </c>
      <c r="S41" s="1">
        <f>0</f>
        <v>0</v>
      </c>
      <c r="T41" s="1">
        <f>0</f>
        <v>0</v>
      </c>
      <c r="U41" s="1"/>
      <c r="V41" s="1">
        <v>0</v>
      </c>
      <c r="W41" s="1">
        <v>0</v>
      </c>
      <c r="X41" s="1">
        <f>0</f>
        <v>0</v>
      </c>
      <c r="Y41" s="1">
        <f>0</f>
        <v>0</v>
      </c>
      <c r="Z41" s="1">
        <f>0</f>
        <v>0</v>
      </c>
      <c r="AA41" s="1"/>
      <c r="AB41" s="5"/>
      <c r="AC41" s="5"/>
      <c r="AD41" s="1">
        <f>0</f>
        <v>0</v>
      </c>
      <c r="AE41" s="1">
        <f>0</f>
        <v>0</v>
      </c>
      <c r="AF41" s="1">
        <f>0</f>
        <v>0</v>
      </c>
      <c r="AG41" s="1">
        <f>0</f>
        <v>0</v>
      </c>
      <c r="AH41" s="1">
        <f>0</f>
        <v>0</v>
      </c>
      <c r="AI41" s="1">
        <f>0</f>
        <v>0</v>
      </c>
      <c r="AJ41" s="1" t="b">
        <v>1</v>
      </c>
      <c r="AK41" s="1"/>
      <c r="AL41" s="1"/>
      <c r="AM41" s="1"/>
      <c r="AN41" s="1"/>
      <c r="AO41" s="1"/>
      <c r="AP41" s="1"/>
      <c r="AQ41" s="1"/>
      <c r="AR41" s="1"/>
      <c r="AS41" s="1"/>
      <c r="AT41" s="1"/>
      <c r="AU41" s="1"/>
      <c r="AV41" s="1"/>
      <c r="AW41" s="1"/>
      <c r="AX41" s="1"/>
      <c r="AY41" s="1"/>
      <c r="AZ41" s="1" t="b">
        <v>1</v>
      </c>
    </row>
    <row r="42" spans="1:52" ht="15" customHeight="1" x14ac:dyDescent="0.35">
      <c r="A42" s="1" t="s">
        <v>709</v>
      </c>
      <c r="B42" s="1" t="s">
        <v>710</v>
      </c>
      <c r="C42" s="1" t="s">
        <v>640</v>
      </c>
      <c r="D42" s="1"/>
      <c r="E42" s="1" t="s">
        <v>690</v>
      </c>
      <c r="F42" s="9" t="s">
        <v>645</v>
      </c>
      <c r="G42" s="1" t="s">
        <v>406</v>
      </c>
      <c r="H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 s="11">
        <f>0</f>
        <v>0</v>
      </c>
      <c r="J42" s="1">
        <f>0</f>
        <v>0</v>
      </c>
      <c r="K42" s="1"/>
      <c r="L42" s="1">
        <v>0</v>
      </c>
      <c r="M42" s="1">
        <f>0</f>
        <v>0</v>
      </c>
      <c r="N42" s="1">
        <f>0</f>
        <v>0</v>
      </c>
      <c r="O42" s="1">
        <f>0</f>
        <v>0</v>
      </c>
      <c r="P42" s="1"/>
      <c r="Q42" s="1">
        <v>0</v>
      </c>
      <c r="R42" s="1">
        <v>0</v>
      </c>
      <c r="S42" s="1">
        <f>0</f>
        <v>0</v>
      </c>
      <c r="T42" s="1">
        <f>0</f>
        <v>0</v>
      </c>
      <c r="U42" s="1"/>
      <c r="V42" s="1">
        <v>0</v>
      </c>
      <c r="W42" s="1">
        <v>0</v>
      </c>
      <c r="X42" s="1">
        <f>0</f>
        <v>0</v>
      </c>
      <c r="Y42" s="1">
        <f>0</f>
        <v>0</v>
      </c>
      <c r="Z42" s="1">
        <f>0</f>
        <v>0</v>
      </c>
      <c r="AA42" s="1"/>
      <c r="AB42" s="5"/>
      <c r="AC42" s="5"/>
      <c r="AD42" s="1">
        <f>0</f>
        <v>0</v>
      </c>
      <c r="AE42" s="1">
        <f>0</f>
        <v>0</v>
      </c>
      <c r="AF42" s="1">
        <f>0</f>
        <v>0</v>
      </c>
      <c r="AG42" s="1">
        <f>0</f>
        <v>0</v>
      </c>
      <c r="AH42" s="1">
        <f>0</f>
        <v>0</v>
      </c>
      <c r="AI42" s="1">
        <f>0</f>
        <v>0</v>
      </c>
      <c r="AJ42" s="1" t="b">
        <v>1</v>
      </c>
      <c r="AK42" s="1"/>
      <c r="AL42" s="1"/>
      <c r="AM42" s="1"/>
      <c r="AN42" s="1"/>
      <c r="AO42" s="1"/>
      <c r="AP42" s="1"/>
      <c r="AQ42" s="1"/>
      <c r="AR42" s="1"/>
      <c r="AS42" s="1"/>
      <c r="AT42" s="1"/>
      <c r="AU42" s="1"/>
      <c r="AV42" s="1"/>
      <c r="AW42" s="1"/>
      <c r="AX42" s="1"/>
      <c r="AY42" s="1"/>
      <c r="AZ42" s="1" t="b">
        <v>1</v>
      </c>
    </row>
    <row r="43" spans="1:52" ht="15" customHeight="1" x14ac:dyDescent="0.35">
      <c r="A43" s="1" t="s">
        <v>711</v>
      </c>
      <c r="B43" s="1" t="s">
        <v>712</v>
      </c>
      <c r="C43" s="1" t="s">
        <v>640</v>
      </c>
      <c r="D43" s="1"/>
      <c r="E43" s="1" t="s">
        <v>690</v>
      </c>
      <c r="F43" s="9" t="s">
        <v>664</v>
      </c>
      <c r="G43" s="1" t="s">
        <v>406</v>
      </c>
      <c r="H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 s="11">
        <f>0</f>
        <v>0</v>
      </c>
      <c r="J43" s="1">
        <f>0</f>
        <v>0</v>
      </c>
      <c r="K43" s="1"/>
      <c r="L43" s="1">
        <v>0</v>
      </c>
      <c r="M43" s="1">
        <f>0</f>
        <v>0</v>
      </c>
      <c r="N43" s="1">
        <f>0</f>
        <v>0</v>
      </c>
      <c r="O43" s="1">
        <f>0</f>
        <v>0</v>
      </c>
      <c r="P43" s="1"/>
      <c r="Q43" s="1">
        <v>0</v>
      </c>
      <c r="R43" s="1">
        <v>0</v>
      </c>
      <c r="S43" s="1">
        <f>0</f>
        <v>0</v>
      </c>
      <c r="T43" s="1">
        <f>0</f>
        <v>0</v>
      </c>
      <c r="U43" s="1"/>
      <c r="V43" s="1">
        <v>0</v>
      </c>
      <c r="W43" s="1">
        <v>0</v>
      </c>
      <c r="X43" s="1">
        <f>0</f>
        <v>0</v>
      </c>
      <c r="Y43" s="1">
        <f>0</f>
        <v>0</v>
      </c>
      <c r="Z43" s="1">
        <f>0</f>
        <v>0</v>
      </c>
      <c r="AA43" s="1"/>
      <c r="AB43" s="5"/>
      <c r="AC43" s="5"/>
      <c r="AD43" s="1">
        <f>0</f>
        <v>0</v>
      </c>
      <c r="AE43" s="1">
        <f>0</f>
        <v>0</v>
      </c>
      <c r="AF43" s="1">
        <f>0</f>
        <v>0</v>
      </c>
      <c r="AG43" s="1">
        <f>0</f>
        <v>0</v>
      </c>
      <c r="AH43" s="1">
        <f>0</f>
        <v>0</v>
      </c>
      <c r="AI43" s="1">
        <f>0</f>
        <v>0</v>
      </c>
      <c r="AJ43" s="1" t="b">
        <v>1</v>
      </c>
      <c r="AK43" s="1"/>
      <c r="AL43" s="1"/>
      <c r="AM43" s="1"/>
      <c r="AN43" s="1"/>
      <c r="AO43" s="1"/>
      <c r="AP43" s="1"/>
      <c r="AQ43" s="1"/>
      <c r="AR43" s="1"/>
      <c r="AS43" s="1"/>
      <c r="AT43" s="1"/>
      <c r="AU43" s="1"/>
      <c r="AV43" s="1"/>
      <c r="AW43" s="1"/>
      <c r="AX43" s="1"/>
      <c r="AY43" s="1"/>
      <c r="AZ43" s="1" t="b">
        <v>1</v>
      </c>
    </row>
    <row r="44" spans="1:52" ht="15" customHeight="1" x14ac:dyDescent="0.35">
      <c r="A44" s="1" t="s">
        <v>713</v>
      </c>
      <c r="B44" s="1" t="s">
        <v>714</v>
      </c>
      <c r="C44" s="1" t="s">
        <v>640</v>
      </c>
      <c r="D44" s="1"/>
      <c r="E44" s="1" t="s">
        <v>690</v>
      </c>
      <c r="F44" s="9" t="s">
        <v>645</v>
      </c>
      <c r="G44" s="1" t="s">
        <v>406</v>
      </c>
      <c r="H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 s="11">
        <f>0</f>
        <v>0</v>
      </c>
      <c r="J44" s="1">
        <f>0</f>
        <v>0</v>
      </c>
      <c r="K44" s="1"/>
      <c r="L44" s="1">
        <v>0</v>
      </c>
      <c r="M44" s="1">
        <f>0</f>
        <v>0</v>
      </c>
      <c r="N44" s="1">
        <f>0</f>
        <v>0</v>
      </c>
      <c r="O44" s="1">
        <f>0</f>
        <v>0</v>
      </c>
      <c r="P44" s="1"/>
      <c r="Q44" s="1">
        <v>0</v>
      </c>
      <c r="R44" s="1">
        <v>0</v>
      </c>
      <c r="S44" s="1">
        <f>0</f>
        <v>0</v>
      </c>
      <c r="T44" s="1">
        <f>0</f>
        <v>0</v>
      </c>
      <c r="U44" s="1"/>
      <c r="V44" s="1">
        <v>0</v>
      </c>
      <c r="W44" s="1">
        <v>0</v>
      </c>
      <c r="X44" s="1">
        <f>0</f>
        <v>0</v>
      </c>
      <c r="Y44" s="1">
        <f>0</f>
        <v>0</v>
      </c>
      <c r="Z44" s="1">
        <f>0</f>
        <v>0</v>
      </c>
      <c r="AA44" s="1"/>
      <c r="AB44" s="5"/>
      <c r="AC44" s="5"/>
      <c r="AD44" s="1">
        <f>0</f>
        <v>0</v>
      </c>
      <c r="AE44" s="1">
        <f>0</f>
        <v>0</v>
      </c>
      <c r="AF44" s="1">
        <f>0</f>
        <v>0</v>
      </c>
      <c r="AG44" s="1">
        <f>0</f>
        <v>0</v>
      </c>
      <c r="AH44" s="1">
        <f>0</f>
        <v>0</v>
      </c>
      <c r="AI44" s="1">
        <f>0</f>
        <v>0</v>
      </c>
      <c r="AJ44" s="1" t="b">
        <v>1</v>
      </c>
      <c r="AK44" s="1"/>
      <c r="AL44" s="1"/>
      <c r="AM44" s="1"/>
      <c r="AN44" s="1"/>
      <c r="AO44" s="1"/>
      <c r="AP44" s="1"/>
      <c r="AQ44" s="1"/>
      <c r="AR44" s="1"/>
      <c r="AS44" s="1"/>
      <c r="AT44" s="1"/>
      <c r="AU44" s="1"/>
      <c r="AV44" s="1"/>
      <c r="AW44" s="1"/>
      <c r="AX44" s="1"/>
      <c r="AY44" s="1"/>
      <c r="AZ44" s="1" t="b">
        <v>1</v>
      </c>
    </row>
    <row r="45" spans="1:52" ht="15" customHeight="1" x14ac:dyDescent="0.35">
      <c r="A45" s="1" t="s">
        <v>715</v>
      </c>
      <c r="B45" s="1" t="s">
        <v>716</v>
      </c>
      <c r="C45" s="1" t="s">
        <v>640</v>
      </c>
      <c r="D45" s="1"/>
      <c r="E45" s="1" t="s">
        <v>690</v>
      </c>
      <c r="F45" s="9" t="s">
        <v>645</v>
      </c>
      <c r="G45" s="1" t="s">
        <v>406</v>
      </c>
      <c r="H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 s="11">
        <f>0</f>
        <v>0</v>
      </c>
      <c r="J45" s="1">
        <f>0</f>
        <v>0</v>
      </c>
      <c r="K45" s="1"/>
      <c r="L45" s="1">
        <v>0</v>
      </c>
      <c r="M45" s="1">
        <f>0</f>
        <v>0</v>
      </c>
      <c r="N45" s="1">
        <f>0</f>
        <v>0</v>
      </c>
      <c r="O45" s="1">
        <f>0</f>
        <v>0</v>
      </c>
      <c r="P45" s="1"/>
      <c r="Q45" s="1">
        <v>0</v>
      </c>
      <c r="R45" s="1">
        <v>0</v>
      </c>
      <c r="S45" s="1">
        <f>0</f>
        <v>0</v>
      </c>
      <c r="T45" s="1">
        <f>0</f>
        <v>0</v>
      </c>
      <c r="U45" s="1"/>
      <c r="V45" s="1">
        <v>0</v>
      </c>
      <c r="W45" s="1">
        <v>0</v>
      </c>
      <c r="X45" s="1">
        <f>0</f>
        <v>0</v>
      </c>
      <c r="Y45" s="1">
        <f>0</f>
        <v>0</v>
      </c>
      <c r="Z45" s="1">
        <f>0</f>
        <v>0</v>
      </c>
      <c r="AA45" s="1"/>
      <c r="AB45" s="5"/>
      <c r="AC45" s="5"/>
      <c r="AD45" s="1">
        <f>0</f>
        <v>0</v>
      </c>
      <c r="AE45" s="1">
        <f>0</f>
        <v>0</v>
      </c>
      <c r="AF45" s="1">
        <f>0</f>
        <v>0</v>
      </c>
      <c r="AG45" s="1">
        <f>0</f>
        <v>0</v>
      </c>
      <c r="AH45" s="1">
        <f>0</f>
        <v>0</v>
      </c>
      <c r="AI45" s="1">
        <f>0</f>
        <v>0</v>
      </c>
      <c r="AJ45" s="1" t="b">
        <v>1</v>
      </c>
      <c r="AK45" s="1"/>
      <c r="AL45" s="1"/>
      <c r="AM45" s="1"/>
      <c r="AN45" s="1"/>
      <c r="AO45" s="1"/>
      <c r="AP45" s="1"/>
      <c r="AQ45" s="1"/>
      <c r="AR45" s="1"/>
      <c r="AS45" s="1"/>
      <c r="AT45" s="1"/>
      <c r="AU45" s="1"/>
      <c r="AV45" s="1"/>
      <c r="AW45" s="1"/>
      <c r="AX45" s="1"/>
      <c r="AY45" s="1"/>
      <c r="AZ45" s="1" t="b">
        <v>1</v>
      </c>
    </row>
    <row r="46" spans="1:52" ht="15" customHeight="1" x14ac:dyDescent="0.35">
      <c r="A46" s="1" t="s">
        <v>717</v>
      </c>
      <c r="B46" s="1" t="s">
        <v>718</v>
      </c>
      <c r="C46" s="1" t="s">
        <v>640</v>
      </c>
      <c r="D46" s="1"/>
      <c r="E46" s="1" t="s">
        <v>690</v>
      </c>
      <c r="F46" s="9" t="s">
        <v>645</v>
      </c>
      <c r="G46" s="1" t="s">
        <v>406</v>
      </c>
      <c r="H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 s="11">
        <f>0</f>
        <v>0</v>
      </c>
      <c r="J46" s="1">
        <f>0</f>
        <v>0</v>
      </c>
      <c r="K46" s="1"/>
      <c r="L46" s="1">
        <v>0</v>
      </c>
      <c r="M46" s="1">
        <f>0</f>
        <v>0</v>
      </c>
      <c r="N46" s="1">
        <f>0</f>
        <v>0</v>
      </c>
      <c r="O46" s="1">
        <f>0</f>
        <v>0</v>
      </c>
      <c r="P46" s="1"/>
      <c r="Q46" s="1">
        <v>0</v>
      </c>
      <c r="R46" s="1">
        <v>0</v>
      </c>
      <c r="S46" s="1">
        <f>0</f>
        <v>0</v>
      </c>
      <c r="T46" s="1">
        <f>0</f>
        <v>0</v>
      </c>
      <c r="U46" s="1"/>
      <c r="V46" s="1">
        <v>0</v>
      </c>
      <c r="W46" s="1">
        <v>0</v>
      </c>
      <c r="X46" s="1">
        <f>0</f>
        <v>0</v>
      </c>
      <c r="Y46" s="1">
        <f>0</f>
        <v>0</v>
      </c>
      <c r="Z46" s="1">
        <f>0</f>
        <v>0</v>
      </c>
      <c r="AA46" s="1"/>
      <c r="AB46" s="5"/>
      <c r="AC46" s="5"/>
      <c r="AD46" s="1">
        <f>0</f>
        <v>0</v>
      </c>
      <c r="AE46" s="1">
        <f>0</f>
        <v>0</v>
      </c>
      <c r="AF46" s="1">
        <f>0</f>
        <v>0</v>
      </c>
      <c r="AG46" s="1">
        <f>0</f>
        <v>0</v>
      </c>
      <c r="AH46" s="1">
        <f>0</f>
        <v>0</v>
      </c>
      <c r="AI46" s="1">
        <f>0</f>
        <v>0</v>
      </c>
      <c r="AJ46" s="1" t="b">
        <v>1</v>
      </c>
      <c r="AK46" s="1"/>
      <c r="AL46" s="1"/>
      <c r="AM46" s="1"/>
      <c r="AN46" s="1"/>
      <c r="AO46" s="1"/>
      <c r="AP46" s="1"/>
      <c r="AQ46" s="1"/>
      <c r="AR46" s="1"/>
      <c r="AS46" s="1"/>
      <c r="AT46" s="1"/>
      <c r="AU46" s="1"/>
      <c r="AV46" s="1"/>
      <c r="AW46" s="1"/>
      <c r="AX46" s="1"/>
      <c r="AY46" s="1"/>
      <c r="AZ46" s="1" t="b">
        <v>1</v>
      </c>
    </row>
    <row r="47" spans="1:52" ht="15" customHeight="1" x14ac:dyDescent="0.35">
      <c r="A47" s="1" t="s">
        <v>719</v>
      </c>
      <c r="B47" s="1" t="s">
        <v>720</v>
      </c>
      <c r="C47" s="1" t="s">
        <v>640</v>
      </c>
      <c r="D47" s="1"/>
      <c r="E47" s="1" t="s">
        <v>690</v>
      </c>
      <c r="F47" s="9" t="s">
        <v>645</v>
      </c>
      <c r="G47" s="1" t="s">
        <v>406</v>
      </c>
      <c r="H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 s="11">
        <f>0</f>
        <v>0</v>
      </c>
      <c r="J47" s="1">
        <f>0</f>
        <v>0</v>
      </c>
      <c r="K47" s="1"/>
      <c r="L47" s="1">
        <v>0</v>
      </c>
      <c r="M47" s="1">
        <f>0</f>
        <v>0</v>
      </c>
      <c r="N47" s="1">
        <f>0</f>
        <v>0</v>
      </c>
      <c r="O47" s="1">
        <f>0</f>
        <v>0</v>
      </c>
      <c r="P47" s="1"/>
      <c r="Q47" s="1">
        <v>0</v>
      </c>
      <c r="R47" s="1">
        <v>0</v>
      </c>
      <c r="S47" s="1">
        <f>0</f>
        <v>0</v>
      </c>
      <c r="T47" s="1">
        <f>0</f>
        <v>0</v>
      </c>
      <c r="U47" s="1"/>
      <c r="V47" s="1">
        <v>0</v>
      </c>
      <c r="W47" s="1">
        <v>0</v>
      </c>
      <c r="X47" s="1">
        <f>0</f>
        <v>0</v>
      </c>
      <c r="Y47" s="1">
        <f>0</f>
        <v>0</v>
      </c>
      <c r="Z47" s="1">
        <f>0</f>
        <v>0</v>
      </c>
      <c r="AA47" s="1"/>
      <c r="AB47" s="5"/>
      <c r="AC47" s="5"/>
      <c r="AD47" s="1">
        <f>0</f>
        <v>0</v>
      </c>
      <c r="AE47" s="1">
        <f>0</f>
        <v>0</v>
      </c>
      <c r="AF47" s="1">
        <f>0</f>
        <v>0</v>
      </c>
      <c r="AG47" s="1">
        <f>0</f>
        <v>0</v>
      </c>
      <c r="AH47" s="1">
        <f>0</f>
        <v>0</v>
      </c>
      <c r="AI47" s="1">
        <f>0</f>
        <v>0</v>
      </c>
      <c r="AJ47" s="1" t="b">
        <v>1</v>
      </c>
      <c r="AK47" s="1"/>
      <c r="AL47" s="1"/>
      <c r="AM47" s="1"/>
      <c r="AN47" s="1"/>
      <c r="AO47" s="1"/>
      <c r="AP47" s="1"/>
      <c r="AQ47" s="1"/>
      <c r="AR47" s="1"/>
      <c r="AS47" s="1"/>
      <c r="AT47" s="1"/>
      <c r="AU47" s="1"/>
      <c r="AV47" s="1"/>
      <c r="AW47" s="1"/>
      <c r="AX47" s="1"/>
      <c r="AY47" s="1"/>
      <c r="AZ47" s="1" t="b">
        <v>1</v>
      </c>
    </row>
    <row r="48" spans="1:52" ht="15" customHeight="1" x14ac:dyDescent="0.35">
      <c r="A48" s="1" t="s">
        <v>721</v>
      </c>
      <c r="B48" s="1" t="s">
        <v>722</v>
      </c>
      <c r="C48" s="1" t="s">
        <v>640</v>
      </c>
      <c r="D48" s="1"/>
      <c r="E48" s="1" t="s">
        <v>690</v>
      </c>
      <c r="F48" s="9" t="s">
        <v>645</v>
      </c>
      <c r="G48" s="1" t="s">
        <v>406</v>
      </c>
      <c r="H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 s="11">
        <f>0</f>
        <v>0</v>
      </c>
      <c r="J48" s="1">
        <f>0</f>
        <v>0</v>
      </c>
      <c r="K48" s="1"/>
      <c r="L48" s="1">
        <v>0</v>
      </c>
      <c r="M48" s="1">
        <f>0</f>
        <v>0</v>
      </c>
      <c r="N48" s="1">
        <f>0</f>
        <v>0</v>
      </c>
      <c r="O48" s="1">
        <f>0</f>
        <v>0</v>
      </c>
      <c r="P48" s="1"/>
      <c r="Q48" s="1">
        <v>0</v>
      </c>
      <c r="R48" s="1">
        <v>0</v>
      </c>
      <c r="S48" s="1">
        <f>0</f>
        <v>0</v>
      </c>
      <c r="T48" s="1">
        <f>0</f>
        <v>0</v>
      </c>
      <c r="U48" s="1"/>
      <c r="V48" s="1">
        <v>0</v>
      </c>
      <c r="W48" s="1">
        <v>0</v>
      </c>
      <c r="X48" s="1">
        <f>0</f>
        <v>0</v>
      </c>
      <c r="Y48" s="1">
        <f>0</f>
        <v>0</v>
      </c>
      <c r="Z48" s="1">
        <f>0</f>
        <v>0</v>
      </c>
      <c r="AA48" s="1"/>
      <c r="AB48" s="5"/>
      <c r="AC48" s="5"/>
      <c r="AD48" s="1">
        <f>0</f>
        <v>0</v>
      </c>
      <c r="AE48" s="1">
        <f>0</f>
        <v>0</v>
      </c>
      <c r="AF48" s="1">
        <f>0</f>
        <v>0</v>
      </c>
      <c r="AG48" s="1">
        <f>0</f>
        <v>0</v>
      </c>
      <c r="AH48" s="1">
        <f>0</f>
        <v>0</v>
      </c>
      <c r="AI48" s="1">
        <f>0</f>
        <v>0</v>
      </c>
      <c r="AJ48" s="1" t="b">
        <v>1</v>
      </c>
      <c r="AK48" s="1"/>
      <c r="AL48" s="1"/>
      <c r="AM48" s="1"/>
      <c r="AN48" s="1"/>
      <c r="AO48" s="1"/>
      <c r="AP48" s="1"/>
      <c r="AQ48" s="1"/>
      <c r="AR48" s="1"/>
      <c r="AS48" s="1"/>
      <c r="AT48" s="1"/>
      <c r="AU48" s="1"/>
      <c r="AV48" s="1"/>
      <c r="AW48" s="1"/>
      <c r="AX48" s="1"/>
      <c r="AY48" s="1"/>
      <c r="AZ48" s="1" t="b">
        <v>1</v>
      </c>
    </row>
    <row r="49" spans="1:52" ht="15" customHeight="1" x14ac:dyDescent="0.35">
      <c r="A49" s="1" t="s">
        <v>723</v>
      </c>
      <c r="B49" s="1" t="s">
        <v>724</v>
      </c>
      <c r="C49" s="1" t="s">
        <v>640</v>
      </c>
      <c r="D49" s="1"/>
      <c r="E49" s="1" t="s">
        <v>690</v>
      </c>
      <c r="F49" s="9" t="s">
        <v>645</v>
      </c>
      <c r="G49" s="1" t="s">
        <v>406</v>
      </c>
      <c r="H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 s="11">
        <f>0</f>
        <v>0</v>
      </c>
      <c r="J49" s="1">
        <f>0</f>
        <v>0</v>
      </c>
      <c r="K49" s="1"/>
      <c r="L49" s="1">
        <v>0</v>
      </c>
      <c r="M49" s="1">
        <f>0</f>
        <v>0</v>
      </c>
      <c r="N49" s="1">
        <f>0</f>
        <v>0</v>
      </c>
      <c r="O49" s="1">
        <f>0</f>
        <v>0</v>
      </c>
      <c r="P49" s="1"/>
      <c r="Q49" s="1">
        <v>0</v>
      </c>
      <c r="R49" s="1">
        <v>0</v>
      </c>
      <c r="S49" s="1">
        <f>0</f>
        <v>0</v>
      </c>
      <c r="T49" s="1">
        <f>0</f>
        <v>0</v>
      </c>
      <c r="U49" s="1"/>
      <c r="V49" s="1">
        <v>0</v>
      </c>
      <c r="W49" s="1">
        <v>0</v>
      </c>
      <c r="X49" s="1">
        <f>0</f>
        <v>0</v>
      </c>
      <c r="Y49" s="1">
        <f>0</f>
        <v>0</v>
      </c>
      <c r="Z49" s="1">
        <f>0</f>
        <v>0</v>
      </c>
      <c r="AA49" s="1"/>
      <c r="AB49" s="5"/>
      <c r="AC49" s="5"/>
      <c r="AD49" s="1">
        <f>0</f>
        <v>0</v>
      </c>
      <c r="AE49" s="1">
        <f>0</f>
        <v>0</v>
      </c>
      <c r="AF49" s="1">
        <f>0</f>
        <v>0</v>
      </c>
      <c r="AG49" s="1">
        <f>0</f>
        <v>0</v>
      </c>
      <c r="AH49" s="1">
        <f>0</f>
        <v>0</v>
      </c>
      <c r="AI49" s="1">
        <f>0</f>
        <v>0</v>
      </c>
      <c r="AJ49" s="1" t="b">
        <v>1</v>
      </c>
      <c r="AK49" s="1"/>
      <c r="AL49" s="1"/>
      <c r="AM49" s="1"/>
      <c r="AN49" s="1"/>
      <c r="AO49" s="1"/>
      <c r="AP49" s="1"/>
      <c r="AQ49" s="1"/>
      <c r="AR49" s="1"/>
      <c r="AS49" s="1"/>
      <c r="AT49" s="1"/>
      <c r="AU49" s="1"/>
      <c r="AV49" s="1"/>
      <c r="AW49" s="1"/>
      <c r="AX49" s="1"/>
      <c r="AY49" s="1"/>
      <c r="AZ49" s="1" t="b">
        <v>1</v>
      </c>
    </row>
    <row r="50" spans="1:52" ht="15" customHeight="1" x14ac:dyDescent="0.35">
      <c r="A50" s="1" t="s">
        <v>725</v>
      </c>
      <c r="B50" s="1" t="s">
        <v>726</v>
      </c>
      <c r="C50" s="1" t="s">
        <v>640</v>
      </c>
      <c r="D50" s="1"/>
      <c r="E50" s="1" t="s">
        <v>690</v>
      </c>
      <c r="F50" s="9" t="s">
        <v>645</v>
      </c>
      <c r="G50" s="1" t="s">
        <v>406</v>
      </c>
      <c r="H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 s="11">
        <f>0</f>
        <v>0</v>
      </c>
      <c r="J50" s="1">
        <f>0</f>
        <v>0</v>
      </c>
      <c r="K50" s="1"/>
      <c r="L50" s="1">
        <v>0</v>
      </c>
      <c r="M50" s="1">
        <f>0</f>
        <v>0</v>
      </c>
      <c r="N50" s="1">
        <f>0</f>
        <v>0</v>
      </c>
      <c r="O50" s="1">
        <f>0</f>
        <v>0</v>
      </c>
      <c r="P50" s="1"/>
      <c r="Q50" s="1">
        <v>0</v>
      </c>
      <c r="R50" s="1">
        <v>0</v>
      </c>
      <c r="S50" s="1">
        <f>0</f>
        <v>0</v>
      </c>
      <c r="T50" s="1">
        <f>0</f>
        <v>0</v>
      </c>
      <c r="U50" s="1"/>
      <c r="V50" s="1">
        <v>0</v>
      </c>
      <c r="W50" s="1">
        <v>0</v>
      </c>
      <c r="X50" s="1">
        <f>0</f>
        <v>0</v>
      </c>
      <c r="Y50" s="1">
        <f>0</f>
        <v>0</v>
      </c>
      <c r="Z50" s="1">
        <f>0</f>
        <v>0</v>
      </c>
      <c r="AA50" s="1"/>
      <c r="AB50" s="5"/>
      <c r="AC50" s="5"/>
      <c r="AD50" s="1">
        <f>0</f>
        <v>0</v>
      </c>
      <c r="AE50" s="1">
        <f>0</f>
        <v>0</v>
      </c>
      <c r="AF50" s="1">
        <f>0</f>
        <v>0</v>
      </c>
      <c r="AG50" s="1">
        <f>0</f>
        <v>0</v>
      </c>
      <c r="AH50" s="1">
        <f>0</f>
        <v>0</v>
      </c>
      <c r="AI50" s="1">
        <f>0</f>
        <v>0</v>
      </c>
      <c r="AJ50" s="1" t="b">
        <v>1</v>
      </c>
      <c r="AK50" s="1"/>
      <c r="AL50" s="1"/>
      <c r="AM50" s="1"/>
      <c r="AN50" s="1"/>
      <c r="AO50" s="1"/>
      <c r="AP50" s="1"/>
      <c r="AQ50" s="1"/>
      <c r="AR50" s="1"/>
      <c r="AS50" s="1"/>
      <c r="AT50" s="1"/>
      <c r="AU50" s="1"/>
      <c r="AV50" s="1"/>
      <c r="AW50" s="1"/>
      <c r="AX50" s="1"/>
      <c r="AY50" s="1"/>
      <c r="AZ50" s="1" t="b">
        <v>1</v>
      </c>
    </row>
    <row r="51" spans="1:52" ht="15" customHeight="1" x14ac:dyDescent="0.35">
      <c r="A51" s="1" t="s">
        <v>727</v>
      </c>
      <c r="B51" s="1" t="s">
        <v>728</v>
      </c>
      <c r="C51" s="1" t="s">
        <v>640</v>
      </c>
      <c r="D51" s="1"/>
      <c r="E51" s="1" t="s">
        <v>690</v>
      </c>
      <c r="F51" s="9" t="s">
        <v>645</v>
      </c>
      <c r="G51" s="1" t="s">
        <v>406</v>
      </c>
      <c r="H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 s="11">
        <f>0</f>
        <v>0</v>
      </c>
      <c r="J51" s="1">
        <f>0</f>
        <v>0</v>
      </c>
      <c r="K51" s="1"/>
      <c r="L51" s="1">
        <v>0</v>
      </c>
      <c r="M51" s="1">
        <f>0</f>
        <v>0</v>
      </c>
      <c r="N51" s="1">
        <f>0</f>
        <v>0</v>
      </c>
      <c r="O51" s="1">
        <f>0</f>
        <v>0</v>
      </c>
      <c r="P51" s="1"/>
      <c r="Q51" s="1">
        <v>0</v>
      </c>
      <c r="R51" s="1">
        <v>0</v>
      </c>
      <c r="S51" s="1">
        <f>0</f>
        <v>0</v>
      </c>
      <c r="T51" s="1">
        <f>0</f>
        <v>0</v>
      </c>
      <c r="U51" s="1"/>
      <c r="V51" s="1">
        <v>0</v>
      </c>
      <c r="W51" s="1">
        <v>0</v>
      </c>
      <c r="X51" s="1">
        <f>0</f>
        <v>0</v>
      </c>
      <c r="Y51" s="1">
        <f>0</f>
        <v>0</v>
      </c>
      <c r="Z51" s="1">
        <f>0</f>
        <v>0</v>
      </c>
      <c r="AA51" s="1"/>
      <c r="AB51" s="5"/>
      <c r="AC51" s="5"/>
      <c r="AD51" s="1">
        <f>0</f>
        <v>0</v>
      </c>
      <c r="AE51" s="1">
        <f>0</f>
        <v>0</v>
      </c>
      <c r="AF51" s="1">
        <f>0</f>
        <v>0</v>
      </c>
      <c r="AG51" s="1">
        <f>0</f>
        <v>0</v>
      </c>
      <c r="AH51" s="1">
        <f>0</f>
        <v>0</v>
      </c>
      <c r="AI51" s="1">
        <f>0</f>
        <v>0</v>
      </c>
      <c r="AJ51" s="1" t="b">
        <v>1</v>
      </c>
      <c r="AK51" s="1"/>
      <c r="AL51" s="1"/>
      <c r="AM51" s="1"/>
      <c r="AN51" s="1"/>
      <c r="AO51" s="1"/>
      <c r="AP51" s="1"/>
      <c r="AQ51" s="1"/>
      <c r="AR51" s="1"/>
      <c r="AS51" s="1"/>
      <c r="AT51" s="1"/>
      <c r="AU51" s="1"/>
      <c r="AV51" s="1"/>
      <c r="AW51" s="1"/>
      <c r="AX51" s="1"/>
      <c r="AY51" s="1"/>
      <c r="AZ51" s="1" t="b">
        <v>1</v>
      </c>
    </row>
    <row r="52" spans="1:52" ht="15" customHeight="1" x14ac:dyDescent="0.35">
      <c r="A52" s="1" t="s">
        <v>729</v>
      </c>
      <c r="B52" s="1" t="s">
        <v>730</v>
      </c>
      <c r="C52" s="1" t="s">
        <v>640</v>
      </c>
      <c r="D52" s="1"/>
      <c r="E52" s="1" t="s">
        <v>690</v>
      </c>
      <c r="F52" s="9" t="s">
        <v>645</v>
      </c>
      <c r="G52" s="1" t="s">
        <v>406</v>
      </c>
      <c r="H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 s="11">
        <f>0</f>
        <v>0</v>
      </c>
      <c r="J52" s="1">
        <f>0</f>
        <v>0</v>
      </c>
      <c r="K52" s="1"/>
      <c r="L52" s="1">
        <v>0</v>
      </c>
      <c r="M52" s="1">
        <f>0</f>
        <v>0</v>
      </c>
      <c r="N52" s="1">
        <f>0</f>
        <v>0</v>
      </c>
      <c r="O52" s="1">
        <f>0</f>
        <v>0</v>
      </c>
      <c r="P52" s="1"/>
      <c r="Q52" s="1">
        <v>0</v>
      </c>
      <c r="R52" s="1">
        <v>0</v>
      </c>
      <c r="S52" s="1">
        <f>0</f>
        <v>0</v>
      </c>
      <c r="T52" s="1">
        <f>0</f>
        <v>0</v>
      </c>
      <c r="U52" s="1"/>
      <c r="V52" s="1">
        <v>0</v>
      </c>
      <c r="W52" s="1">
        <v>0</v>
      </c>
      <c r="X52" s="1">
        <f>0</f>
        <v>0</v>
      </c>
      <c r="Y52" s="1">
        <f>0</f>
        <v>0</v>
      </c>
      <c r="Z52" s="1">
        <f>0</f>
        <v>0</v>
      </c>
      <c r="AA52" s="1"/>
      <c r="AB52" s="5"/>
      <c r="AC52" s="5"/>
      <c r="AD52" s="1">
        <f>0</f>
        <v>0</v>
      </c>
      <c r="AE52" s="1">
        <f>0</f>
        <v>0</v>
      </c>
      <c r="AF52" s="1">
        <f>0</f>
        <v>0</v>
      </c>
      <c r="AG52" s="1">
        <f>0</f>
        <v>0</v>
      </c>
      <c r="AH52" s="1">
        <f>0</f>
        <v>0</v>
      </c>
      <c r="AI52" s="1">
        <f>0</f>
        <v>0</v>
      </c>
      <c r="AJ52" s="1" t="b">
        <v>1</v>
      </c>
      <c r="AK52" s="1"/>
      <c r="AL52" s="1"/>
      <c r="AM52" s="1"/>
      <c r="AN52" s="1"/>
      <c r="AO52" s="1"/>
      <c r="AP52" s="1"/>
      <c r="AQ52" s="1"/>
      <c r="AR52" s="1"/>
      <c r="AS52" s="1"/>
      <c r="AT52" s="1"/>
      <c r="AU52" s="1"/>
      <c r="AV52" s="1"/>
      <c r="AW52" s="1"/>
      <c r="AX52" s="1"/>
      <c r="AY52" s="1"/>
      <c r="AZ52" s="1" t="b">
        <v>1</v>
      </c>
    </row>
    <row r="53" spans="1:52" ht="15" customHeight="1" x14ac:dyDescent="0.35">
      <c r="A53" s="1" t="s">
        <v>731</v>
      </c>
      <c r="B53" s="1" t="s">
        <v>732</v>
      </c>
      <c r="C53" s="1" t="s">
        <v>640</v>
      </c>
      <c r="D53" s="1"/>
      <c r="E53" s="1" t="s">
        <v>690</v>
      </c>
      <c r="F53" s="9" t="s">
        <v>645</v>
      </c>
      <c r="G53" s="1" t="s">
        <v>406</v>
      </c>
      <c r="H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 s="11">
        <f>0</f>
        <v>0</v>
      </c>
      <c r="J53" s="1">
        <f>0</f>
        <v>0</v>
      </c>
      <c r="K53" s="1"/>
      <c r="L53" s="1">
        <v>0</v>
      </c>
      <c r="M53" s="1">
        <f>0</f>
        <v>0</v>
      </c>
      <c r="N53" s="1">
        <f>0</f>
        <v>0</v>
      </c>
      <c r="O53" s="1">
        <f>0</f>
        <v>0</v>
      </c>
      <c r="P53" s="1"/>
      <c r="Q53" s="1">
        <v>0</v>
      </c>
      <c r="R53" s="1">
        <v>0</v>
      </c>
      <c r="S53" s="1">
        <f>0</f>
        <v>0</v>
      </c>
      <c r="T53" s="1">
        <f>0</f>
        <v>0</v>
      </c>
      <c r="U53" s="1"/>
      <c r="V53" s="1">
        <v>0</v>
      </c>
      <c r="W53" s="1">
        <v>0</v>
      </c>
      <c r="X53" s="1">
        <f>0</f>
        <v>0</v>
      </c>
      <c r="Y53" s="1">
        <f>0</f>
        <v>0</v>
      </c>
      <c r="Z53" s="1">
        <f>0</f>
        <v>0</v>
      </c>
      <c r="AA53" s="1"/>
      <c r="AB53" s="5"/>
      <c r="AC53" s="5"/>
      <c r="AD53" s="1">
        <f>0</f>
        <v>0</v>
      </c>
      <c r="AE53" s="1">
        <f>0</f>
        <v>0</v>
      </c>
      <c r="AF53" s="1">
        <f>0</f>
        <v>0</v>
      </c>
      <c r="AG53" s="1">
        <f>0</f>
        <v>0</v>
      </c>
      <c r="AH53" s="1">
        <f>0</f>
        <v>0</v>
      </c>
      <c r="AI53" s="1">
        <f>0</f>
        <v>0</v>
      </c>
      <c r="AJ53" s="1" t="b">
        <v>1</v>
      </c>
      <c r="AK53" s="1"/>
      <c r="AL53" s="1"/>
      <c r="AM53" s="1"/>
      <c r="AN53" s="1"/>
      <c r="AO53" s="1"/>
      <c r="AP53" s="1"/>
      <c r="AQ53" s="1"/>
      <c r="AR53" s="1"/>
      <c r="AS53" s="1"/>
      <c r="AT53" s="1"/>
      <c r="AU53" s="1"/>
      <c r="AV53" s="1"/>
      <c r="AW53" s="1"/>
      <c r="AX53" s="1"/>
      <c r="AY53" s="1"/>
      <c r="AZ53" s="1" t="b">
        <v>1</v>
      </c>
    </row>
    <row r="54" spans="1:52" ht="15" customHeight="1" x14ac:dyDescent="0.35">
      <c r="A54" s="1" t="s">
        <v>733</v>
      </c>
      <c r="B54" s="1" t="s">
        <v>734</v>
      </c>
      <c r="C54" s="1" t="s">
        <v>640</v>
      </c>
      <c r="D54" s="1"/>
      <c r="E54" s="1" t="s">
        <v>690</v>
      </c>
      <c r="F54" s="9" t="s">
        <v>645</v>
      </c>
      <c r="G54" s="1" t="s">
        <v>406</v>
      </c>
      <c r="H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 s="11">
        <f>0</f>
        <v>0</v>
      </c>
      <c r="J54" s="1">
        <f>0</f>
        <v>0</v>
      </c>
      <c r="K54" s="1"/>
      <c r="L54" s="1">
        <v>0</v>
      </c>
      <c r="M54" s="1">
        <f>0</f>
        <v>0</v>
      </c>
      <c r="N54" s="1">
        <f>0</f>
        <v>0</v>
      </c>
      <c r="O54" s="1">
        <f>0</f>
        <v>0</v>
      </c>
      <c r="P54" s="1"/>
      <c r="Q54" s="1">
        <v>0</v>
      </c>
      <c r="R54" s="1">
        <v>0</v>
      </c>
      <c r="S54" s="1">
        <f>0</f>
        <v>0</v>
      </c>
      <c r="T54" s="1">
        <f>0</f>
        <v>0</v>
      </c>
      <c r="U54" s="1"/>
      <c r="V54" s="1">
        <v>0</v>
      </c>
      <c r="W54" s="1">
        <v>0</v>
      </c>
      <c r="X54" s="1">
        <f>0</f>
        <v>0</v>
      </c>
      <c r="Y54" s="1">
        <f>0</f>
        <v>0</v>
      </c>
      <c r="Z54" s="1">
        <f>0</f>
        <v>0</v>
      </c>
      <c r="AA54" s="1"/>
      <c r="AB54" s="5"/>
      <c r="AC54" s="5"/>
      <c r="AD54" s="1">
        <f>0</f>
        <v>0</v>
      </c>
      <c r="AE54" s="1">
        <f>0</f>
        <v>0</v>
      </c>
      <c r="AF54" s="1">
        <f>0</f>
        <v>0</v>
      </c>
      <c r="AG54" s="1">
        <f>0</f>
        <v>0</v>
      </c>
      <c r="AH54" s="1">
        <f>0</f>
        <v>0</v>
      </c>
      <c r="AI54" s="1">
        <f>0</f>
        <v>0</v>
      </c>
      <c r="AJ54" s="1" t="b">
        <v>1</v>
      </c>
      <c r="AK54" s="1"/>
      <c r="AL54" s="1"/>
      <c r="AM54" s="1"/>
      <c r="AN54" s="1"/>
      <c r="AO54" s="1"/>
      <c r="AP54" s="1"/>
      <c r="AQ54" s="1"/>
      <c r="AR54" s="1"/>
      <c r="AS54" s="1"/>
      <c r="AT54" s="1"/>
      <c r="AU54" s="1"/>
      <c r="AV54" s="1"/>
      <c r="AW54" s="1"/>
      <c r="AX54" s="1"/>
      <c r="AY54" s="1"/>
      <c r="AZ54" s="1" t="b">
        <v>1</v>
      </c>
    </row>
    <row r="55" spans="1:52" ht="15" customHeight="1" x14ac:dyDescent="0.35">
      <c r="A55" s="1" t="s">
        <v>735</v>
      </c>
      <c r="B55" s="1" t="s">
        <v>736</v>
      </c>
      <c r="C55" s="1" t="s">
        <v>640</v>
      </c>
      <c r="D55" s="1"/>
      <c r="E55" s="1" t="s">
        <v>690</v>
      </c>
      <c r="F55" s="9" t="s">
        <v>664</v>
      </c>
      <c r="G55" s="1" t="s">
        <v>406</v>
      </c>
      <c r="H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 s="11">
        <f>0</f>
        <v>0</v>
      </c>
      <c r="J55" s="1">
        <f>0</f>
        <v>0</v>
      </c>
      <c r="K55" s="1"/>
      <c r="L55" s="1">
        <v>0</v>
      </c>
      <c r="M55" s="1">
        <f>0</f>
        <v>0</v>
      </c>
      <c r="N55" s="1">
        <f>0</f>
        <v>0</v>
      </c>
      <c r="O55" s="1">
        <f>0</f>
        <v>0</v>
      </c>
      <c r="P55" s="1"/>
      <c r="Q55" s="1">
        <v>0</v>
      </c>
      <c r="R55" s="1">
        <v>0</v>
      </c>
      <c r="S55" s="1">
        <f>0</f>
        <v>0</v>
      </c>
      <c r="T55" s="1">
        <f>0</f>
        <v>0</v>
      </c>
      <c r="U55" s="1"/>
      <c r="V55" s="1">
        <v>0</v>
      </c>
      <c r="W55" s="1">
        <v>0</v>
      </c>
      <c r="X55" s="1">
        <f>0</f>
        <v>0</v>
      </c>
      <c r="Y55" s="1">
        <f>0</f>
        <v>0</v>
      </c>
      <c r="Z55" s="1">
        <f>0</f>
        <v>0</v>
      </c>
      <c r="AA55" s="1"/>
      <c r="AB55" s="5"/>
      <c r="AC55" s="5"/>
      <c r="AD55" s="1">
        <f>0</f>
        <v>0</v>
      </c>
      <c r="AE55" s="1">
        <f>0</f>
        <v>0</v>
      </c>
      <c r="AF55" s="1">
        <f>0</f>
        <v>0</v>
      </c>
      <c r="AG55" s="1">
        <f>0</f>
        <v>0</v>
      </c>
      <c r="AH55" s="1">
        <f>0</f>
        <v>0</v>
      </c>
      <c r="AI55" s="1">
        <f>0</f>
        <v>0</v>
      </c>
      <c r="AJ55" s="1" t="b">
        <v>1</v>
      </c>
      <c r="AK55" s="1"/>
      <c r="AL55" s="1"/>
      <c r="AM55" s="1"/>
      <c r="AN55" s="1"/>
      <c r="AO55" s="1"/>
      <c r="AP55" s="1"/>
      <c r="AQ55" s="1"/>
      <c r="AR55" s="1"/>
      <c r="AS55" s="1"/>
      <c r="AT55" s="1"/>
      <c r="AU55" s="1"/>
      <c r="AV55" s="1"/>
      <c r="AW55" s="1"/>
      <c r="AX55" s="1"/>
      <c r="AY55" s="1"/>
      <c r="AZ55" s="1" t="b">
        <v>1</v>
      </c>
    </row>
    <row r="56" spans="1:52" ht="15" customHeight="1" x14ac:dyDescent="0.35">
      <c r="A56" s="1" t="s">
        <v>737</v>
      </c>
      <c r="B56" s="1" t="s">
        <v>738</v>
      </c>
      <c r="C56" s="1" t="s">
        <v>640</v>
      </c>
      <c r="D56" s="1"/>
      <c r="E56" s="1" t="s">
        <v>690</v>
      </c>
      <c r="F56" s="9" t="s">
        <v>645</v>
      </c>
      <c r="G56" s="1" t="s">
        <v>406</v>
      </c>
      <c r="H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 s="11">
        <f>0</f>
        <v>0</v>
      </c>
      <c r="J56" s="1">
        <f>0</f>
        <v>0</v>
      </c>
      <c r="K56" s="1"/>
      <c r="L56" s="1">
        <v>0</v>
      </c>
      <c r="M56" s="1">
        <f>0</f>
        <v>0</v>
      </c>
      <c r="N56" s="1">
        <f>0</f>
        <v>0</v>
      </c>
      <c r="O56" s="1">
        <f>0</f>
        <v>0</v>
      </c>
      <c r="P56" s="1"/>
      <c r="Q56" s="1">
        <v>0</v>
      </c>
      <c r="R56" s="1">
        <v>0</v>
      </c>
      <c r="S56" s="1">
        <f>0</f>
        <v>0</v>
      </c>
      <c r="T56" s="1">
        <f>0</f>
        <v>0</v>
      </c>
      <c r="U56" s="1"/>
      <c r="V56" s="1">
        <v>0</v>
      </c>
      <c r="W56" s="1">
        <v>0</v>
      </c>
      <c r="X56" s="1">
        <f>0</f>
        <v>0</v>
      </c>
      <c r="Y56" s="1">
        <f>0</f>
        <v>0</v>
      </c>
      <c r="Z56" s="1">
        <f>0</f>
        <v>0</v>
      </c>
      <c r="AA56" s="1"/>
      <c r="AB56" s="5"/>
      <c r="AC56" s="5"/>
      <c r="AD56" s="1">
        <f>0</f>
        <v>0</v>
      </c>
      <c r="AE56" s="1">
        <f>0</f>
        <v>0</v>
      </c>
      <c r="AF56" s="1">
        <f>0</f>
        <v>0</v>
      </c>
      <c r="AG56" s="1">
        <f>0</f>
        <v>0</v>
      </c>
      <c r="AH56" s="1">
        <f>0</f>
        <v>0</v>
      </c>
      <c r="AI56" s="1">
        <f>0</f>
        <v>0</v>
      </c>
      <c r="AJ56" s="1" t="b">
        <v>1</v>
      </c>
      <c r="AK56" s="1"/>
      <c r="AL56" s="1"/>
      <c r="AM56" s="1"/>
      <c r="AN56" s="1"/>
      <c r="AO56" s="1"/>
      <c r="AP56" s="1"/>
      <c r="AQ56" s="1"/>
      <c r="AR56" s="1"/>
      <c r="AS56" s="1"/>
      <c r="AT56" s="1"/>
      <c r="AU56" s="1"/>
      <c r="AV56" s="1"/>
      <c r="AW56" s="1"/>
      <c r="AX56" s="1"/>
      <c r="AY56" s="1"/>
      <c r="AZ56" s="1" t="b">
        <v>1</v>
      </c>
    </row>
    <row r="57" spans="1:52" ht="15" customHeight="1" x14ac:dyDescent="0.35">
      <c r="A57" s="1" t="s">
        <v>739</v>
      </c>
      <c r="B57" s="1" t="s">
        <v>740</v>
      </c>
      <c r="C57" s="1" t="s">
        <v>640</v>
      </c>
      <c r="D57" s="1"/>
      <c r="E57" s="1" t="s">
        <v>741</v>
      </c>
      <c r="F57" s="9" t="s">
        <v>645</v>
      </c>
      <c r="G57" s="1" t="s">
        <v>406</v>
      </c>
      <c r="H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 s="11">
        <f>0</f>
        <v>0</v>
      </c>
      <c r="J57" s="1">
        <f>0</f>
        <v>0</v>
      </c>
      <c r="K57" s="1"/>
      <c r="L57" s="1">
        <v>0</v>
      </c>
      <c r="M57" s="1">
        <f>0</f>
        <v>0</v>
      </c>
      <c r="N57" s="1">
        <f>0</f>
        <v>0</v>
      </c>
      <c r="O57" s="1">
        <f>0</f>
        <v>0</v>
      </c>
      <c r="P57" s="1"/>
      <c r="Q57" s="1">
        <v>0</v>
      </c>
      <c r="R57" s="1">
        <v>0</v>
      </c>
      <c r="S57" s="1">
        <f>0</f>
        <v>0</v>
      </c>
      <c r="T57" s="1">
        <f>0</f>
        <v>0</v>
      </c>
      <c r="U57" s="1"/>
      <c r="V57" s="1">
        <v>0</v>
      </c>
      <c r="W57" s="1">
        <v>0</v>
      </c>
      <c r="X57" s="1">
        <f>0</f>
        <v>0</v>
      </c>
      <c r="Y57" s="1">
        <f>0</f>
        <v>0</v>
      </c>
      <c r="Z57" s="1">
        <f>0</f>
        <v>0</v>
      </c>
      <c r="AA57" s="1"/>
      <c r="AB57" s="5"/>
      <c r="AC57" s="5"/>
      <c r="AD57" s="1">
        <f>0</f>
        <v>0</v>
      </c>
      <c r="AE57" s="1">
        <f>0</f>
        <v>0</v>
      </c>
      <c r="AF57" s="1">
        <f>0</f>
        <v>0</v>
      </c>
      <c r="AG57" s="1">
        <f>0</f>
        <v>0</v>
      </c>
      <c r="AH57" s="1">
        <f>0</f>
        <v>0</v>
      </c>
      <c r="AI57" s="1">
        <f>0</f>
        <v>0</v>
      </c>
      <c r="AJ57" s="1" t="b">
        <v>1</v>
      </c>
      <c r="AK57" s="1"/>
      <c r="AL57" s="1"/>
      <c r="AM57" s="1"/>
      <c r="AN57" s="1"/>
      <c r="AO57" s="1"/>
      <c r="AP57" s="1"/>
      <c r="AQ57" s="1"/>
      <c r="AR57" s="1"/>
      <c r="AS57" s="1"/>
      <c r="AT57" s="1"/>
      <c r="AU57" s="1"/>
      <c r="AV57" s="1"/>
      <c r="AW57" s="1"/>
      <c r="AX57" s="1"/>
      <c r="AY57" s="1" t="b">
        <v>1</v>
      </c>
      <c r="AZ57" s="1"/>
    </row>
    <row r="58" spans="1:52" ht="15" customHeight="1" x14ac:dyDescent="0.35">
      <c r="A58" s="1" t="s">
        <v>742</v>
      </c>
      <c r="B58" s="1" t="s">
        <v>743</v>
      </c>
      <c r="C58" s="1" t="s">
        <v>640</v>
      </c>
      <c r="D58" s="1"/>
      <c r="E58" s="1" t="s">
        <v>741</v>
      </c>
      <c r="F58" s="9" t="s">
        <v>664</v>
      </c>
      <c r="G58" s="1" t="s">
        <v>406</v>
      </c>
      <c r="H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 s="11">
        <f>0</f>
        <v>0</v>
      </c>
      <c r="J58" s="1">
        <f>0</f>
        <v>0</v>
      </c>
      <c r="K58" s="1"/>
      <c r="L58" s="1">
        <v>0</v>
      </c>
      <c r="M58" s="1">
        <f>0</f>
        <v>0</v>
      </c>
      <c r="N58" s="1">
        <f>0</f>
        <v>0</v>
      </c>
      <c r="O58" s="1">
        <f>0</f>
        <v>0</v>
      </c>
      <c r="P58" s="1"/>
      <c r="Q58" s="1">
        <v>0</v>
      </c>
      <c r="R58" s="1">
        <v>0</v>
      </c>
      <c r="S58" s="1">
        <f>0</f>
        <v>0</v>
      </c>
      <c r="T58" s="1">
        <f>0</f>
        <v>0</v>
      </c>
      <c r="U58" s="1"/>
      <c r="V58" s="1">
        <v>0</v>
      </c>
      <c r="W58" s="1">
        <v>0</v>
      </c>
      <c r="X58" s="1">
        <f>0</f>
        <v>0</v>
      </c>
      <c r="Y58" s="1">
        <f>0</f>
        <v>0</v>
      </c>
      <c r="Z58" s="1">
        <f>0</f>
        <v>0</v>
      </c>
      <c r="AA58" s="1"/>
      <c r="AB58" s="5"/>
      <c r="AC58" s="5"/>
      <c r="AD58" s="1">
        <f>0</f>
        <v>0</v>
      </c>
      <c r="AE58" s="1">
        <f>0</f>
        <v>0</v>
      </c>
      <c r="AF58" s="1">
        <f>0</f>
        <v>0</v>
      </c>
      <c r="AG58" s="1">
        <f>0</f>
        <v>0</v>
      </c>
      <c r="AH58" s="1">
        <f>0</f>
        <v>0</v>
      </c>
      <c r="AI58" s="1">
        <f>0</f>
        <v>0</v>
      </c>
      <c r="AJ58" s="1" t="b">
        <v>1</v>
      </c>
      <c r="AK58" s="1"/>
      <c r="AL58" s="1"/>
      <c r="AM58" s="1"/>
      <c r="AN58" s="1"/>
      <c r="AO58" s="1"/>
      <c r="AP58" s="1"/>
      <c r="AQ58" s="1"/>
      <c r="AR58" s="1"/>
      <c r="AS58" s="1"/>
      <c r="AT58" s="1"/>
      <c r="AU58" s="1"/>
      <c r="AV58" s="1"/>
      <c r="AW58" s="1"/>
      <c r="AX58" s="1"/>
      <c r="AY58" s="1" t="b">
        <v>1</v>
      </c>
      <c r="AZ58" s="1"/>
    </row>
    <row r="59" spans="1:52" ht="15" customHeight="1" x14ac:dyDescent="0.35">
      <c r="A59" s="1" t="s">
        <v>744</v>
      </c>
      <c r="B59" s="1" t="s">
        <v>745</v>
      </c>
      <c r="C59" s="1" t="s">
        <v>640</v>
      </c>
      <c r="D59" s="1"/>
      <c r="E59" s="1" t="s">
        <v>690</v>
      </c>
      <c r="F59" s="9" t="s">
        <v>645</v>
      </c>
      <c r="G59" s="1" t="s">
        <v>406</v>
      </c>
      <c r="H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 s="11">
        <f>0</f>
        <v>0</v>
      </c>
      <c r="J59" s="1">
        <f>0</f>
        <v>0</v>
      </c>
      <c r="K59" s="1"/>
      <c r="L59" s="1">
        <v>0</v>
      </c>
      <c r="M59" s="1">
        <f>0</f>
        <v>0</v>
      </c>
      <c r="N59" s="1">
        <f>0</f>
        <v>0</v>
      </c>
      <c r="O59" s="1">
        <f>0</f>
        <v>0</v>
      </c>
      <c r="P59" s="1"/>
      <c r="Q59" s="1">
        <v>0</v>
      </c>
      <c r="R59" s="1">
        <v>0</v>
      </c>
      <c r="S59" s="1">
        <f>0</f>
        <v>0</v>
      </c>
      <c r="T59" s="1">
        <f>0</f>
        <v>0</v>
      </c>
      <c r="U59" s="1"/>
      <c r="V59" s="1">
        <v>0</v>
      </c>
      <c r="W59" s="1">
        <v>0</v>
      </c>
      <c r="X59" s="1">
        <f>0</f>
        <v>0</v>
      </c>
      <c r="Y59" s="1">
        <f>0</f>
        <v>0</v>
      </c>
      <c r="Z59" s="1">
        <f>0</f>
        <v>0</v>
      </c>
      <c r="AA59" s="1"/>
      <c r="AB59" s="5"/>
      <c r="AC59" s="5"/>
      <c r="AD59" s="1">
        <f>0</f>
        <v>0</v>
      </c>
      <c r="AE59" s="1">
        <f>0</f>
        <v>0</v>
      </c>
      <c r="AF59" s="1">
        <f>0</f>
        <v>0</v>
      </c>
      <c r="AG59" s="1">
        <f>0</f>
        <v>0</v>
      </c>
      <c r="AH59" s="1">
        <f>0</f>
        <v>0</v>
      </c>
      <c r="AI59" s="1">
        <f>0</f>
        <v>0</v>
      </c>
      <c r="AJ59" s="1" t="b">
        <v>1</v>
      </c>
      <c r="AK59" s="1"/>
      <c r="AL59" s="1"/>
      <c r="AM59" s="1"/>
      <c r="AN59" s="1"/>
      <c r="AO59" s="1"/>
      <c r="AP59" s="1"/>
      <c r="AQ59" s="1"/>
      <c r="AR59" s="1"/>
      <c r="AS59" s="1"/>
      <c r="AT59" s="1"/>
      <c r="AU59" s="1"/>
      <c r="AV59" s="1"/>
      <c r="AW59" s="1"/>
      <c r="AX59" s="1"/>
      <c r="AY59" s="1"/>
      <c r="AZ59" s="1" t="b">
        <v>1</v>
      </c>
    </row>
    <row r="60" spans="1:52" ht="15" customHeight="1" x14ac:dyDescent="0.35">
      <c r="A60" s="1" t="s">
        <v>746</v>
      </c>
      <c r="B60" s="1" t="s">
        <v>747</v>
      </c>
      <c r="C60" s="1" t="s">
        <v>640</v>
      </c>
      <c r="D60" s="1"/>
      <c r="E60" s="1" t="s">
        <v>690</v>
      </c>
      <c r="F60" s="9" t="s">
        <v>645</v>
      </c>
      <c r="G60" s="1" t="s">
        <v>406</v>
      </c>
      <c r="H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0" s="11">
        <f>0</f>
        <v>0</v>
      </c>
      <c r="J60" s="1">
        <f>0</f>
        <v>0</v>
      </c>
      <c r="K60" s="1"/>
      <c r="L60" s="1">
        <v>0</v>
      </c>
      <c r="M60" s="1">
        <f>0</f>
        <v>0</v>
      </c>
      <c r="N60" s="1">
        <f>0</f>
        <v>0</v>
      </c>
      <c r="O60" s="1">
        <f>0</f>
        <v>0</v>
      </c>
      <c r="P60" s="1"/>
      <c r="Q60" s="1">
        <v>0</v>
      </c>
      <c r="R60" s="1">
        <v>0</v>
      </c>
      <c r="S60" s="1">
        <f>0</f>
        <v>0</v>
      </c>
      <c r="T60" s="1">
        <f>0</f>
        <v>0</v>
      </c>
      <c r="U60" s="1"/>
      <c r="V60" s="1">
        <v>0</v>
      </c>
      <c r="W60" s="1">
        <v>0</v>
      </c>
      <c r="X60" s="1">
        <f>0</f>
        <v>0</v>
      </c>
      <c r="Y60" s="1">
        <f>0</f>
        <v>0</v>
      </c>
      <c r="Z60" s="1">
        <f>0</f>
        <v>0</v>
      </c>
      <c r="AA60" s="1"/>
      <c r="AB60" s="5"/>
      <c r="AC60" s="5"/>
      <c r="AD60" s="1">
        <f>0</f>
        <v>0</v>
      </c>
      <c r="AE60" s="1">
        <f>0</f>
        <v>0</v>
      </c>
      <c r="AF60" s="1">
        <f>0</f>
        <v>0</v>
      </c>
      <c r="AG60" s="1">
        <f>0</f>
        <v>0</v>
      </c>
      <c r="AH60" s="1">
        <f>0</f>
        <v>0</v>
      </c>
      <c r="AI60" s="1">
        <f>0</f>
        <v>0</v>
      </c>
      <c r="AJ60" s="1" t="b">
        <v>1</v>
      </c>
      <c r="AK60" s="1"/>
      <c r="AL60" s="1"/>
      <c r="AM60" s="1"/>
      <c r="AN60" s="1"/>
      <c r="AO60" s="1"/>
      <c r="AP60" s="1"/>
      <c r="AQ60" s="1"/>
      <c r="AR60" s="1"/>
      <c r="AS60" s="1"/>
      <c r="AT60" s="1"/>
      <c r="AU60" s="1"/>
      <c r="AV60" s="1"/>
      <c r="AW60" s="1"/>
      <c r="AX60" s="1"/>
      <c r="AY60" s="1"/>
      <c r="AZ60" s="1" t="b">
        <v>1</v>
      </c>
    </row>
    <row r="61" spans="1:52" ht="15" customHeight="1" x14ac:dyDescent="0.35">
      <c r="A61" s="1" t="s">
        <v>748</v>
      </c>
      <c r="B61" s="1" t="s">
        <v>749</v>
      </c>
      <c r="C61" s="1" t="s">
        <v>640</v>
      </c>
      <c r="D61" s="1"/>
      <c r="E61" s="1" t="s">
        <v>690</v>
      </c>
      <c r="F61" s="9" t="s">
        <v>645</v>
      </c>
      <c r="G61" s="1" t="s">
        <v>406</v>
      </c>
      <c r="H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1" s="11">
        <f>0</f>
        <v>0</v>
      </c>
      <c r="J61" s="1">
        <f>0</f>
        <v>0</v>
      </c>
      <c r="K61" s="1"/>
      <c r="L61" s="1">
        <v>0</v>
      </c>
      <c r="M61" s="1">
        <f>0</f>
        <v>0</v>
      </c>
      <c r="N61" s="1">
        <f>0</f>
        <v>0</v>
      </c>
      <c r="O61" s="1">
        <f>0</f>
        <v>0</v>
      </c>
      <c r="P61" s="1"/>
      <c r="Q61" s="1">
        <v>0</v>
      </c>
      <c r="R61" s="1">
        <v>0</v>
      </c>
      <c r="S61" s="1">
        <f>0</f>
        <v>0</v>
      </c>
      <c r="T61" s="1">
        <f>0</f>
        <v>0</v>
      </c>
      <c r="U61" s="1"/>
      <c r="V61" s="1">
        <v>0</v>
      </c>
      <c r="W61" s="1">
        <v>0</v>
      </c>
      <c r="X61" s="1">
        <f>0</f>
        <v>0</v>
      </c>
      <c r="Y61" s="1">
        <f>0</f>
        <v>0</v>
      </c>
      <c r="Z61" s="1">
        <f>0</f>
        <v>0</v>
      </c>
      <c r="AA61" s="1"/>
      <c r="AB61" s="5"/>
      <c r="AC61" s="5"/>
      <c r="AD61" s="1">
        <f>0</f>
        <v>0</v>
      </c>
      <c r="AE61" s="1">
        <f>0</f>
        <v>0</v>
      </c>
      <c r="AF61" s="1">
        <f>0</f>
        <v>0</v>
      </c>
      <c r="AG61" s="1">
        <f>0</f>
        <v>0</v>
      </c>
      <c r="AH61" s="1">
        <f>0</f>
        <v>0</v>
      </c>
      <c r="AI61" s="1">
        <f>0</f>
        <v>0</v>
      </c>
      <c r="AJ61" s="1" t="b">
        <v>1</v>
      </c>
      <c r="AK61" s="1"/>
      <c r="AL61" s="1"/>
      <c r="AM61" s="1"/>
      <c r="AN61" s="1"/>
      <c r="AO61" s="1"/>
      <c r="AP61" s="1"/>
      <c r="AQ61" s="1"/>
      <c r="AR61" s="1"/>
      <c r="AS61" s="1"/>
      <c r="AT61" s="1"/>
      <c r="AU61" s="1"/>
      <c r="AV61" s="1"/>
      <c r="AW61" s="1"/>
      <c r="AX61" s="1"/>
      <c r="AY61" s="1"/>
      <c r="AZ61" s="1" t="b">
        <v>1</v>
      </c>
    </row>
    <row r="62" spans="1:52" ht="15" customHeight="1" x14ac:dyDescent="0.35">
      <c r="A62" s="1" t="s">
        <v>750</v>
      </c>
      <c r="B62" s="1" t="s">
        <v>751</v>
      </c>
      <c r="C62" s="1" t="s">
        <v>640</v>
      </c>
      <c r="D62" s="1"/>
      <c r="E62" s="1" t="s">
        <v>690</v>
      </c>
      <c r="F62" s="9" t="s">
        <v>664</v>
      </c>
      <c r="G62" s="1" t="s">
        <v>406</v>
      </c>
      <c r="H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2" s="11">
        <f>0</f>
        <v>0</v>
      </c>
      <c r="J62" s="1">
        <f>0</f>
        <v>0</v>
      </c>
      <c r="K62" s="1"/>
      <c r="L62" s="1">
        <v>0</v>
      </c>
      <c r="M62" s="1">
        <f>0</f>
        <v>0</v>
      </c>
      <c r="N62" s="1">
        <f>0</f>
        <v>0</v>
      </c>
      <c r="O62" s="1">
        <f>0</f>
        <v>0</v>
      </c>
      <c r="P62" s="1"/>
      <c r="Q62" s="1">
        <v>0</v>
      </c>
      <c r="R62" s="1">
        <v>0</v>
      </c>
      <c r="S62" s="1">
        <f>0</f>
        <v>0</v>
      </c>
      <c r="T62" s="1">
        <f>0</f>
        <v>0</v>
      </c>
      <c r="U62" s="1"/>
      <c r="V62" s="1">
        <v>0</v>
      </c>
      <c r="W62" s="1">
        <v>0</v>
      </c>
      <c r="X62" s="1">
        <f>0</f>
        <v>0</v>
      </c>
      <c r="Y62" s="1">
        <f>0</f>
        <v>0</v>
      </c>
      <c r="Z62" s="1">
        <f>0</f>
        <v>0</v>
      </c>
      <c r="AA62" s="1"/>
      <c r="AB62" s="5"/>
      <c r="AC62" s="5"/>
      <c r="AD62" s="1">
        <f>0</f>
        <v>0</v>
      </c>
      <c r="AE62" s="1">
        <f>0</f>
        <v>0</v>
      </c>
      <c r="AF62" s="1">
        <f>0</f>
        <v>0</v>
      </c>
      <c r="AG62" s="1">
        <f>0</f>
        <v>0</v>
      </c>
      <c r="AH62" s="1">
        <f>0</f>
        <v>0</v>
      </c>
      <c r="AI62" s="1">
        <f>0</f>
        <v>0</v>
      </c>
      <c r="AJ62" s="1" t="b">
        <v>1</v>
      </c>
      <c r="AK62" s="1"/>
      <c r="AL62" s="1"/>
      <c r="AM62" s="1"/>
      <c r="AN62" s="1"/>
      <c r="AO62" s="1"/>
      <c r="AP62" s="1"/>
      <c r="AQ62" s="1"/>
      <c r="AR62" s="1"/>
      <c r="AS62" s="1"/>
      <c r="AT62" s="1"/>
      <c r="AU62" s="1"/>
      <c r="AV62" s="1"/>
      <c r="AW62" s="1"/>
      <c r="AX62" s="1"/>
      <c r="AY62" s="1"/>
      <c r="AZ62" s="1" t="b">
        <v>1</v>
      </c>
    </row>
    <row r="63" spans="1:52" ht="15" customHeight="1" x14ac:dyDescent="0.35">
      <c r="A63" s="1" t="s">
        <v>752</v>
      </c>
      <c r="B63" s="1" t="s">
        <v>753</v>
      </c>
      <c r="C63" s="1" t="s">
        <v>640</v>
      </c>
      <c r="D63" s="1"/>
      <c r="E63" s="1" t="s">
        <v>690</v>
      </c>
      <c r="F63" s="9" t="s">
        <v>645</v>
      </c>
      <c r="G63" s="1" t="s">
        <v>406</v>
      </c>
      <c r="H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3" s="11">
        <f>0</f>
        <v>0</v>
      </c>
      <c r="J63" s="1">
        <f>0</f>
        <v>0</v>
      </c>
      <c r="K63" s="1"/>
      <c r="L63" s="1">
        <v>0</v>
      </c>
      <c r="M63" s="1">
        <f>0</f>
        <v>0</v>
      </c>
      <c r="N63" s="1">
        <f>0</f>
        <v>0</v>
      </c>
      <c r="O63" s="1">
        <f>0</f>
        <v>0</v>
      </c>
      <c r="P63" s="1"/>
      <c r="Q63" s="1">
        <v>0</v>
      </c>
      <c r="R63" s="1">
        <v>0</v>
      </c>
      <c r="S63" s="1">
        <f>0</f>
        <v>0</v>
      </c>
      <c r="T63" s="1">
        <f>0</f>
        <v>0</v>
      </c>
      <c r="U63" s="1"/>
      <c r="V63" s="1">
        <v>0</v>
      </c>
      <c r="W63" s="1">
        <v>0</v>
      </c>
      <c r="X63" s="1">
        <f>0</f>
        <v>0</v>
      </c>
      <c r="Y63" s="1">
        <f>0</f>
        <v>0</v>
      </c>
      <c r="Z63" s="1">
        <f>0</f>
        <v>0</v>
      </c>
      <c r="AA63" s="1"/>
      <c r="AB63" s="5"/>
      <c r="AC63" s="5"/>
      <c r="AD63" s="1">
        <f>0</f>
        <v>0</v>
      </c>
      <c r="AE63" s="1">
        <f>0</f>
        <v>0</v>
      </c>
      <c r="AF63" s="1">
        <f>0</f>
        <v>0</v>
      </c>
      <c r="AG63" s="1">
        <f>0</f>
        <v>0</v>
      </c>
      <c r="AH63" s="1">
        <f>0</f>
        <v>0</v>
      </c>
      <c r="AI63" s="1">
        <f>0</f>
        <v>0</v>
      </c>
      <c r="AJ63" s="1" t="b">
        <v>1</v>
      </c>
      <c r="AK63" s="1"/>
      <c r="AL63" s="1"/>
      <c r="AM63" s="1"/>
      <c r="AN63" s="1"/>
      <c r="AO63" s="1"/>
      <c r="AP63" s="1"/>
      <c r="AQ63" s="1"/>
      <c r="AR63" s="1"/>
      <c r="AS63" s="1"/>
      <c r="AT63" s="1"/>
      <c r="AU63" s="1"/>
      <c r="AV63" s="1"/>
      <c r="AW63" s="1"/>
      <c r="AX63" s="1"/>
      <c r="AY63" s="1"/>
      <c r="AZ63" s="1" t="b">
        <v>1</v>
      </c>
    </row>
    <row r="64" spans="1:52" ht="15" customHeight="1" x14ac:dyDescent="0.35">
      <c r="A64" s="1" t="s">
        <v>754</v>
      </c>
      <c r="B64" s="1" t="s">
        <v>755</v>
      </c>
      <c r="C64" s="1" t="s">
        <v>640</v>
      </c>
      <c r="D64" s="1"/>
      <c r="E64" s="1" t="s">
        <v>690</v>
      </c>
      <c r="F64" s="9" t="s">
        <v>664</v>
      </c>
      <c r="G64" s="1" t="s">
        <v>406</v>
      </c>
      <c r="H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4" s="11">
        <f>0</f>
        <v>0</v>
      </c>
      <c r="J64" s="1">
        <f>0</f>
        <v>0</v>
      </c>
      <c r="K64" s="1"/>
      <c r="L64" s="1">
        <v>0</v>
      </c>
      <c r="M64" s="1">
        <f>0</f>
        <v>0</v>
      </c>
      <c r="N64" s="1">
        <f>0</f>
        <v>0</v>
      </c>
      <c r="O64" s="1">
        <f>0</f>
        <v>0</v>
      </c>
      <c r="P64" s="1"/>
      <c r="Q64" s="1">
        <v>0</v>
      </c>
      <c r="R64" s="1">
        <v>0</v>
      </c>
      <c r="S64" s="1">
        <f>0</f>
        <v>0</v>
      </c>
      <c r="T64" s="1">
        <f>0</f>
        <v>0</v>
      </c>
      <c r="U64" s="1"/>
      <c r="V64" s="1">
        <v>0</v>
      </c>
      <c r="W64" s="1">
        <v>0</v>
      </c>
      <c r="X64" s="1">
        <f>0</f>
        <v>0</v>
      </c>
      <c r="Y64" s="1">
        <f>0</f>
        <v>0</v>
      </c>
      <c r="Z64" s="1">
        <f>0</f>
        <v>0</v>
      </c>
      <c r="AA64" s="1"/>
      <c r="AB64" s="5"/>
      <c r="AC64" s="5"/>
      <c r="AD64" s="1">
        <f>0</f>
        <v>0</v>
      </c>
      <c r="AE64" s="1">
        <f>0</f>
        <v>0</v>
      </c>
      <c r="AF64" s="1">
        <f>0</f>
        <v>0</v>
      </c>
      <c r="AG64" s="1">
        <f>0</f>
        <v>0</v>
      </c>
      <c r="AH64" s="1">
        <f>0</f>
        <v>0</v>
      </c>
      <c r="AI64" s="1">
        <f>0</f>
        <v>0</v>
      </c>
      <c r="AJ64" s="1" t="b">
        <v>1</v>
      </c>
      <c r="AK64" s="1"/>
      <c r="AL64" s="1"/>
      <c r="AM64" s="1"/>
      <c r="AN64" s="1"/>
      <c r="AO64" s="1"/>
      <c r="AP64" s="1"/>
      <c r="AQ64" s="1"/>
      <c r="AR64" s="1"/>
      <c r="AS64" s="1"/>
      <c r="AT64" s="1"/>
      <c r="AU64" s="1"/>
      <c r="AV64" s="1"/>
      <c r="AW64" s="1"/>
      <c r="AX64" s="1"/>
      <c r="AY64" s="1"/>
      <c r="AZ64" s="1" t="b">
        <v>1</v>
      </c>
    </row>
    <row r="65" spans="1:52" ht="15" customHeight="1" x14ac:dyDescent="0.35">
      <c r="A65" s="1" t="s">
        <v>756</v>
      </c>
      <c r="B65" s="1" t="s">
        <v>757</v>
      </c>
      <c r="C65" s="1" t="s">
        <v>640</v>
      </c>
      <c r="D65" s="1"/>
      <c r="E65" s="1" t="s">
        <v>690</v>
      </c>
      <c r="F65" s="9" t="s">
        <v>645</v>
      </c>
      <c r="G65" s="1" t="s">
        <v>406</v>
      </c>
      <c r="H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 s="11">
        <f>0</f>
        <v>0</v>
      </c>
      <c r="J65" s="1">
        <f>0</f>
        <v>0</v>
      </c>
      <c r="K65" s="1"/>
      <c r="L65" s="1">
        <v>0</v>
      </c>
      <c r="M65" s="1">
        <f>0</f>
        <v>0</v>
      </c>
      <c r="N65" s="1">
        <f>0</f>
        <v>0</v>
      </c>
      <c r="O65" s="1">
        <f>0</f>
        <v>0</v>
      </c>
      <c r="P65" s="1"/>
      <c r="Q65" s="1">
        <v>0</v>
      </c>
      <c r="R65" s="1">
        <v>0</v>
      </c>
      <c r="S65" s="1">
        <f>0</f>
        <v>0</v>
      </c>
      <c r="T65" s="1">
        <f>0</f>
        <v>0</v>
      </c>
      <c r="U65" s="1"/>
      <c r="V65" s="1">
        <v>0</v>
      </c>
      <c r="W65" s="1">
        <v>0</v>
      </c>
      <c r="X65" s="1">
        <f>0</f>
        <v>0</v>
      </c>
      <c r="Y65" s="1">
        <f>0</f>
        <v>0</v>
      </c>
      <c r="Z65" s="1">
        <f>0</f>
        <v>0</v>
      </c>
      <c r="AA65" s="1"/>
      <c r="AB65" s="5"/>
      <c r="AC65" s="5"/>
      <c r="AD65" s="1">
        <f>0</f>
        <v>0</v>
      </c>
      <c r="AE65" s="1">
        <f>0</f>
        <v>0</v>
      </c>
      <c r="AF65" s="1">
        <f>0</f>
        <v>0</v>
      </c>
      <c r="AG65" s="1">
        <f>0</f>
        <v>0</v>
      </c>
      <c r="AH65" s="1">
        <f>0</f>
        <v>0</v>
      </c>
      <c r="AI65" s="1">
        <f>0</f>
        <v>0</v>
      </c>
      <c r="AJ65" s="1" t="b">
        <v>1</v>
      </c>
      <c r="AK65" s="1"/>
      <c r="AL65" s="1"/>
      <c r="AM65" s="1"/>
      <c r="AN65" s="1"/>
      <c r="AO65" s="1"/>
      <c r="AP65" s="1"/>
      <c r="AQ65" s="1"/>
      <c r="AR65" s="1"/>
      <c r="AS65" s="1"/>
      <c r="AT65" s="1"/>
      <c r="AU65" s="1"/>
      <c r="AV65" s="1"/>
      <c r="AW65" s="1"/>
      <c r="AX65" s="1"/>
      <c r="AY65" s="1"/>
      <c r="AZ65" s="1" t="b">
        <v>1</v>
      </c>
    </row>
    <row r="66" spans="1:52" ht="15" customHeight="1" x14ac:dyDescent="0.35">
      <c r="A66" s="1" t="s">
        <v>758</v>
      </c>
      <c r="B66" s="1" t="s">
        <v>759</v>
      </c>
      <c r="C66" s="1" t="s">
        <v>640</v>
      </c>
      <c r="D66" s="1"/>
      <c r="E66" s="1" t="s">
        <v>690</v>
      </c>
      <c r="F66" s="9" t="s">
        <v>645</v>
      </c>
      <c r="G66" s="1" t="s">
        <v>406</v>
      </c>
      <c r="H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 s="11">
        <f>0</f>
        <v>0</v>
      </c>
      <c r="J66" s="1">
        <f>0</f>
        <v>0</v>
      </c>
      <c r="K66" s="1"/>
      <c r="L66" s="1">
        <v>0</v>
      </c>
      <c r="M66" s="1">
        <f>0</f>
        <v>0</v>
      </c>
      <c r="N66" s="1">
        <f>0</f>
        <v>0</v>
      </c>
      <c r="O66" s="1">
        <f>0</f>
        <v>0</v>
      </c>
      <c r="P66" s="1"/>
      <c r="Q66" s="1">
        <v>0</v>
      </c>
      <c r="R66" s="1">
        <v>0</v>
      </c>
      <c r="S66" s="1">
        <f>0</f>
        <v>0</v>
      </c>
      <c r="T66" s="1">
        <f>0</f>
        <v>0</v>
      </c>
      <c r="U66" s="1"/>
      <c r="V66" s="1">
        <v>0</v>
      </c>
      <c r="W66" s="1">
        <v>0</v>
      </c>
      <c r="X66" s="1">
        <f>0</f>
        <v>0</v>
      </c>
      <c r="Y66" s="1">
        <f>0</f>
        <v>0</v>
      </c>
      <c r="Z66" s="1">
        <f>0</f>
        <v>0</v>
      </c>
      <c r="AA66" s="1"/>
      <c r="AB66" s="5"/>
      <c r="AC66" s="5"/>
      <c r="AD66" s="1">
        <f>0</f>
        <v>0</v>
      </c>
      <c r="AE66" s="1">
        <f>0</f>
        <v>0</v>
      </c>
      <c r="AF66" s="1">
        <f>0</f>
        <v>0</v>
      </c>
      <c r="AG66" s="1">
        <f>0</f>
        <v>0</v>
      </c>
      <c r="AH66" s="1">
        <f>0</f>
        <v>0</v>
      </c>
      <c r="AI66" s="1">
        <f>0</f>
        <v>0</v>
      </c>
      <c r="AJ66" s="1" t="b">
        <v>1</v>
      </c>
      <c r="AK66" s="1"/>
      <c r="AL66" s="1"/>
      <c r="AM66" s="1"/>
      <c r="AN66" s="1"/>
      <c r="AO66" s="1"/>
      <c r="AP66" s="1"/>
      <c r="AQ66" s="1"/>
      <c r="AR66" s="1"/>
      <c r="AS66" s="1"/>
      <c r="AT66" s="1"/>
      <c r="AU66" s="1"/>
      <c r="AV66" s="1"/>
      <c r="AW66" s="1"/>
      <c r="AX66" s="1"/>
      <c r="AY66" s="1"/>
      <c r="AZ66" s="1" t="b">
        <v>1</v>
      </c>
    </row>
    <row r="67" spans="1:52" ht="15" customHeight="1" x14ac:dyDescent="0.35">
      <c r="A67" s="1" t="s">
        <v>760</v>
      </c>
      <c r="B67" s="1" t="s">
        <v>761</v>
      </c>
      <c r="C67" s="1" t="s">
        <v>640</v>
      </c>
      <c r="D67" s="1"/>
      <c r="E67" s="1" t="s">
        <v>762</v>
      </c>
      <c r="F67" s="9" t="s">
        <v>645</v>
      </c>
      <c r="G67" s="1" t="s">
        <v>406</v>
      </c>
      <c r="H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7" s="11">
        <f>0</f>
        <v>0</v>
      </c>
      <c r="J67" s="1">
        <f>0</f>
        <v>0</v>
      </c>
      <c r="K67" s="1"/>
      <c r="L67" s="1">
        <v>0</v>
      </c>
      <c r="M67" s="1">
        <f>0</f>
        <v>0</v>
      </c>
      <c r="N67" s="1">
        <f>0</f>
        <v>0</v>
      </c>
      <c r="O67" s="1">
        <f>0</f>
        <v>0</v>
      </c>
      <c r="P67" s="1"/>
      <c r="Q67" s="1">
        <v>0</v>
      </c>
      <c r="R67" s="1">
        <v>0</v>
      </c>
      <c r="S67" s="1">
        <f>0</f>
        <v>0</v>
      </c>
      <c r="T67" s="1">
        <f>0</f>
        <v>0</v>
      </c>
      <c r="U67" s="1"/>
      <c r="V67" s="1">
        <v>0</v>
      </c>
      <c r="W67" s="1">
        <v>0</v>
      </c>
      <c r="X67" s="1">
        <f>0</f>
        <v>0</v>
      </c>
      <c r="Y67" s="1">
        <f>0</f>
        <v>0</v>
      </c>
      <c r="Z67" s="1">
        <f>0</f>
        <v>0</v>
      </c>
      <c r="AA67" s="1"/>
      <c r="AB67" s="5"/>
      <c r="AC67" s="5"/>
      <c r="AD67" s="1">
        <f>0</f>
        <v>0</v>
      </c>
      <c r="AE67" s="1">
        <f>0</f>
        <v>0</v>
      </c>
      <c r="AF67" s="1">
        <f>0</f>
        <v>0</v>
      </c>
      <c r="AG67" s="1">
        <f>0</f>
        <v>0</v>
      </c>
      <c r="AH67" s="1">
        <f>0</f>
        <v>0</v>
      </c>
      <c r="AI67" s="1">
        <f>0</f>
        <v>0</v>
      </c>
      <c r="AJ67" s="1"/>
      <c r="AK67" s="1" t="b">
        <v>1</v>
      </c>
      <c r="AL67" s="1"/>
      <c r="AM67" s="1"/>
      <c r="AN67" s="1"/>
      <c r="AO67" s="1"/>
      <c r="AP67" s="1"/>
      <c r="AQ67" s="1"/>
      <c r="AR67" s="1"/>
      <c r="AS67" s="1"/>
      <c r="AT67" s="1"/>
      <c r="AU67" s="1"/>
      <c r="AV67" s="1"/>
      <c r="AW67" s="1"/>
      <c r="AX67" s="1"/>
      <c r="AY67" s="1"/>
      <c r="AZ67" s="1"/>
    </row>
    <row r="68" spans="1:52" ht="15" customHeight="1" x14ac:dyDescent="0.35">
      <c r="A68" s="1" t="s">
        <v>763</v>
      </c>
      <c r="B68" s="1" t="s">
        <v>764</v>
      </c>
      <c r="C68" s="1" t="s">
        <v>640</v>
      </c>
      <c r="D68" s="1"/>
      <c r="E68" s="1" t="s">
        <v>762</v>
      </c>
      <c r="F68" s="9" t="s">
        <v>645</v>
      </c>
      <c r="G68" s="1" t="s">
        <v>406</v>
      </c>
      <c r="H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 s="11">
        <f>0</f>
        <v>0</v>
      </c>
      <c r="J68" s="1">
        <f>0</f>
        <v>0</v>
      </c>
      <c r="K68" s="1"/>
      <c r="L68" s="1">
        <v>0</v>
      </c>
      <c r="M68" s="1">
        <f>0</f>
        <v>0</v>
      </c>
      <c r="N68" s="1">
        <f>0</f>
        <v>0</v>
      </c>
      <c r="O68" s="1">
        <f>0</f>
        <v>0</v>
      </c>
      <c r="P68" s="1"/>
      <c r="Q68" s="1">
        <v>0</v>
      </c>
      <c r="R68" s="1">
        <v>0</v>
      </c>
      <c r="S68" s="1">
        <f>0</f>
        <v>0</v>
      </c>
      <c r="T68" s="1">
        <f>0</f>
        <v>0</v>
      </c>
      <c r="U68" s="1"/>
      <c r="V68" s="1">
        <v>0</v>
      </c>
      <c r="W68" s="1">
        <v>0</v>
      </c>
      <c r="X68" s="1">
        <f>0</f>
        <v>0</v>
      </c>
      <c r="Y68" s="1">
        <f>0</f>
        <v>0</v>
      </c>
      <c r="Z68" s="1">
        <f>0</f>
        <v>0</v>
      </c>
      <c r="AA68" s="1"/>
      <c r="AB68" s="5"/>
      <c r="AC68" s="5"/>
      <c r="AD68" s="1">
        <f>0</f>
        <v>0</v>
      </c>
      <c r="AE68" s="1">
        <f>0</f>
        <v>0</v>
      </c>
      <c r="AF68" s="1">
        <f>0</f>
        <v>0</v>
      </c>
      <c r="AG68" s="1">
        <f>0</f>
        <v>0</v>
      </c>
      <c r="AH68" s="1">
        <f>0</f>
        <v>0</v>
      </c>
      <c r="AI68" s="1">
        <f>0</f>
        <v>0</v>
      </c>
      <c r="AJ68" s="1"/>
      <c r="AK68" s="1" t="b">
        <v>1</v>
      </c>
      <c r="AL68" s="1"/>
      <c r="AM68" s="1"/>
      <c r="AN68" s="1"/>
      <c r="AO68" s="1"/>
      <c r="AP68" s="1"/>
      <c r="AQ68" s="1"/>
      <c r="AR68" s="1"/>
      <c r="AS68" s="1"/>
      <c r="AT68" s="1"/>
      <c r="AU68" s="1"/>
      <c r="AV68" s="1"/>
      <c r="AW68" s="1"/>
      <c r="AX68" s="1"/>
      <c r="AY68" s="1"/>
      <c r="AZ68" s="1"/>
    </row>
    <row r="69" spans="1:52" ht="15" customHeight="1" x14ac:dyDescent="0.35">
      <c r="A69" s="1" t="s">
        <v>765</v>
      </c>
      <c r="B69" s="1" t="s">
        <v>766</v>
      </c>
      <c r="C69" s="1" t="s">
        <v>640</v>
      </c>
      <c r="D69" s="1"/>
      <c r="E69" s="1" t="s">
        <v>762</v>
      </c>
      <c r="F69" s="9" t="s">
        <v>645</v>
      </c>
      <c r="G69" s="1" t="s">
        <v>406</v>
      </c>
      <c r="H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 s="11">
        <f>0</f>
        <v>0</v>
      </c>
      <c r="J69" s="1">
        <f>0</f>
        <v>0</v>
      </c>
      <c r="K69" s="1"/>
      <c r="L69" s="1">
        <v>0</v>
      </c>
      <c r="M69" s="1">
        <f>0</f>
        <v>0</v>
      </c>
      <c r="N69" s="1">
        <f>0</f>
        <v>0</v>
      </c>
      <c r="O69" s="1">
        <f>0</f>
        <v>0</v>
      </c>
      <c r="P69" s="1"/>
      <c r="Q69" s="1">
        <v>0</v>
      </c>
      <c r="R69" s="1">
        <v>0</v>
      </c>
      <c r="S69" s="1">
        <f>0</f>
        <v>0</v>
      </c>
      <c r="T69" s="1">
        <f>0</f>
        <v>0</v>
      </c>
      <c r="U69" s="1"/>
      <c r="V69" s="1">
        <v>0</v>
      </c>
      <c r="W69" s="1">
        <v>0</v>
      </c>
      <c r="X69" s="1">
        <f>0</f>
        <v>0</v>
      </c>
      <c r="Y69" s="1">
        <f>0</f>
        <v>0</v>
      </c>
      <c r="Z69" s="1">
        <f>0</f>
        <v>0</v>
      </c>
      <c r="AA69" s="1"/>
      <c r="AB69" s="5"/>
      <c r="AC69" s="5"/>
      <c r="AD69" s="1">
        <f>0</f>
        <v>0</v>
      </c>
      <c r="AE69" s="1">
        <f>0</f>
        <v>0</v>
      </c>
      <c r="AF69" s="1">
        <f>0</f>
        <v>0</v>
      </c>
      <c r="AG69" s="1">
        <f>0</f>
        <v>0</v>
      </c>
      <c r="AH69" s="1">
        <f>0</f>
        <v>0</v>
      </c>
      <c r="AI69" s="1">
        <f>0</f>
        <v>0</v>
      </c>
      <c r="AJ69" s="1"/>
      <c r="AK69" s="1" t="b">
        <v>1</v>
      </c>
      <c r="AL69" s="1"/>
      <c r="AM69" s="1"/>
      <c r="AN69" s="1"/>
      <c r="AO69" s="1"/>
      <c r="AP69" s="1"/>
      <c r="AQ69" s="1"/>
      <c r="AR69" s="1"/>
      <c r="AS69" s="1"/>
      <c r="AT69" s="1"/>
      <c r="AU69" s="1"/>
      <c r="AV69" s="1"/>
      <c r="AW69" s="1"/>
      <c r="AX69" s="1"/>
      <c r="AY69" s="1"/>
      <c r="AZ69" s="1"/>
    </row>
    <row r="70" spans="1:52" ht="15" customHeight="1" x14ac:dyDescent="0.35">
      <c r="A70" s="1" t="s">
        <v>767</v>
      </c>
      <c r="B70" s="1" t="s">
        <v>768</v>
      </c>
      <c r="C70" s="1" t="s">
        <v>640</v>
      </c>
      <c r="D70" s="1"/>
      <c r="E70" s="1" t="s">
        <v>762</v>
      </c>
      <c r="F70" s="9" t="s">
        <v>645</v>
      </c>
      <c r="G70" s="1" t="s">
        <v>406</v>
      </c>
      <c r="H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0" s="11">
        <f>0</f>
        <v>0</v>
      </c>
      <c r="J70" s="1">
        <f>0</f>
        <v>0</v>
      </c>
      <c r="K70" s="1"/>
      <c r="L70" s="1">
        <v>0</v>
      </c>
      <c r="M70" s="1">
        <f>0</f>
        <v>0</v>
      </c>
      <c r="N70" s="1">
        <f>0</f>
        <v>0</v>
      </c>
      <c r="O70" s="1">
        <f>0</f>
        <v>0</v>
      </c>
      <c r="P70" s="1"/>
      <c r="Q70" s="1">
        <v>0</v>
      </c>
      <c r="R70" s="1">
        <v>0</v>
      </c>
      <c r="S70" s="1">
        <f>0</f>
        <v>0</v>
      </c>
      <c r="T70" s="1">
        <f>0</f>
        <v>0</v>
      </c>
      <c r="U70" s="1"/>
      <c r="V70" s="1">
        <v>0</v>
      </c>
      <c r="W70" s="1">
        <v>0</v>
      </c>
      <c r="X70" s="1">
        <f>0</f>
        <v>0</v>
      </c>
      <c r="Y70" s="1">
        <f>0</f>
        <v>0</v>
      </c>
      <c r="Z70" s="1">
        <f>0</f>
        <v>0</v>
      </c>
      <c r="AA70" s="1"/>
      <c r="AB70" s="5"/>
      <c r="AC70" s="5"/>
      <c r="AD70" s="1">
        <f>0</f>
        <v>0</v>
      </c>
      <c r="AE70" s="1">
        <f>0</f>
        <v>0</v>
      </c>
      <c r="AF70" s="1">
        <f>0</f>
        <v>0</v>
      </c>
      <c r="AG70" s="1">
        <f>0</f>
        <v>0</v>
      </c>
      <c r="AH70" s="1">
        <f>0</f>
        <v>0</v>
      </c>
      <c r="AI70" s="1">
        <f>0</f>
        <v>0</v>
      </c>
      <c r="AJ70" s="1"/>
      <c r="AK70" s="1" t="b">
        <v>1</v>
      </c>
      <c r="AL70" s="1"/>
      <c r="AM70" s="1"/>
      <c r="AN70" s="1"/>
      <c r="AO70" s="1"/>
      <c r="AP70" s="1"/>
      <c r="AQ70" s="1"/>
      <c r="AR70" s="1"/>
      <c r="AS70" s="1"/>
      <c r="AT70" s="1"/>
      <c r="AU70" s="1"/>
      <c r="AV70" s="1"/>
      <c r="AW70" s="1"/>
      <c r="AX70" s="1"/>
      <c r="AY70" s="1"/>
      <c r="AZ70" s="1"/>
    </row>
    <row r="71" spans="1:52" ht="15" customHeight="1" x14ac:dyDescent="0.35">
      <c r="A71" s="1" t="s">
        <v>769</v>
      </c>
      <c r="B71" s="1" t="s">
        <v>770</v>
      </c>
      <c r="C71" s="1" t="s">
        <v>640</v>
      </c>
      <c r="D71" s="1"/>
      <c r="E71" s="1" t="s">
        <v>762</v>
      </c>
      <c r="F71" s="9" t="s">
        <v>645</v>
      </c>
      <c r="G71" s="1" t="s">
        <v>406</v>
      </c>
      <c r="H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 s="11">
        <f>0</f>
        <v>0</v>
      </c>
      <c r="J71" s="1">
        <f>0</f>
        <v>0</v>
      </c>
      <c r="K71" s="1"/>
      <c r="L71" s="1">
        <v>0</v>
      </c>
      <c r="M71" s="1">
        <f>0</f>
        <v>0</v>
      </c>
      <c r="N71" s="1">
        <f>0</f>
        <v>0</v>
      </c>
      <c r="O71" s="1">
        <f>0</f>
        <v>0</v>
      </c>
      <c r="P71" s="1"/>
      <c r="Q71" s="1">
        <v>0</v>
      </c>
      <c r="R71" s="1">
        <v>0</v>
      </c>
      <c r="S71" s="1">
        <f>0</f>
        <v>0</v>
      </c>
      <c r="T71" s="1">
        <f>0</f>
        <v>0</v>
      </c>
      <c r="U71" s="1"/>
      <c r="V71" s="1">
        <v>0</v>
      </c>
      <c r="W71" s="1">
        <v>0</v>
      </c>
      <c r="X71" s="1">
        <f>0</f>
        <v>0</v>
      </c>
      <c r="Y71" s="1">
        <f>0</f>
        <v>0</v>
      </c>
      <c r="Z71" s="1">
        <f>0</f>
        <v>0</v>
      </c>
      <c r="AA71" s="1"/>
      <c r="AB71" s="5"/>
      <c r="AC71" s="5"/>
      <c r="AD71" s="1">
        <f>0</f>
        <v>0</v>
      </c>
      <c r="AE71" s="1">
        <f>0</f>
        <v>0</v>
      </c>
      <c r="AF71" s="1">
        <f>0</f>
        <v>0</v>
      </c>
      <c r="AG71" s="1">
        <f>0</f>
        <v>0</v>
      </c>
      <c r="AH71" s="1">
        <f>0</f>
        <v>0</v>
      </c>
      <c r="AI71" s="1">
        <f>0</f>
        <v>0</v>
      </c>
      <c r="AJ71" s="1"/>
      <c r="AK71" s="1" t="b">
        <v>1</v>
      </c>
      <c r="AL71" s="1"/>
      <c r="AM71" s="1"/>
      <c r="AN71" s="1"/>
      <c r="AO71" s="1"/>
      <c r="AP71" s="1"/>
      <c r="AQ71" s="1"/>
      <c r="AR71" s="1"/>
      <c r="AS71" s="1"/>
      <c r="AT71" s="1"/>
      <c r="AU71" s="1"/>
      <c r="AV71" s="1"/>
      <c r="AW71" s="1"/>
      <c r="AX71" s="1"/>
      <c r="AY71" s="1"/>
      <c r="AZ71" s="1"/>
    </row>
    <row r="72" spans="1:52" ht="15" customHeight="1" x14ac:dyDescent="0.35">
      <c r="A72" s="1" t="s">
        <v>771</v>
      </c>
      <c r="B72" s="1" t="s">
        <v>772</v>
      </c>
      <c r="C72" s="1" t="s">
        <v>640</v>
      </c>
      <c r="D72" s="1"/>
      <c r="E72" s="1" t="s">
        <v>762</v>
      </c>
      <c r="F72" s="9" t="s">
        <v>645</v>
      </c>
      <c r="G72" s="1" t="s">
        <v>406</v>
      </c>
      <c r="H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 s="11">
        <f>0</f>
        <v>0</v>
      </c>
      <c r="J72" s="1">
        <f>0</f>
        <v>0</v>
      </c>
      <c r="K72" s="1"/>
      <c r="L72" s="1">
        <v>0</v>
      </c>
      <c r="M72" s="1">
        <f>0</f>
        <v>0</v>
      </c>
      <c r="N72" s="1">
        <f>0</f>
        <v>0</v>
      </c>
      <c r="O72" s="1">
        <f>0</f>
        <v>0</v>
      </c>
      <c r="P72" s="1"/>
      <c r="Q72" s="1">
        <v>0</v>
      </c>
      <c r="R72" s="1">
        <v>0</v>
      </c>
      <c r="S72" s="1">
        <f>0</f>
        <v>0</v>
      </c>
      <c r="T72" s="1">
        <f>0</f>
        <v>0</v>
      </c>
      <c r="U72" s="1"/>
      <c r="V72" s="1">
        <v>0</v>
      </c>
      <c r="W72" s="1">
        <v>0</v>
      </c>
      <c r="X72" s="1">
        <f>0</f>
        <v>0</v>
      </c>
      <c r="Y72" s="1">
        <f>0</f>
        <v>0</v>
      </c>
      <c r="Z72" s="1">
        <f>0</f>
        <v>0</v>
      </c>
      <c r="AA72" s="1"/>
      <c r="AB72" s="5"/>
      <c r="AC72" s="5"/>
      <c r="AD72" s="1">
        <f>0</f>
        <v>0</v>
      </c>
      <c r="AE72" s="1">
        <f>0</f>
        <v>0</v>
      </c>
      <c r="AF72" s="1">
        <f>0</f>
        <v>0</v>
      </c>
      <c r="AG72" s="1">
        <f>0</f>
        <v>0</v>
      </c>
      <c r="AH72" s="1">
        <f>0</f>
        <v>0</v>
      </c>
      <c r="AI72" s="1">
        <f>0</f>
        <v>0</v>
      </c>
      <c r="AJ72" s="1"/>
      <c r="AK72" s="1" t="b">
        <v>1</v>
      </c>
      <c r="AL72" s="1"/>
      <c r="AM72" s="1"/>
      <c r="AN72" s="1"/>
      <c r="AO72" s="1"/>
      <c r="AP72" s="1"/>
      <c r="AQ72" s="1"/>
      <c r="AR72" s="1"/>
      <c r="AS72" s="1"/>
      <c r="AT72" s="1"/>
      <c r="AU72" s="1"/>
      <c r="AV72" s="1"/>
      <c r="AW72" s="1"/>
      <c r="AX72" s="1"/>
      <c r="AY72" s="1"/>
      <c r="AZ72" s="1"/>
    </row>
    <row r="73" spans="1:52" ht="15" customHeight="1" x14ac:dyDescent="0.35">
      <c r="A73" s="1" t="s">
        <v>773</v>
      </c>
      <c r="B73" s="1" t="s">
        <v>774</v>
      </c>
      <c r="C73" s="1" t="s">
        <v>640</v>
      </c>
      <c r="D73" s="1"/>
      <c r="E73" s="1" t="s">
        <v>762</v>
      </c>
      <c r="F73" s="9" t="s">
        <v>645</v>
      </c>
      <c r="G73" s="1" t="s">
        <v>406</v>
      </c>
      <c r="H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 s="11">
        <f>0</f>
        <v>0</v>
      </c>
      <c r="J73" s="1">
        <f>0</f>
        <v>0</v>
      </c>
      <c r="K73" s="1"/>
      <c r="L73" s="1">
        <v>0</v>
      </c>
      <c r="M73" s="1">
        <f>0</f>
        <v>0</v>
      </c>
      <c r="N73" s="1">
        <f>0</f>
        <v>0</v>
      </c>
      <c r="O73" s="1">
        <f>0</f>
        <v>0</v>
      </c>
      <c r="P73" s="1"/>
      <c r="Q73" s="1">
        <v>0</v>
      </c>
      <c r="R73" s="1">
        <v>0</v>
      </c>
      <c r="S73" s="1">
        <f>0</f>
        <v>0</v>
      </c>
      <c r="T73" s="1">
        <f>0</f>
        <v>0</v>
      </c>
      <c r="U73" s="1"/>
      <c r="V73" s="1">
        <v>0</v>
      </c>
      <c r="W73" s="1">
        <v>0</v>
      </c>
      <c r="X73" s="1">
        <f>0</f>
        <v>0</v>
      </c>
      <c r="Y73" s="1">
        <f>0</f>
        <v>0</v>
      </c>
      <c r="Z73" s="1">
        <f>0</f>
        <v>0</v>
      </c>
      <c r="AA73" s="1"/>
      <c r="AB73" s="5"/>
      <c r="AC73" s="5"/>
      <c r="AD73" s="1">
        <f>0</f>
        <v>0</v>
      </c>
      <c r="AE73" s="1">
        <f>0</f>
        <v>0</v>
      </c>
      <c r="AF73" s="1">
        <f>0</f>
        <v>0</v>
      </c>
      <c r="AG73" s="1">
        <f>0</f>
        <v>0</v>
      </c>
      <c r="AH73" s="1">
        <f>0</f>
        <v>0</v>
      </c>
      <c r="AI73" s="1">
        <f>0</f>
        <v>0</v>
      </c>
      <c r="AJ73" s="1"/>
      <c r="AK73" s="1" t="b">
        <v>1</v>
      </c>
      <c r="AL73" s="1"/>
      <c r="AM73" s="1"/>
      <c r="AN73" s="1"/>
      <c r="AO73" s="1"/>
      <c r="AP73" s="1"/>
      <c r="AQ73" s="1"/>
      <c r="AR73" s="1"/>
      <c r="AS73" s="1"/>
      <c r="AT73" s="1"/>
      <c r="AU73" s="1"/>
      <c r="AV73" s="1"/>
      <c r="AW73" s="1"/>
      <c r="AX73" s="1"/>
      <c r="AY73" s="1"/>
      <c r="AZ73" s="1"/>
    </row>
    <row r="74" spans="1:52" ht="15" customHeight="1" x14ac:dyDescent="0.35">
      <c r="A74" s="1" t="s">
        <v>775</v>
      </c>
      <c r="B74" s="1" t="s">
        <v>776</v>
      </c>
      <c r="C74" s="1" t="s">
        <v>640</v>
      </c>
      <c r="D74" s="1"/>
      <c r="E74" s="1" t="s">
        <v>762</v>
      </c>
      <c r="F74" s="9" t="s">
        <v>645</v>
      </c>
      <c r="G74" s="1" t="s">
        <v>406</v>
      </c>
      <c r="H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4" s="11">
        <f>0</f>
        <v>0</v>
      </c>
      <c r="J74" s="1">
        <f>0</f>
        <v>0</v>
      </c>
      <c r="K74" s="1"/>
      <c r="L74" s="1">
        <v>0</v>
      </c>
      <c r="M74" s="1">
        <f>0</f>
        <v>0</v>
      </c>
      <c r="N74" s="1">
        <f>0</f>
        <v>0</v>
      </c>
      <c r="O74" s="1">
        <f>0</f>
        <v>0</v>
      </c>
      <c r="P74" s="1"/>
      <c r="Q74" s="1">
        <v>0</v>
      </c>
      <c r="R74" s="1">
        <v>0</v>
      </c>
      <c r="S74" s="1">
        <f>0</f>
        <v>0</v>
      </c>
      <c r="T74" s="1">
        <f>0</f>
        <v>0</v>
      </c>
      <c r="U74" s="1"/>
      <c r="V74" s="1">
        <v>0</v>
      </c>
      <c r="W74" s="1">
        <v>0</v>
      </c>
      <c r="X74" s="1">
        <f>0</f>
        <v>0</v>
      </c>
      <c r="Y74" s="1">
        <f>0</f>
        <v>0</v>
      </c>
      <c r="Z74" s="1">
        <f>0</f>
        <v>0</v>
      </c>
      <c r="AA74" s="1"/>
      <c r="AB74" s="5"/>
      <c r="AC74" s="5"/>
      <c r="AD74" s="1">
        <f>0</f>
        <v>0</v>
      </c>
      <c r="AE74" s="1">
        <f>0</f>
        <v>0</v>
      </c>
      <c r="AF74" s="1">
        <f>0</f>
        <v>0</v>
      </c>
      <c r="AG74" s="1">
        <f>0</f>
        <v>0</v>
      </c>
      <c r="AH74" s="1">
        <f>0</f>
        <v>0</v>
      </c>
      <c r="AI74" s="1">
        <f>0</f>
        <v>0</v>
      </c>
      <c r="AJ74" s="1"/>
      <c r="AK74" s="1" t="b">
        <v>1</v>
      </c>
      <c r="AL74" s="1"/>
      <c r="AM74" s="1"/>
      <c r="AN74" s="1"/>
      <c r="AO74" s="1"/>
      <c r="AP74" s="1"/>
      <c r="AQ74" s="1"/>
      <c r="AR74" s="1"/>
      <c r="AS74" s="1"/>
      <c r="AT74" s="1"/>
      <c r="AU74" s="1"/>
      <c r="AV74" s="1"/>
      <c r="AW74" s="1"/>
      <c r="AX74" s="1"/>
      <c r="AY74" s="1"/>
      <c r="AZ74" s="1"/>
    </row>
    <row r="75" spans="1:52" ht="15" customHeight="1" x14ac:dyDescent="0.35">
      <c r="A75" s="1" t="s">
        <v>777</v>
      </c>
      <c r="B75" s="1" t="s">
        <v>778</v>
      </c>
      <c r="C75" s="1" t="s">
        <v>640</v>
      </c>
      <c r="D75" s="1"/>
      <c r="E75" s="1" t="s">
        <v>762</v>
      </c>
      <c r="F75" s="9" t="s">
        <v>645</v>
      </c>
      <c r="G75" s="1" t="s">
        <v>406</v>
      </c>
      <c r="H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 s="11">
        <f>0</f>
        <v>0</v>
      </c>
      <c r="J75" s="1">
        <f>0</f>
        <v>0</v>
      </c>
      <c r="K75" s="1"/>
      <c r="L75" s="1">
        <v>0</v>
      </c>
      <c r="M75" s="1">
        <f>0</f>
        <v>0</v>
      </c>
      <c r="N75" s="1">
        <f>0</f>
        <v>0</v>
      </c>
      <c r="O75" s="1">
        <f>0</f>
        <v>0</v>
      </c>
      <c r="P75" s="1"/>
      <c r="Q75" s="1">
        <v>0</v>
      </c>
      <c r="R75" s="1">
        <v>0</v>
      </c>
      <c r="S75" s="1">
        <f>0</f>
        <v>0</v>
      </c>
      <c r="T75" s="1">
        <f>0</f>
        <v>0</v>
      </c>
      <c r="U75" s="1"/>
      <c r="V75" s="1">
        <v>0</v>
      </c>
      <c r="W75" s="1">
        <v>0</v>
      </c>
      <c r="X75" s="1">
        <f>0</f>
        <v>0</v>
      </c>
      <c r="Y75" s="1">
        <f>0</f>
        <v>0</v>
      </c>
      <c r="Z75" s="1">
        <f>0</f>
        <v>0</v>
      </c>
      <c r="AA75" s="1"/>
      <c r="AB75" s="5"/>
      <c r="AC75" s="5"/>
      <c r="AD75" s="1">
        <f>0</f>
        <v>0</v>
      </c>
      <c r="AE75" s="1">
        <f>0</f>
        <v>0</v>
      </c>
      <c r="AF75" s="1">
        <f>0</f>
        <v>0</v>
      </c>
      <c r="AG75" s="1">
        <f>0</f>
        <v>0</v>
      </c>
      <c r="AH75" s="1">
        <f>0</f>
        <v>0</v>
      </c>
      <c r="AI75" s="1">
        <f>0</f>
        <v>0</v>
      </c>
      <c r="AJ75" s="1"/>
      <c r="AK75" s="1" t="b">
        <v>1</v>
      </c>
      <c r="AL75" s="1"/>
      <c r="AM75" s="1"/>
      <c r="AN75" s="1"/>
      <c r="AO75" s="1"/>
      <c r="AP75" s="1"/>
      <c r="AQ75" s="1"/>
      <c r="AR75" s="1"/>
      <c r="AS75" s="1"/>
      <c r="AT75" s="1"/>
      <c r="AU75" s="1"/>
      <c r="AV75" s="1"/>
      <c r="AW75" s="1"/>
      <c r="AX75" s="1"/>
      <c r="AY75" s="1"/>
      <c r="AZ75" s="1"/>
    </row>
    <row r="76" spans="1:52" ht="15" customHeight="1" x14ac:dyDescent="0.35">
      <c r="A76" s="1" t="s">
        <v>779</v>
      </c>
      <c r="B76" s="1" t="s">
        <v>780</v>
      </c>
      <c r="C76" s="1" t="s">
        <v>640</v>
      </c>
      <c r="D76" s="1"/>
      <c r="E76" s="1" t="s">
        <v>762</v>
      </c>
      <c r="F76" s="9" t="s">
        <v>645</v>
      </c>
      <c r="G76" s="1" t="s">
        <v>406</v>
      </c>
      <c r="H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6" s="11">
        <f>0</f>
        <v>0</v>
      </c>
      <c r="J76" s="1">
        <f>0</f>
        <v>0</v>
      </c>
      <c r="K76" s="1"/>
      <c r="L76" s="1">
        <v>0</v>
      </c>
      <c r="M76" s="1">
        <f>0</f>
        <v>0</v>
      </c>
      <c r="N76" s="1">
        <f>0</f>
        <v>0</v>
      </c>
      <c r="O76" s="1">
        <f>0</f>
        <v>0</v>
      </c>
      <c r="P76" s="1"/>
      <c r="Q76" s="1">
        <v>0</v>
      </c>
      <c r="R76" s="1">
        <v>0</v>
      </c>
      <c r="S76" s="1">
        <f>0</f>
        <v>0</v>
      </c>
      <c r="T76" s="1">
        <f>0</f>
        <v>0</v>
      </c>
      <c r="U76" s="1"/>
      <c r="V76" s="1">
        <v>0</v>
      </c>
      <c r="W76" s="1">
        <v>0</v>
      </c>
      <c r="X76" s="1">
        <f>0</f>
        <v>0</v>
      </c>
      <c r="Y76" s="1">
        <f>0</f>
        <v>0</v>
      </c>
      <c r="Z76" s="1">
        <f>0</f>
        <v>0</v>
      </c>
      <c r="AA76" s="1"/>
      <c r="AB76" s="5"/>
      <c r="AC76" s="5"/>
      <c r="AD76" s="1">
        <f>0</f>
        <v>0</v>
      </c>
      <c r="AE76" s="1">
        <f>0</f>
        <v>0</v>
      </c>
      <c r="AF76" s="1">
        <f>0</f>
        <v>0</v>
      </c>
      <c r="AG76" s="1">
        <f>0</f>
        <v>0</v>
      </c>
      <c r="AH76" s="1">
        <f>0</f>
        <v>0</v>
      </c>
      <c r="AI76" s="1">
        <f>0</f>
        <v>0</v>
      </c>
      <c r="AJ76" s="1"/>
      <c r="AK76" s="1" t="b">
        <v>1</v>
      </c>
      <c r="AL76" s="1"/>
      <c r="AM76" s="1"/>
      <c r="AN76" s="1"/>
      <c r="AO76" s="1"/>
      <c r="AP76" s="1"/>
      <c r="AQ76" s="1"/>
      <c r="AR76" s="1"/>
      <c r="AS76" s="1"/>
      <c r="AT76" s="1"/>
      <c r="AU76" s="1"/>
      <c r="AV76" s="1"/>
      <c r="AW76" s="1"/>
      <c r="AX76" s="1"/>
      <c r="AY76" s="1"/>
      <c r="AZ76" s="1"/>
    </row>
    <row r="77" spans="1:52" ht="15" customHeight="1" x14ac:dyDescent="0.35">
      <c r="A77" s="1" t="s">
        <v>781</v>
      </c>
      <c r="B77" s="1" t="s">
        <v>782</v>
      </c>
      <c r="C77" s="1" t="s">
        <v>640</v>
      </c>
      <c r="D77" s="1"/>
      <c r="E77" s="1" t="s">
        <v>762</v>
      </c>
      <c r="F77" s="9" t="s">
        <v>645</v>
      </c>
      <c r="G77" s="1" t="s">
        <v>406</v>
      </c>
      <c r="H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7" s="11">
        <f>0</f>
        <v>0</v>
      </c>
      <c r="J77" s="1">
        <f>0</f>
        <v>0</v>
      </c>
      <c r="K77" s="1"/>
      <c r="L77" s="1">
        <v>0</v>
      </c>
      <c r="M77" s="1">
        <f>0</f>
        <v>0</v>
      </c>
      <c r="N77" s="1">
        <f>0</f>
        <v>0</v>
      </c>
      <c r="O77" s="1">
        <f>0</f>
        <v>0</v>
      </c>
      <c r="P77" s="1"/>
      <c r="Q77" s="1">
        <v>0</v>
      </c>
      <c r="R77" s="1">
        <v>0</v>
      </c>
      <c r="S77" s="1">
        <f>0</f>
        <v>0</v>
      </c>
      <c r="T77" s="1">
        <f>0</f>
        <v>0</v>
      </c>
      <c r="U77" s="1"/>
      <c r="V77" s="1">
        <v>0</v>
      </c>
      <c r="W77" s="1">
        <v>0</v>
      </c>
      <c r="X77" s="1">
        <f>0</f>
        <v>0</v>
      </c>
      <c r="Y77" s="1">
        <f>0</f>
        <v>0</v>
      </c>
      <c r="Z77" s="1">
        <f>0</f>
        <v>0</v>
      </c>
      <c r="AA77" s="1"/>
      <c r="AB77" s="5"/>
      <c r="AC77" s="5"/>
      <c r="AD77" s="1">
        <f>0</f>
        <v>0</v>
      </c>
      <c r="AE77" s="1">
        <f>0</f>
        <v>0</v>
      </c>
      <c r="AF77" s="1">
        <f>0</f>
        <v>0</v>
      </c>
      <c r="AG77" s="1">
        <f>0</f>
        <v>0</v>
      </c>
      <c r="AH77" s="1">
        <f>0</f>
        <v>0</v>
      </c>
      <c r="AI77" s="1">
        <f>0</f>
        <v>0</v>
      </c>
      <c r="AJ77" s="1"/>
      <c r="AK77" s="1" t="b">
        <v>1</v>
      </c>
      <c r="AL77" s="1"/>
      <c r="AM77" s="1"/>
      <c r="AN77" s="1"/>
      <c r="AO77" s="1"/>
      <c r="AP77" s="1"/>
      <c r="AQ77" s="1"/>
      <c r="AR77" s="1"/>
      <c r="AS77" s="1"/>
      <c r="AT77" s="1"/>
      <c r="AU77" s="1"/>
      <c r="AV77" s="1"/>
      <c r="AW77" s="1"/>
      <c r="AX77" s="1"/>
      <c r="AY77" s="1"/>
      <c r="AZ77" s="1"/>
    </row>
    <row r="78" spans="1:52" ht="15" customHeight="1" x14ac:dyDescent="0.35">
      <c r="A78" s="1" t="s">
        <v>783</v>
      </c>
      <c r="B78" s="1" t="s">
        <v>784</v>
      </c>
      <c r="C78" s="1" t="s">
        <v>640</v>
      </c>
      <c r="D78" s="1"/>
      <c r="E78" s="1" t="s">
        <v>762</v>
      </c>
      <c r="F78" s="9" t="s">
        <v>645</v>
      </c>
      <c r="G78" s="1" t="s">
        <v>406</v>
      </c>
      <c r="H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8" s="11">
        <f>0</f>
        <v>0</v>
      </c>
      <c r="J78" s="1">
        <f>0</f>
        <v>0</v>
      </c>
      <c r="K78" s="1"/>
      <c r="L78" s="1">
        <v>0</v>
      </c>
      <c r="M78" s="1">
        <f>0</f>
        <v>0</v>
      </c>
      <c r="N78" s="1">
        <f>0</f>
        <v>0</v>
      </c>
      <c r="O78" s="1">
        <f>0</f>
        <v>0</v>
      </c>
      <c r="P78" s="1"/>
      <c r="Q78" s="1">
        <v>0</v>
      </c>
      <c r="R78" s="1">
        <v>0</v>
      </c>
      <c r="S78" s="1">
        <f>0</f>
        <v>0</v>
      </c>
      <c r="T78" s="1">
        <f>0</f>
        <v>0</v>
      </c>
      <c r="U78" s="1"/>
      <c r="V78" s="1">
        <v>0</v>
      </c>
      <c r="W78" s="1">
        <v>0</v>
      </c>
      <c r="X78" s="1">
        <f>0</f>
        <v>0</v>
      </c>
      <c r="Y78" s="1">
        <f>0</f>
        <v>0</v>
      </c>
      <c r="Z78" s="1">
        <f>0</f>
        <v>0</v>
      </c>
      <c r="AA78" s="1"/>
      <c r="AB78" s="5"/>
      <c r="AC78" s="5"/>
      <c r="AD78" s="1">
        <f>0</f>
        <v>0</v>
      </c>
      <c r="AE78" s="1">
        <f>0</f>
        <v>0</v>
      </c>
      <c r="AF78" s="1">
        <f>0</f>
        <v>0</v>
      </c>
      <c r="AG78" s="1">
        <f>0</f>
        <v>0</v>
      </c>
      <c r="AH78" s="1">
        <f>0</f>
        <v>0</v>
      </c>
      <c r="AI78" s="1">
        <f>0</f>
        <v>0</v>
      </c>
      <c r="AJ78" s="1"/>
      <c r="AK78" s="1" t="b">
        <v>1</v>
      </c>
      <c r="AL78" s="1"/>
      <c r="AM78" s="1"/>
      <c r="AN78" s="1"/>
      <c r="AO78" s="1"/>
      <c r="AP78" s="1"/>
      <c r="AQ78" s="1"/>
      <c r="AR78" s="1"/>
      <c r="AS78" s="1"/>
      <c r="AT78" s="1"/>
      <c r="AU78" s="1"/>
      <c r="AV78" s="1"/>
      <c r="AW78" s="1"/>
      <c r="AX78" s="1"/>
      <c r="AY78" s="1"/>
      <c r="AZ78" s="1"/>
    </row>
    <row r="79" spans="1:52" ht="15" customHeight="1" x14ac:dyDescent="0.35">
      <c r="A79" s="1" t="s">
        <v>785</v>
      </c>
      <c r="B79" s="1" t="s">
        <v>761</v>
      </c>
      <c r="C79" s="1" t="s">
        <v>640</v>
      </c>
      <c r="D79" s="1"/>
      <c r="E79" s="1" t="s">
        <v>762</v>
      </c>
      <c r="F79" s="9" t="s">
        <v>645</v>
      </c>
      <c r="G79" s="1" t="s">
        <v>406</v>
      </c>
      <c r="H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 s="11">
        <f>0</f>
        <v>0</v>
      </c>
      <c r="J79" s="1">
        <f>0</f>
        <v>0</v>
      </c>
      <c r="K79" s="1"/>
      <c r="L79" s="1">
        <v>0</v>
      </c>
      <c r="M79" s="1">
        <f>0</f>
        <v>0</v>
      </c>
      <c r="N79" s="1">
        <f>0</f>
        <v>0</v>
      </c>
      <c r="O79" s="1">
        <f>0</f>
        <v>0</v>
      </c>
      <c r="P79" s="1"/>
      <c r="Q79" s="1">
        <v>0</v>
      </c>
      <c r="R79" s="1">
        <v>0</v>
      </c>
      <c r="S79" s="1">
        <f>0</f>
        <v>0</v>
      </c>
      <c r="T79" s="1">
        <f>0</f>
        <v>0</v>
      </c>
      <c r="U79" s="1"/>
      <c r="V79" s="1">
        <v>0</v>
      </c>
      <c r="W79" s="1">
        <v>0</v>
      </c>
      <c r="X79" s="1">
        <f>0</f>
        <v>0</v>
      </c>
      <c r="Y79" s="1">
        <f>0</f>
        <v>0</v>
      </c>
      <c r="Z79" s="1">
        <f>0</f>
        <v>0</v>
      </c>
      <c r="AA79" s="1"/>
      <c r="AB79" s="5"/>
      <c r="AC79" s="5"/>
      <c r="AD79" s="1">
        <f>0</f>
        <v>0</v>
      </c>
      <c r="AE79" s="1">
        <f>0</f>
        <v>0</v>
      </c>
      <c r="AF79" s="1">
        <f>0</f>
        <v>0</v>
      </c>
      <c r="AG79" s="1">
        <f>0</f>
        <v>0</v>
      </c>
      <c r="AH79" s="1">
        <f>0</f>
        <v>0</v>
      </c>
      <c r="AI79" s="1">
        <f>0</f>
        <v>0</v>
      </c>
      <c r="AJ79" s="1"/>
      <c r="AK79" s="1" t="b">
        <v>1</v>
      </c>
      <c r="AL79" s="1"/>
      <c r="AM79" s="1"/>
      <c r="AN79" s="1"/>
      <c r="AO79" s="1"/>
      <c r="AP79" s="1"/>
      <c r="AQ79" s="1"/>
      <c r="AR79" s="1"/>
      <c r="AS79" s="1"/>
      <c r="AT79" s="1"/>
      <c r="AU79" s="1"/>
      <c r="AV79" s="1"/>
      <c r="AW79" s="1"/>
      <c r="AX79" s="1"/>
      <c r="AY79" s="1"/>
      <c r="AZ79" s="1"/>
    </row>
    <row r="80" spans="1:52" ht="15" customHeight="1" x14ac:dyDescent="0.35">
      <c r="A80" s="1" t="s">
        <v>786</v>
      </c>
      <c r="B80" s="1" t="s">
        <v>764</v>
      </c>
      <c r="C80" s="1" t="s">
        <v>640</v>
      </c>
      <c r="D80" s="1"/>
      <c r="E80" s="1" t="s">
        <v>762</v>
      </c>
      <c r="F80" s="9" t="s">
        <v>645</v>
      </c>
      <c r="G80" s="1" t="s">
        <v>406</v>
      </c>
      <c r="H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 s="11">
        <f>0</f>
        <v>0</v>
      </c>
      <c r="J80" s="1">
        <f>0</f>
        <v>0</v>
      </c>
      <c r="K80" s="1"/>
      <c r="L80" s="1">
        <v>0</v>
      </c>
      <c r="M80" s="1">
        <f>0</f>
        <v>0</v>
      </c>
      <c r="N80" s="1">
        <f>0</f>
        <v>0</v>
      </c>
      <c r="O80" s="1">
        <f>0</f>
        <v>0</v>
      </c>
      <c r="P80" s="1"/>
      <c r="Q80" s="1">
        <v>0</v>
      </c>
      <c r="R80" s="1">
        <v>0</v>
      </c>
      <c r="S80" s="1">
        <f>0</f>
        <v>0</v>
      </c>
      <c r="T80" s="1">
        <f>0</f>
        <v>0</v>
      </c>
      <c r="U80" s="1"/>
      <c r="V80" s="1">
        <v>0</v>
      </c>
      <c r="W80" s="1">
        <v>0</v>
      </c>
      <c r="X80" s="1">
        <f>0</f>
        <v>0</v>
      </c>
      <c r="Y80" s="1">
        <f>0</f>
        <v>0</v>
      </c>
      <c r="Z80" s="1">
        <f>0</f>
        <v>0</v>
      </c>
      <c r="AA80" s="1"/>
      <c r="AB80" s="5"/>
      <c r="AC80" s="5"/>
      <c r="AD80" s="1">
        <f>0</f>
        <v>0</v>
      </c>
      <c r="AE80" s="1">
        <f>0</f>
        <v>0</v>
      </c>
      <c r="AF80" s="1">
        <f>0</f>
        <v>0</v>
      </c>
      <c r="AG80" s="1">
        <f>0</f>
        <v>0</v>
      </c>
      <c r="AH80" s="1">
        <f>0</f>
        <v>0</v>
      </c>
      <c r="AI80" s="1">
        <f>0</f>
        <v>0</v>
      </c>
      <c r="AJ80" s="1"/>
      <c r="AK80" s="1" t="b">
        <v>1</v>
      </c>
      <c r="AL80" s="1"/>
      <c r="AM80" s="1"/>
      <c r="AN80" s="1"/>
      <c r="AO80" s="1"/>
      <c r="AP80" s="1"/>
      <c r="AQ80" s="1"/>
      <c r="AR80" s="1"/>
      <c r="AS80" s="1"/>
      <c r="AT80" s="1"/>
      <c r="AU80" s="1"/>
      <c r="AV80" s="1"/>
      <c r="AW80" s="1"/>
      <c r="AX80" s="1"/>
      <c r="AY80" s="1"/>
      <c r="AZ80" s="1"/>
    </row>
    <row r="81" spans="1:52" ht="15" customHeight="1" x14ac:dyDescent="0.35">
      <c r="A81" s="1" t="s">
        <v>787</v>
      </c>
      <c r="B81" s="1" t="s">
        <v>788</v>
      </c>
      <c r="C81" s="1" t="s">
        <v>640</v>
      </c>
      <c r="D81" s="1"/>
      <c r="E81" s="1" t="s">
        <v>762</v>
      </c>
      <c r="F81" s="9" t="s">
        <v>645</v>
      </c>
      <c r="G81" s="1" t="s">
        <v>406</v>
      </c>
      <c r="H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1" s="11">
        <f>0</f>
        <v>0</v>
      </c>
      <c r="J81" s="1">
        <f>0</f>
        <v>0</v>
      </c>
      <c r="K81" s="1"/>
      <c r="L81" s="1">
        <v>0</v>
      </c>
      <c r="M81" s="1">
        <f>0</f>
        <v>0</v>
      </c>
      <c r="N81" s="1">
        <f>0</f>
        <v>0</v>
      </c>
      <c r="O81" s="1">
        <f>0</f>
        <v>0</v>
      </c>
      <c r="P81" s="1"/>
      <c r="Q81" s="1">
        <v>0</v>
      </c>
      <c r="R81" s="1">
        <v>0</v>
      </c>
      <c r="S81" s="1">
        <f>0</f>
        <v>0</v>
      </c>
      <c r="T81" s="1">
        <f>0</f>
        <v>0</v>
      </c>
      <c r="U81" s="1"/>
      <c r="V81" s="1">
        <v>0</v>
      </c>
      <c r="W81" s="1">
        <v>0</v>
      </c>
      <c r="X81" s="1">
        <f>0</f>
        <v>0</v>
      </c>
      <c r="Y81" s="1">
        <f>0</f>
        <v>0</v>
      </c>
      <c r="Z81" s="1">
        <f>0</f>
        <v>0</v>
      </c>
      <c r="AA81" s="1"/>
      <c r="AB81" s="5"/>
      <c r="AC81" s="5"/>
      <c r="AD81" s="1">
        <f>0</f>
        <v>0</v>
      </c>
      <c r="AE81" s="1">
        <f>0</f>
        <v>0</v>
      </c>
      <c r="AF81" s="1">
        <f>0</f>
        <v>0</v>
      </c>
      <c r="AG81" s="1">
        <f>0</f>
        <v>0</v>
      </c>
      <c r="AH81" s="1">
        <f>0</f>
        <v>0</v>
      </c>
      <c r="AI81" s="1">
        <f>0</f>
        <v>0</v>
      </c>
      <c r="AJ81" s="1"/>
      <c r="AK81" s="1" t="b">
        <v>1</v>
      </c>
      <c r="AL81" s="1"/>
      <c r="AM81" s="1"/>
      <c r="AN81" s="1"/>
      <c r="AO81" s="1"/>
      <c r="AP81" s="1"/>
      <c r="AQ81" s="1"/>
      <c r="AR81" s="1"/>
      <c r="AS81" s="1"/>
      <c r="AT81" s="1"/>
      <c r="AU81" s="1"/>
      <c r="AV81" s="1"/>
      <c r="AW81" s="1"/>
      <c r="AX81" s="1"/>
      <c r="AY81" s="1"/>
      <c r="AZ81" s="1"/>
    </row>
    <row r="82" spans="1:52" ht="15" customHeight="1" x14ac:dyDescent="0.35">
      <c r="A82" s="1" t="s">
        <v>789</v>
      </c>
      <c r="B82" s="1" t="s">
        <v>790</v>
      </c>
      <c r="C82" s="1" t="s">
        <v>640</v>
      </c>
      <c r="D82" s="1"/>
      <c r="E82" s="1" t="s">
        <v>762</v>
      </c>
      <c r="F82" s="9" t="s">
        <v>645</v>
      </c>
      <c r="G82" s="1" t="s">
        <v>406</v>
      </c>
      <c r="H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2" s="11">
        <f>0</f>
        <v>0</v>
      </c>
      <c r="J82" s="1">
        <f>0</f>
        <v>0</v>
      </c>
      <c r="K82" s="1"/>
      <c r="L82" s="1">
        <v>0</v>
      </c>
      <c r="M82" s="1">
        <f>0</f>
        <v>0</v>
      </c>
      <c r="N82" s="1">
        <f>0</f>
        <v>0</v>
      </c>
      <c r="O82" s="1">
        <f>0</f>
        <v>0</v>
      </c>
      <c r="P82" s="1"/>
      <c r="Q82" s="1">
        <v>0</v>
      </c>
      <c r="R82" s="1">
        <v>0</v>
      </c>
      <c r="S82" s="1">
        <f>0</f>
        <v>0</v>
      </c>
      <c r="T82" s="1">
        <f>0</f>
        <v>0</v>
      </c>
      <c r="U82" s="1"/>
      <c r="V82" s="1">
        <v>0</v>
      </c>
      <c r="W82" s="1">
        <v>0</v>
      </c>
      <c r="X82" s="1">
        <f>0</f>
        <v>0</v>
      </c>
      <c r="Y82" s="1">
        <f>0</f>
        <v>0</v>
      </c>
      <c r="Z82" s="1">
        <f>0</f>
        <v>0</v>
      </c>
      <c r="AA82" s="1"/>
      <c r="AB82" s="5"/>
      <c r="AC82" s="5"/>
      <c r="AD82" s="1">
        <f>0</f>
        <v>0</v>
      </c>
      <c r="AE82" s="1">
        <f>0</f>
        <v>0</v>
      </c>
      <c r="AF82" s="1">
        <f>0</f>
        <v>0</v>
      </c>
      <c r="AG82" s="1">
        <f>0</f>
        <v>0</v>
      </c>
      <c r="AH82" s="1">
        <f>0</f>
        <v>0</v>
      </c>
      <c r="AI82" s="1">
        <f>0</f>
        <v>0</v>
      </c>
      <c r="AJ82" s="1"/>
      <c r="AK82" s="1" t="b">
        <v>1</v>
      </c>
      <c r="AL82" s="1"/>
      <c r="AM82" s="1"/>
      <c r="AN82" s="1"/>
      <c r="AO82" s="1"/>
      <c r="AP82" s="1"/>
      <c r="AQ82" s="1"/>
      <c r="AR82" s="1"/>
      <c r="AS82" s="1"/>
      <c r="AT82" s="1"/>
      <c r="AU82" s="1"/>
      <c r="AV82" s="1"/>
      <c r="AW82" s="1"/>
      <c r="AX82" s="1"/>
      <c r="AY82" s="1"/>
      <c r="AZ82" s="1"/>
    </row>
    <row r="83" spans="1:52" ht="15" customHeight="1" x14ac:dyDescent="0.35">
      <c r="A83" s="1" t="s">
        <v>791</v>
      </c>
      <c r="B83" s="1" t="s">
        <v>792</v>
      </c>
      <c r="C83" s="1" t="s">
        <v>640</v>
      </c>
      <c r="D83" s="1"/>
      <c r="E83" s="1" t="s">
        <v>762</v>
      </c>
      <c r="F83" s="9" t="s">
        <v>645</v>
      </c>
      <c r="G83" s="1" t="s">
        <v>406</v>
      </c>
      <c r="H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3" s="11">
        <f>0</f>
        <v>0</v>
      </c>
      <c r="J83" s="1">
        <f>0</f>
        <v>0</v>
      </c>
      <c r="K83" s="1"/>
      <c r="L83" s="1">
        <v>0</v>
      </c>
      <c r="M83" s="1">
        <f>0</f>
        <v>0</v>
      </c>
      <c r="N83" s="1">
        <f>0</f>
        <v>0</v>
      </c>
      <c r="O83" s="1">
        <f>0</f>
        <v>0</v>
      </c>
      <c r="P83" s="1"/>
      <c r="Q83" s="1">
        <v>0</v>
      </c>
      <c r="R83" s="1">
        <v>0</v>
      </c>
      <c r="S83" s="1">
        <f>0</f>
        <v>0</v>
      </c>
      <c r="T83" s="1">
        <f>0</f>
        <v>0</v>
      </c>
      <c r="U83" s="1"/>
      <c r="V83" s="1">
        <v>0</v>
      </c>
      <c r="W83" s="1">
        <v>0</v>
      </c>
      <c r="X83" s="1">
        <f>0</f>
        <v>0</v>
      </c>
      <c r="Y83" s="1">
        <f>0</f>
        <v>0</v>
      </c>
      <c r="Z83" s="1">
        <f>0</f>
        <v>0</v>
      </c>
      <c r="AA83" s="1"/>
      <c r="AB83" s="5"/>
      <c r="AC83" s="5"/>
      <c r="AD83" s="1">
        <f>0</f>
        <v>0</v>
      </c>
      <c r="AE83" s="1">
        <f>0</f>
        <v>0</v>
      </c>
      <c r="AF83" s="1">
        <f>0</f>
        <v>0</v>
      </c>
      <c r="AG83" s="1">
        <f>0</f>
        <v>0</v>
      </c>
      <c r="AH83" s="1">
        <f>0</f>
        <v>0</v>
      </c>
      <c r="AI83" s="1">
        <f>0</f>
        <v>0</v>
      </c>
      <c r="AJ83" s="1"/>
      <c r="AK83" s="1" t="b">
        <v>1</v>
      </c>
      <c r="AL83" s="1"/>
      <c r="AM83" s="1"/>
      <c r="AN83" s="1"/>
      <c r="AO83" s="1"/>
      <c r="AP83" s="1"/>
      <c r="AQ83" s="1"/>
      <c r="AR83" s="1"/>
      <c r="AS83" s="1"/>
      <c r="AT83" s="1"/>
      <c r="AU83" s="1"/>
      <c r="AV83" s="1"/>
      <c r="AW83" s="1"/>
      <c r="AX83" s="1"/>
      <c r="AY83" s="1"/>
      <c r="AZ83" s="1"/>
    </row>
    <row r="84" spans="1:52" ht="15" customHeight="1" x14ac:dyDescent="0.35">
      <c r="A84" s="1" t="s">
        <v>793</v>
      </c>
      <c r="B84" s="1" t="s">
        <v>794</v>
      </c>
      <c r="C84" s="1" t="s">
        <v>640</v>
      </c>
      <c r="D84" s="1"/>
      <c r="E84" s="1" t="s">
        <v>762</v>
      </c>
      <c r="F84" s="9" t="s">
        <v>645</v>
      </c>
      <c r="G84" s="1" t="s">
        <v>406</v>
      </c>
      <c r="H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4" s="11">
        <f>0</f>
        <v>0</v>
      </c>
      <c r="J84" s="1">
        <f>0</f>
        <v>0</v>
      </c>
      <c r="K84" s="1"/>
      <c r="L84" s="1">
        <v>0</v>
      </c>
      <c r="M84" s="1">
        <f>0</f>
        <v>0</v>
      </c>
      <c r="N84" s="1">
        <f>0</f>
        <v>0</v>
      </c>
      <c r="O84" s="1">
        <f>0</f>
        <v>0</v>
      </c>
      <c r="P84" s="1"/>
      <c r="Q84" s="1">
        <v>0</v>
      </c>
      <c r="R84" s="1">
        <v>0</v>
      </c>
      <c r="S84" s="1">
        <f>0</f>
        <v>0</v>
      </c>
      <c r="T84" s="1">
        <f>0</f>
        <v>0</v>
      </c>
      <c r="U84" s="1"/>
      <c r="V84" s="1">
        <v>0</v>
      </c>
      <c r="W84" s="1">
        <v>0</v>
      </c>
      <c r="X84" s="1">
        <f>0</f>
        <v>0</v>
      </c>
      <c r="Y84" s="1">
        <f>0</f>
        <v>0</v>
      </c>
      <c r="Z84" s="1">
        <f>0</f>
        <v>0</v>
      </c>
      <c r="AA84" s="1"/>
      <c r="AB84" s="5"/>
      <c r="AC84" s="5"/>
      <c r="AD84" s="1">
        <f>0</f>
        <v>0</v>
      </c>
      <c r="AE84" s="1">
        <f>0</f>
        <v>0</v>
      </c>
      <c r="AF84" s="1">
        <f>0</f>
        <v>0</v>
      </c>
      <c r="AG84" s="1">
        <f>0</f>
        <v>0</v>
      </c>
      <c r="AH84" s="1">
        <f>0</f>
        <v>0</v>
      </c>
      <c r="AI84" s="1">
        <f>0</f>
        <v>0</v>
      </c>
      <c r="AJ84" s="1"/>
      <c r="AK84" s="1" t="b">
        <v>1</v>
      </c>
      <c r="AL84" s="1"/>
      <c r="AM84" s="1"/>
      <c r="AN84" s="1"/>
      <c r="AO84" s="1"/>
      <c r="AP84" s="1"/>
      <c r="AQ84" s="1"/>
      <c r="AR84" s="1"/>
      <c r="AS84" s="1"/>
      <c r="AT84" s="1"/>
      <c r="AU84" s="1"/>
      <c r="AV84" s="1"/>
      <c r="AW84" s="1"/>
      <c r="AX84" s="1"/>
      <c r="AY84" s="1"/>
      <c r="AZ84" s="1"/>
    </row>
    <row r="85" spans="1:52" ht="15" customHeight="1" x14ac:dyDescent="0.35">
      <c r="A85" s="1" t="s">
        <v>795</v>
      </c>
      <c r="B85" s="1" t="s">
        <v>788</v>
      </c>
      <c r="C85" s="1" t="s">
        <v>640</v>
      </c>
      <c r="D85" s="1"/>
      <c r="E85" s="1" t="s">
        <v>762</v>
      </c>
      <c r="F85" s="9" t="s">
        <v>645</v>
      </c>
      <c r="G85" s="1" t="s">
        <v>406</v>
      </c>
      <c r="H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5" s="11">
        <f>0</f>
        <v>0</v>
      </c>
      <c r="J85" s="1">
        <f>0</f>
        <v>0</v>
      </c>
      <c r="K85" s="1"/>
      <c r="L85" s="1">
        <v>0</v>
      </c>
      <c r="M85" s="1">
        <f>0</f>
        <v>0</v>
      </c>
      <c r="N85" s="1">
        <f>0</f>
        <v>0</v>
      </c>
      <c r="O85" s="1">
        <f>0</f>
        <v>0</v>
      </c>
      <c r="P85" s="1"/>
      <c r="Q85" s="1">
        <v>0</v>
      </c>
      <c r="R85" s="1">
        <v>0</v>
      </c>
      <c r="S85" s="1">
        <f>0</f>
        <v>0</v>
      </c>
      <c r="T85" s="1">
        <f>0</f>
        <v>0</v>
      </c>
      <c r="U85" s="1"/>
      <c r="V85" s="1">
        <v>0</v>
      </c>
      <c r="W85" s="1">
        <v>0</v>
      </c>
      <c r="X85" s="1">
        <f>0</f>
        <v>0</v>
      </c>
      <c r="Y85" s="1">
        <f>0</f>
        <v>0</v>
      </c>
      <c r="Z85" s="1">
        <f>0</f>
        <v>0</v>
      </c>
      <c r="AA85" s="1"/>
      <c r="AB85" s="5"/>
      <c r="AC85" s="5"/>
      <c r="AD85" s="1">
        <f>0</f>
        <v>0</v>
      </c>
      <c r="AE85" s="1">
        <f>0</f>
        <v>0</v>
      </c>
      <c r="AF85" s="1">
        <f>0</f>
        <v>0</v>
      </c>
      <c r="AG85" s="1">
        <f>0</f>
        <v>0</v>
      </c>
      <c r="AH85" s="1">
        <f>0</f>
        <v>0</v>
      </c>
      <c r="AI85" s="1">
        <f>0</f>
        <v>0</v>
      </c>
      <c r="AJ85" s="1"/>
      <c r="AK85" s="1" t="b">
        <v>1</v>
      </c>
      <c r="AL85" s="1"/>
      <c r="AM85" s="1"/>
      <c r="AN85" s="1"/>
      <c r="AO85" s="1"/>
      <c r="AP85" s="1"/>
      <c r="AQ85" s="1"/>
      <c r="AR85" s="1"/>
      <c r="AS85" s="1"/>
      <c r="AT85" s="1"/>
      <c r="AU85" s="1"/>
      <c r="AV85" s="1"/>
      <c r="AW85" s="1"/>
      <c r="AX85" s="1"/>
      <c r="AY85" s="1"/>
      <c r="AZ85" s="1"/>
    </row>
    <row r="86" spans="1:52" ht="15" customHeight="1" x14ac:dyDescent="0.35">
      <c r="A86" s="1" t="s">
        <v>796</v>
      </c>
      <c r="B86" s="1" t="s">
        <v>790</v>
      </c>
      <c r="C86" s="1" t="s">
        <v>640</v>
      </c>
      <c r="D86" s="1"/>
      <c r="E86" s="1" t="s">
        <v>762</v>
      </c>
      <c r="F86" s="9" t="s">
        <v>645</v>
      </c>
      <c r="G86" s="1" t="s">
        <v>406</v>
      </c>
      <c r="H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6" s="11">
        <f>0</f>
        <v>0</v>
      </c>
      <c r="J86" s="1">
        <f>0</f>
        <v>0</v>
      </c>
      <c r="K86" s="1"/>
      <c r="L86" s="1">
        <v>0</v>
      </c>
      <c r="M86" s="1">
        <f>0</f>
        <v>0</v>
      </c>
      <c r="N86" s="1">
        <f>0</f>
        <v>0</v>
      </c>
      <c r="O86" s="1">
        <f>0</f>
        <v>0</v>
      </c>
      <c r="P86" s="1"/>
      <c r="Q86" s="1">
        <v>0</v>
      </c>
      <c r="R86" s="1">
        <v>0</v>
      </c>
      <c r="S86" s="1">
        <f>0</f>
        <v>0</v>
      </c>
      <c r="T86" s="1">
        <f>0</f>
        <v>0</v>
      </c>
      <c r="U86" s="1"/>
      <c r="V86" s="1">
        <v>0</v>
      </c>
      <c r="W86" s="1">
        <v>0</v>
      </c>
      <c r="X86" s="1">
        <f>0</f>
        <v>0</v>
      </c>
      <c r="Y86" s="1">
        <f>0</f>
        <v>0</v>
      </c>
      <c r="Z86" s="1">
        <f>0</f>
        <v>0</v>
      </c>
      <c r="AA86" s="1"/>
      <c r="AB86" s="5"/>
      <c r="AC86" s="5"/>
      <c r="AD86" s="1">
        <f>0</f>
        <v>0</v>
      </c>
      <c r="AE86" s="1">
        <f>0</f>
        <v>0</v>
      </c>
      <c r="AF86" s="1">
        <f>0</f>
        <v>0</v>
      </c>
      <c r="AG86" s="1">
        <f>0</f>
        <v>0</v>
      </c>
      <c r="AH86" s="1">
        <f>0</f>
        <v>0</v>
      </c>
      <c r="AI86" s="1">
        <f>0</f>
        <v>0</v>
      </c>
      <c r="AJ86" s="1"/>
      <c r="AK86" s="1" t="b">
        <v>1</v>
      </c>
      <c r="AL86" s="1"/>
      <c r="AM86" s="1"/>
      <c r="AN86" s="1"/>
      <c r="AO86" s="1"/>
      <c r="AP86" s="1"/>
      <c r="AQ86" s="1"/>
      <c r="AR86" s="1"/>
      <c r="AS86" s="1"/>
      <c r="AT86" s="1"/>
      <c r="AU86" s="1"/>
      <c r="AV86" s="1"/>
      <c r="AW86" s="1"/>
      <c r="AX86" s="1"/>
      <c r="AY86" s="1"/>
      <c r="AZ86" s="1"/>
    </row>
    <row r="87" spans="1:52" ht="15" customHeight="1" x14ac:dyDescent="0.35">
      <c r="A87" s="1" t="s">
        <v>797</v>
      </c>
      <c r="B87" s="1" t="s">
        <v>798</v>
      </c>
      <c r="C87" s="1" t="s">
        <v>640</v>
      </c>
      <c r="D87" s="1"/>
      <c r="E87" s="1" t="s">
        <v>762</v>
      </c>
      <c r="F87" s="9" t="s">
        <v>645</v>
      </c>
      <c r="G87" s="1" t="s">
        <v>406</v>
      </c>
      <c r="H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7" s="11">
        <f>0</f>
        <v>0</v>
      </c>
      <c r="J87" s="1">
        <f>0</f>
        <v>0</v>
      </c>
      <c r="K87" s="1"/>
      <c r="L87" s="1">
        <v>0</v>
      </c>
      <c r="M87" s="1">
        <f>0</f>
        <v>0</v>
      </c>
      <c r="N87" s="1">
        <f>0</f>
        <v>0</v>
      </c>
      <c r="O87" s="1">
        <f>0</f>
        <v>0</v>
      </c>
      <c r="P87" s="1"/>
      <c r="Q87" s="1">
        <v>0</v>
      </c>
      <c r="R87" s="1">
        <v>0</v>
      </c>
      <c r="S87" s="1">
        <f>0</f>
        <v>0</v>
      </c>
      <c r="T87" s="1">
        <f>0</f>
        <v>0</v>
      </c>
      <c r="U87" s="1"/>
      <c r="V87" s="1">
        <v>0</v>
      </c>
      <c r="W87" s="1">
        <v>0</v>
      </c>
      <c r="X87" s="1">
        <f>0</f>
        <v>0</v>
      </c>
      <c r="Y87" s="1">
        <f>0</f>
        <v>0</v>
      </c>
      <c r="Z87" s="1">
        <f>0</f>
        <v>0</v>
      </c>
      <c r="AA87" s="1"/>
      <c r="AB87" s="5"/>
      <c r="AC87" s="5"/>
      <c r="AD87" s="1">
        <f>0</f>
        <v>0</v>
      </c>
      <c r="AE87" s="1">
        <f>0</f>
        <v>0</v>
      </c>
      <c r="AF87" s="1">
        <f>0</f>
        <v>0</v>
      </c>
      <c r="AG87" s="1">
        <f>0</f>
        <v>0</v>
      </c>
      <c r="AH87" s="1">
        <f>0</f>
        <v>0</v>
      </c>
      <c r="AI87" s="1">
        <f>0</f>
        <v>0</v>
      </c>
      <c r="AJ87" s="1"/>
      <c r="AK87" s="1" t="b">
        <v>1</v>
      </c>
      <c r="AL87" s="1"/>
      <c r="AM87" s="1"/>
      <c r="AN87" s="1"/>
      <c r="AO87" s="1"/>
      <c r="AP87" s="1"/>
      <c r="AQ87" s="1"/>
      <c r="AR87" s="1"/>
      <c r="AS87" s="1"/>
      <c r="AT87" s="1"/>
      <c r="AU87" s="1"/>
      <c r="AV87" s="1"/>
      <c r="AW87" s="1"/>
      <c r="AX87" s="1"/>
      <c r="AY87" s="1"/>
      <c r="AZ87" s="1"/>
    </row>
    <row r="88" spans="1:52" ht="15" customHeight="1" x14ac:dyDescent="0.35">
      <c r="A88" s="1" t="s">
        <v>799</v>
      </c>
      <c r="B88" s="1" t="s">
        <v>800</v>
      </c>
      <c r="C88" s="1" t="s">
        <v>640</v>
      </c>
      <c r="D88" s="1" t="s">
        <v>801</v>
      </c>
      <c r="E88" s="1" t="s">
        <v>802</v>
      </c>
      <c r="F88" s="9" t="s">
        <v>664</v>
      </c>
      <c r="G88" s="1" t="s">
        <v>406</v>
      </c>
      <c r="H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8" s="11">
        <f>0</f>
        <v>0</v>
      </c>
      <c r="J88" s="1">
        <f>0</f>
        <v>0</v>
      </c>
      <c r="K88" s="1"/>
      <c r="L88" s="1">
        <v>0</v>
      </c>
      <c r="M88" s="1">
        <f>0</f>
        <v>0</v>
      </c>
      <c r="N88" s="1">
        <f>0</f>
        <v>0</v>
      </c>
      <c r="O88" s="1">
        <f>0</f>
        <v>0</v>
      </c>
      <c r="P88" s="1"/>
      <c r="Q88" s="1">
        <v>0</v>
      </c>
      <c r="R88" s="1">
        <v>0</v>
      </c>
      <c r="S88" s="1">
        <f>0</f>
        <v>0</v>
      </c>
      <c r="T88" s="1">
        <f>0</f>
        <v>0</v>
      </c>
      <c r="U88" s="1"/>
      <c r="V88" s="1">
        <v>0</v>
      </c>
      <c r="W88" s="1">
        <v>0</v>
      </c>
      <c r="X88" s="1">
        <f>0</f>
        <v>0</v>
      </c>
      <c r="Y88" s="1">
        <f>0</f>
        <v>0</v>
      </c>
      <c r="Z88" s="1">
        <f>0</f>
        <v>0</v>
      </c>
      <c r="AA88" s="1"/>
      <c r="AB88" s="5"/>
      <c r="AC88" s="5"/>
      <c r="AD88" s="1">
        <f>0</f>
        <v>0</v>
      </c>
      <c r="AE88" s="1">
        <f>0</f>
        <v>0</v>
      </c>
      <c r="AF88" s="1">
        <f>0</f>
        <v>0</v>
      </c>
      <c r="AG88" s="1">
        <f>0</f>
        <v>0</v>
      </c>
      <c r="AH88" s="1">
        <f>0</f>
        <v>0</v>
      </c>
      <c r="AI88" s="1">
        <f>0</f>
        <v>0</v>
      </c>
      <c r="AJ88" s="1"/>
      <c r="AK88" s="1" t="b">
        <v>1</v>
      </c>
      <c r="AL88" s="1"/>
      <c r="AM88" s="1"/>
      <c r="AN88" s="1"/>
      <c r="AO88" s="1"/>
      <c r="AP88" s="1"/>
      <c r="AQ88" s="1"/>
      <c r="AR88" s="1"/>
      <c r="AS88" s="1"/>
      <c r="AT88" s="1"/>
      <c r="AU88" s="1"/>
      <c r="AV88" s="1"/>
      <c r="AW88" s="1" t="b">
        <v>1</v>
      </c>
      <c r="AX88" s="1"/>
      <c r="AY88" s="1"/>
      <c r="AZ88" s="1"/>
    </row>
    <row r="89" spans="1:52" ht="15" customHeight="1" x14ac:dyDescent="0.35">
      <c r="A89" s="1" t="s">
        <v>803</v>
      </c>
      <c r="B89" s="1" t="s">
        <v>804</v>
      </c>
      <c r="C89" s="1" t="s">
        <v>640</v>
      </c>
      <c r="D89" s="1" t="s">
        <v>602</v>
      </c>
      <c r="E89" s="1" t="s">
        <v>805</v>
      </c>
      <c r="F89" s="9" t="s">
        <v>806</v>
      </c>
      <c r="G89" s="1" t="s">
        <v>406</v>
      </c>
      <c r="H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9" s="11">
        <f>0</f>
        <v>0</v>
      </c>
      <c r="J89" s="1">
        <f>0</f>
        <v>0</v>
      </c>
      <c r="K89" s="1"/>
      <c r="L89" s="1">
        <v>0</v>
      </c>
      <c r="M89" s="1">
        <f>0</f>
        <v>0</v>
      </c>
      <c r="N89" s="1">
        <f>0</f>
        <v>0</v>
      </c>
      <c r="O89" s="1">
        <f>0</f>
        <v>0</v>
      </c>
      <c r="P89" s="1"/>
      <c r="Q89" s="1">
        <v>0</v>
      </c>
      <c r="R89" s="1">
        <v>0</v>
      </c>
      <c r="S89" s="1">
        <f>0</f>
        <v>0</v>
      </c>
      <c r="T89" s="1">
        <f>0</f>
        <v>0</v>
      </c>
      <c r="U89" s="1"/>
      <c r="V89" s="1">
        <v>0</v>
      </c>
      <c r="W89" s="1">
        <v>0</v>
      </c>
      <c r="X89" s="1">
        <f>0</f>
        <v>0</v>
      </c>
      <c r="Y89" s="1">
        <f>0</f>
        <v>0</v>
      </c>
      <c r="Z89" s="1">
        <f>0</f>
        <v>0</v>
      </c>
      <c r="AA89" s="1"/>
      <c r="AB89" s="5"/>
      <c r="AC89" s="5"/>
      <c r="AD89" s="1">
        <f>0</f>
        <v>0</v>
      </c>
      <c r="AE89" s="1">
        <f>0</f>
        <v>0</v>
      </c>
      <c r="AF89" s="1">
        <f>0</f>
        <v>0</v>
      </c>
      <c r="AG89" s="1">
        <f>0</f>
        <v>0</v>
      </c>
      <c r="AH89" s="1">
        <f>0</f>
        <v>0</v>
      </c>
      <c r="AI89" s="1">
        <f>0</f>
        <v>0</v>
      </c>
      <c r="AJ89" s="1" t="b">
        <v>1</v>
      </c>
      <c r="AK89" s="1"/>
      <c r="AL89" s="1"/>
      <c r="AM89" s="1"/>
      <c r="AN89" s="1"/>
      <c r="AO89" s="1"/>
      <c r="AP89" s="1"/>
      <c r="AQ89" s="1"/>
      <c r="AR89" s="1"/>
      <c r="AS89" s="1"/>
      <c r="AT89" s="1"/>
      <c r="AU89" s="1"/>
      <c r="AV89" s="1"/>
      <c r="AW89" s="1"/>
      <c r="AX89" s="1"/>
      <c r="AY89" s="1" t="b">
        <v>1</v>
      </c>
      <c r="AZ89" s="1"/>
    </row>
    <row r="90" spans="1:52" ht="15" customHeight="1" x14ac:dyDescent="0.35">
      <c r="A90" s="1" t="s">
        <v>807</v>
      </c>
      <c r="B90" s="1" t="s">
        <v>808</v>
      </c>
      <c r="C90" s="1" t="s">
        <v>640</v>
      </c>
      <c r="D90" s="1" t="s">
        <v>809</v>
      </c>
      <c r="E90" s="1" t="s">
        <v>810</v>
      </c>
      <c r="F90" s="9" t="s">
        <v>806</v>
      </c>
      <c r="G90" s="1" t="s">
        <v>406</v>
      </c>
      <c r="H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0" s="11">
        <f>0</f>
        <v>0</v>
      </c>
      <c r="J90" s="1">
        <f>0</f>
        <v>0</v>
      </c>
      <c r="K90" s="1"/>
      <c r="L90" s="1">
        <v>0</v>
      </c>
      <c r="M90" s="1">
        <f>0</f>
        <v>0</v>
      </c>
      <c r="N90" s="1">
        <f>0</f>
        <v>0</v>
      </c>
      <c r="O90" s="1">
        <f>0</f>
        <v>0</v>
      </c>
      <c r="P90" s="1"/>
      <c r="Q90" s="1">
        <v>0</v>
      </c>
      <c r="R90" s="1">
        <v>0</v>
      </c>
      <c r="S90" s="1">
        <f>0</f>
        <v>0</v>
      </c>
      <c r="T90" s="1">
        <f>0</f>
        <v>0</v>
      </c>
      <c r="U90" s="1"/>
      <c r="V90" s="1">
        <v>0</v>
      </c>
      <c r="W90" s="1">
        <v>0</v>
      </c>
      <c r="X90" s="1">
        <f>0</f>
        <v>0</v>
      </c>
      <c r="Y90" s="1">
        <f>0</f>
        <v>0</v>
      </c>
      <c r="Z90" s="1">
        <f>0</f>
        <v>0</v>
      </c>
      <c r="AA90" s="1"/>
      <c r="AB90" s="5"/>
      <c r="AC90" s="5"/>
      <c r="AD90" s="1">
        <f>0</f>
        <v>0</v>
      </c>
      <c r="AE90" s="1">
        <f>0</f>
        <v>0</v>
      </c>
      <c r="AF90" s="1">
        <f>0</f>
        <v>0</v>
      </c>
      <c r="AG90" s="1">
        <f>0</f>
        <v>0</v>
      </c>
      <c r="AH90" s="1">
        <f>0</f>
        <v>0</v>
      </c>
      <c r="AI90" s="1">
        <f>0</f>
        <v>0</v>
      </c>
      <c r="AJ90" s="1"/>
      <c r="AK90" s="1"/>
      <c r="AL90" s="1" t="b">
        <v>1</v>
      </c>
      <c r="AM90" s="1"/>
      <c r="AN90" s="1"/>
      <c r="AO90" s="1"/>
      <c r="AP90" s="1"/>
      <c r="AQ90" s="1"/>
      <c r="AR90" s="1"/>
      <c r="AS90" s="1"/>
      <c r="AT90" s="1"/>
      <c r="AU90" s="1"/>
      <c r="AV90" s="1"/>
      <c r="AW90" s="1"/>
      <c r="AX90" s="1"/>
      <c r="AY90" s="1"/>
      <c r="AZ90" s="1"/>
    </row>
    <row r="91" spans="1:52" ht="15" customHeight="1" x14ac:dyDescent="0.35">
      <c r="A91" s="1" t="s">
        <v>811</v>
      </c>
      <c r="B91" s="1" t="s">
        <v>812</v>
      </c>
      <c r="C91" s="1" t="s">
        <v>640</v>
      </c>
      <c r="D91" s="1"/>
      <c r="E91" s="1" t="s">
        <v>813</v>
      </c>
      <c r="F91" s="9" t="s">
        <v>664</v>
      </c>
      <c r="G91" s="1" t="s">
        <v>406</v>
      </c>
      <c r="H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1" s="11">
        <f>0</f>
        <v>0</v>
      </c>
      <c r="J91" s="1">
        <f>0</f>
        <v>0</v>
      </c>
      <c r="K91" s="1"/>
      <c r="L91" s="1">
        <v>0</v>
      </c>
      <c r="M91" s="1">
        <f>0</f>
        <v>0</v>
      </c>
      <c r="N91" s="1">
        <f>0</f>
        <v>0</v>
      </c>
      <c r="O91" s="1">
        <f>0</f>
        <v>0</v>
      </c>
      <c r="P91" s="1"/>
      <c r="Q91" s="1">
        <v>0</v>
      </c>
      <c r="R91" s="1">
        <v>0</v>
      </c>
      <c r="S91" s="1">
        <f>0</f>
        <v>0</v>
      </c>
      <c r="T91" s="1">
        <f>0</f>
        <v>0</v>
      </c>
      <c r="U91" s="1"/>
      <c r="V91" s="1">
        <v>0</v>
      </c>
      <c r="W91" s="1">
        <v>0</v>
      </c>
      <c r="X91" s="1">
        <f>0</f>
        <v>0</v>
      </c>
      <c r="Y91" s="1">
        <f>0</f>
        <v>0</v>
      </c>
      <c r="Z91" s="1">
        <f>0</f>
        <v>0</v>
      </c>
      <c r="AA91" s="1"/>
      <c r="AB91" s="5"/>
      <c r="AC91" s="5"/>
      <c r="AD91" s="1">
        <f>0</f>
        <v>0</v>
      </c>
      <c r="AE91" s="1">
        <f>0</f>
        <v>0</v>
      </c>
      <c r="AF91" s="1">
        <f>0</f>
        <v>0</v>
      </c>
      <c r="AG91" s="1">
        <f>0</f>
        <v>0</v>
      </c>
      <c r="AH91" s="1">
        <f>0</f>
        <v>0</v>
      </c>
      <c r="AI91" s="1">
        <f>0</f>
        <v>0</v>
      </c>
      <c r="AJ91" s="1" t="b">
        <v>1</v>
      </c>
      <c r="AK91" s="1"/>
      <c r="AL91" s="1"/>
      <c r="AM91" s="1"/>
      <c r="AN91" s="1"/>
      <c r="AO91" s="1"/>
      <c r="AP91" s="1"/>
      <c r="AQ91" s="1"/>
      <c r="AR91" s="1"/>
      <c r="AS91" s="1"/>
      <c r="AT91" s="1"/>
      <c r="AU91" s="1"/>
      <c r="AV91" s="1"/>
      <c r="AW91" s="1"/>
      <c r="AX91" s="1"/>
      <c r="AY91" s="1" t="b">
        <v>1</v>
      </c>
      <c r="AZ91" s="1"/>
    </row>
    <row r="92" spans="1:52" ht="15" customHeight="1" x14ac:dyDescent="0.35">
      <c r="A92" s="1" t="s">
        <v>814</v>
      </c>
      <c r="B92" s="1" t="s">
        <v>815</v>
      </c>
      <c r="C92" s="1" t="s">
        <v>816</v>
      </c>
      <c r="D92" s="1" t="s">
        <v>817</v>
      </c>
      <c r="E92" s="1" t="s">
        <v>741</v>
      </c>
      <c r="F92" s="9" t="s">
        <v>818</v>
      </c>
      <c r="G92" s="1" t="s">
        <v>406</v>
      </c>
      <c r="H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2" s="11" t="e">
        <f>ABS(NETWORKDAYS.INTL("07/09/2024", "07/23/2024", 1, {"01/01/2024","01/15/2024","02/19/2024","05/27/2024","07/04/2024","09/02/2024","10/14/2024","11/11/2024","11/28/2024","12/25/2024","12/25/2024","12/26/2024","12/27/2024","12/28/2024","12/29/2024","12/30/2024","31/25/2024","01/01/2024","01/02/2024","01/03/2024","01/04/2024","01/05/2024"}))</f>
        <v>#VALUE!</v>
      </c>
      <c r="J92" s="1" t="e">
        <f>ABS(NETWORKDAYS.INTL("7/11/2024", "7/16/2024", 1, {"01/01/2024","01/15/2024","02/19/2024","05/27/2024","07/04/2024","09/02/2024","10/14/2024","11/11/2024","11/28/2024","12/25/2024","12/25/2024","12/26/2024","12/27/2024","12/28/2024","12/29/2024","12/30/2024","31/25/2024","01/01/2024","01/02/2024","01/03/2024","01/04/2024","01/05/2024"})+NETWORKDAYS.INTL("7/19/2024", "7/23/2024", 1, {"01/01/2024","01/15/2024","02/19/2024","05/27/2024","07/04/2024","09/02/2024","10/14/2024","11/11/2024","11/28/2024","12/25/2024","12/25/2024","12/26/2024","12/27/2024","12/28/2024","12/29/2024","12/30/2024","31/25/2024","01/01/2024","01/02/2024","01/03/2024","01/04/2024","01/05/2024"}))</f>
        <v>#VALUE!</v>
      </c>
      <c r="K92" s="1"/>
      <c r="L92" s="1">
        <v>0</v>
      </c>
      <c r="M92" s="1">
        <f>0</f>
        <v>0</v>
      </c>
      <c r="N92" s="1">
        <f>0</f>
        <v>0</v>
      </c>
      <c r="O92" s="1">
        <f>0</f>
        <v>0</v>
      </c>
      <c r="P92" s="1"/>
      <c r="Q92" s="1">
        <v>0</v>
      </c>
      <c r="R92" s="1">
        <v>0</v>
      </c>
      <c r="S92" s="1">
        <f>0</f>
        <v>0</v>
      </c>
      <c r="T92" s="1">
        <f>0</f>
        <v>0</v>
      </c>
      <c r="U92" s="1"/>
      <c r="V92" s="1">
        <v>0</v>
      </c>
      <c r="W92" s="1">
        <v>0</v>
      </c>
      <c r="X92" s="1">
        <f>0</f>
        <v>0</v>
      </c>
      <c r="Y92" s="1">
        <f>0</f>
        <v>0</v>
      </c>
      <c r="Z92" s="1">
        <f>0</f>
        <v>0</v>
      </c>
      <c r="AA92" s="1"/>
      <c r="AB92" s="5"/>
      <c r="AC92" s="5"/>
      <c r="AD92" s="1">
        <f>0</f>
        <v>0</v>
      </c>
      <c r="AE92" s="1">
        <f>0</f>
        <v>0</v>
      </c>
      <c r="AF92" s="1">
        <f>0</f>
        <v>0</v>
      </c>
      <c r="AG92" s="1">
        <f>0</f>
        <v>0</v>
      </c>
      <c r="AH92" s="1">
        <f>0</f>
        <v>0</v>
      </c>
      <c r="AI92" s="1">
        <f>0</f>
        <v>0</v>
      </c>
      <c r="AJ92" s="1" t="b">
        <v>1</v>
      </c>
      <c r="AK92" s="1"/>
      <c r="AL92" s="1"/>
      <c r="AM92" s="1"/>
      <c r="AN92" s="1"/>
      <c r="AO92" s="1"/>
      <c r="AP92" s="1"/>
      <c r="AQ92" s="1"/>
      <c r="AR92" s="1"/>
      <c r="AS92" s="1"/>
      <c r="AT92" s="1"/>
      <c r="AU92" s="1"/>
      <c r="AV92" s="1"/>
      <c r="AW92" s="1"/>
      <c r="AX92" s="1"/>
      <c r="AY92" s="1" t="b">
        <v>1</v>
      </c>
      <c r="AZ92" s="1"/>
    </row>
    <row r="93" spans="1:52" ht="15" customHeight="1" x14ac:dyDescent="0.35">
      <c r="A93" s="1" t="s">
        <v>819</v>
      </c>
      <c r="B93" s="1" t="s">
        <v>820</v>
      </c>
      <c r="C93" s="1" t="s">
        <v>821</v>
      </c>
      <c r="D93" s="1" t="s">
        <v>822</v>
      </c>
      <c r="E93" s="1" t="s">
        <v>813</v>
      </c>
      <c r="F93" s="9" t="s">
        <v>823</v>
      </c>
      <c r="G93" s="1" t="s">
        <v>406</v>
      </c>
      <c r="H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3" s="11" t="e">
        <f>ABS(NETWORKDAYS.INTL("07/15/24", "08/05/24", 1, {"01/01/2024","01/15/2024","02/19/2024","05/27/2024","07/04/2024","09/02/2024","10/14/2024","11/11/2024","11/28/2024","12/25/2024","12/25/2024","12/26/2024","12/27/2024","12/28/2024","12/29/2024","12/30/2024","31/25/2024","01/01/2024","01/02/2024","01/03/2024","01/04/2024","01/05/2024"}))</f>
        <v>#VALUE!</v>
      </c>
      <c r="J93" s="1">
        <f>0</f>
        <v>0</v>
      </c>
      <c r="K93" s="1"/>
      <c r="L93" s="1">
        <v>0</v>
      </c>
      <c r="M93" s="1">
        <f>0</f>
        <v>0</v>
      </c>
      <c r="N93" s="1">
        <f>0</f>
        <v>0</v>
      </c>
      <c r="O93" s="1">
        <f>0</f>
        <v>0</v>
      </c>
      <c r="P93" s="1"/>
      <c r="Q93" s="1">
        <v>0</v>
      </c>
      <c r="R93" s="1">
        <v>0</v>
      </c>
      <c r="S93" s="1">
        <f>0</f>
        <v>0</v>
      </c>
      <c r="T93" s="1">
        <f>0</f>
        <v>0</v>
      </c>
      <c r="U93" s="1"/>
      <c r="V93" s="1">
        <v>0</v>
      </c>
      <c r="W93" s="1">
        <v>0</v>
      </c>
      <c r="X93" s="1">
        <f>0</f>
        <v>0</v>
      </c>
      <c r="Y93" s="1">
        <f>0</f>
        <v>0</v>
      </c>
      <c r="Z93" s="1">
        <f>0</f>
        <v>0</v>
      </c>
      <c r="AA93" s="1"/>
      <c r="AB93" s="5"/>
      <c r="AC93" s="5"/>
      <c r="AD93" s="1">
        <f>0</f>
        <v>0</v>
      </c>
      <c r="AE93" s="1">
        <f>0</f>
        <v>0</v>
      </c>
      <c r="AF93" s="1">
        <f>0</f>
        <v>0</v>
      </c>
      <c r="AG93" s="1">
        <f>0</f>
        <v>0</v>
      </c>
      <c r="AH93" s="1">
        <f>0</f>
        <v>0</v>
      </c>
      <c r="AI93" s="1">
        <f>0</f>
        <v>0</v>
      </c>
      <c r="AJ93" s="1" t="b">
        <v>1</v>
      </c>
      <c r="AK93" s="1"/>
      <c r="AL93" s="1"/>
      <c r="AM93" s="1"/>
      <c r="AN93" s="1"/>
      <c r="AO93" s="1"/>
      <c r="AP93" s="1"/>
      <c r="AQ93" s="1"/>
      <c r="AR93" s="1"/>
      <c r="AS93" s="1"/>
      <c r="AT93" s="1"/>
      <c r="AU93" s="1"/>
      <c r="AV93" s="1"/>
      <c r="AW93" s="1"/>
      <c r="AX93" s="1"/>
      <c r="AY93" s="1" t="b">
        <v>1</v>
      </c>
      <c r="AZ93" s="1"/>
    </row>
    <row r="94" spans="1:52" ht="15" customHeight="1" x14ac:dyDescent="0.35">
      <c r="A94" s="1" t="s">
        <v>824</v>
      </c>
      <c r="B94" s="1" t="s">
        <v>825</v>
      </c>
      <c r="C94" s="1" t="s">
        <v>821</v>
      </c>
      <c r="D94" s="1" t="s">
        <v>826</v>
      </c>
      <c r="E94" s="1" t="s">
        <v>813</v>
      </c>
      <c r="F94" s="9" t="s">
        <v>827</v>
      </c>
      <c r="G94" s="1" t="s">
        <v>406</v>
      </c>
      <c r="H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4" s="11" t="e">
        <f>ABS(NETWORKDAYS.INTL("7/9/2024", "08/05/24", 1, {"01/01/2024","01/15/2024","02/19/2024","05/27/2024","07/04/2024","09/02/2024","10/14/2024","11/11/2024","11/28/2024","12/25/2024","12/25/2024","12/26/2024","12/27/2024","12/28/2024","12/29/2024","12/30/2024","31/25/2024","01/01/2024","01/02/2024","01/03/2024","01/04/2024","01/05/2024"}))</f>
        <v>#VALUE!</v>
      </c>
      <c r="J94" s="1">
        <f>0</f>
        <v>0</v>
      </c>
      <c r="K94" s="1"/>
      <c r="L94" s="1">
        <v>0</v>
      </c>
      <c r="M94" s="1">
        <f>0</f>
        <v>0</v>
      </c>
      <c r="N94" s="1">
        <f>0</f>
        <v>0</v>
      </c>
      <c r="O94" s="1">
        <f>0</f>
        <v>0</v>
      </c>
      <c r="P94" s="1"/>
      <c r="Q94" s="1">
        <v>0</v>
      </c>
      <c r="R94" s="1">
        <v>0</v>
      </c>
      <c r="S94" s="1">
        <f>0</f>
        <v>0</v>
      </c>
      <c r="T94" s="1">
        <f>0</f>
        <v>0</v>
      </c>
      <c r="U94" s="1"/>
      <c r="V94" s="1">
        <v>0</v>
      </c>
      <c r="W94" s="1">
        <v>0</v>
      </c>
      <c r="X94" s="1">
        <f>0</f>
        <v>0</v>
      </c>
      <c r="Y94" s="1">
        <f>0</f>
        <v>0</v>
      </c>
      <c r="Z94" s="1">
        <f>0</f>
        <v>0</v>
      </c>
      <c r="AA94" s="1"/>
      <c r="AB94" s="5"/>
      <c r="AC94" s="5"/>
      <c r="AD94" s="1">
        <f>0</f>
        <v>0</v>
      </c>
      <c r="AE94" s="1">
        <f>0</f>
        <v>0</v>
      </c>
      <c r="AF94" s="1">
        <f>0</f>
        <v>0</v>
      </c>
      <c r="AG94" s="1">
        <f>0</f>
        <v>0</v>
      </c>
      <c r="AH94" s="1">
        <f>0</f>
        <v>0</v>
      </c>
      <c r="AI94" s="1">
        <f>0</f>
        <v>0</v>
      </c>
      <c r="AJ94" s="1" t="b">
        <v>1</v>
      </c>
      <c r="AK94" s="1"/>
      <c r="AL94" s="1"/>
      <c r="AM94" s="1"/>
      <c r="AN94" s="1"/>
      <c r="AO94" s="1"/>
      <c r="AP94" s="1"/>
      <c r="AQ94" s="1"/>
      <c r="AR94" s="1"/>
      <c r="AS94" s="1"/>
      <c r="AT94" s="1"/>
      <c r="AU94" s="1"/>
      <c r="AV94" s="1"/>
      <c r="AW94" s="1"/>
      <c r="AX94" s="1"/>
      <c r="AY94" s="1" t="b">
        <v>1</v>
      </c>
      <c r="AZ94" s="1"/>
    </row>
    <row r="95" spans="1:52" ht="15" customHeight="1" x14ac:dyDescent="0.35">
      <c r="A95" s="1" t="s">
        <v>828</v>
      </c>
      <c r="B95" s="1" t="s">
        <v>829</v>
      </c>
      <c r="C95" s="1" t="s">
        <v>816</v>
      </c>
      <c r="D95" s="1" t="s">
        <v>830</v>
      </c>
      <c r="E95" s="1" t="s">
        <v>741</v>
      </c>
      <c r="F95" s="9" t="s">
        <v>831</v>
      </c>
      <c r="G95" s="1" t="s">
        <v>406</v>
      </c>
      <c r="H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5" s="11" t="e">
        <f>ABS(NETWORKDAYS.INTL("07/08/24", "07/11/24", 1, {"01/01/2024","01/15/2024","02/19/2024","05/27/2024","07/04/2024","09/02/2024","10/14/2024","11/11/2024","11/28/2024","12/25/2024","12/25/2024","12/26/2024","12/27/2024","12/28/2024","12/29/2024","12/30/2024","31/25/2024","01/01/2024","01/02/2024","01/03/2024","01/04/2024","01/05/2024"}))</f>
        <v>#VALUE!</v>
      </c>
      <c r="J95" s="1">
        <f>0</f>
        <v>0</v>
      </c>
      <c r="K95" s="1"/>
      <c r="L95" s="1">
        <v>0</v>
      </c>
      <c r="M95" s="1">
        <f>0</f>
        <v>0</v>
      </c>
      <c r="N95" s="1">
        <f>0</f>
        <v>0</v>
      </c>
      <c r="O95" s="1">
        <f>0</f>
        <v>0</v>
      </c>
      <c r="P95" s="1"/>
      <c r="Q95" s="1">
        <v>0</v>
      </c>
      <c r="R95" s="1">
        <v>0</v>
      </c>
      <c r="S95" s="1">
        <f>0</f>
        <v>0</v>
      </c>
      <c r="T95" s="1">
        <f>0</f>
        <v>0</v>
      </c>
      <c r="U95" s="1"/>
      <c r="V95" s="1">
        <v>0</v>
      </c>
      <c r="W95" s="1">
        <v>0</v>
      </c>
      <c r="X95" s="1">
        <f>0</f>
        <v>0</v>
      </c>
      <c r="Y95" s="1">
        <f>0</f>
        <v>0</v>
      </c>
      <c r="Z95" s="1">
        <f>0</f>
        <v>0</v>
      </c>
      <c r="AA95" s="1"/>
      <c r="AB95" s="5"/>
      <c r="AC95" s="5"/>
      <c r="AD95" s="1">
        <f>0</f>
        <v>0</v>
      </c>
      <c r="AE95" s="1">
        <f>0</f>
        <v>0</v>
      </c>
      <c r="AF95" s="1">
        <f>0</f>
        <v>0</v>
      </c>
      <c r="AG95" s="1">
        <f>0</f>
        <v>0</v>
      </c>
      <c r="AH95" s="1">
        <f>0</f>
        <v>0</v>
      </c>
      <c r="AI95" s="1">
        <f>0</f>
        <v>0</v>
      </c>
      <c r="AJ95" s="1" t="b">
        <v>1</v>
      </c>
      <c r="AK95" s="1"/>
      <c r="AL95" s="1"/>
      <c r="AM95" s="1"/>
      <c r="AN95" s="1"/>
      <c r="AO95" s="1"/>
      <c r="AP95" s="1"/>
      <c r="AQ95" s="1"/>
      <c r="AR95" s="1"/>
      <c r="AS95" s="1"/>
      <c r="AT95" s="1"/>
      <c r="AU95" s="1"/>
      <c r="AV95" s="1"/>
      <c r="AW95" s="1"/>
      <c r="AX95" s="1"/>
      <c r="AY95" s="1" t="b">
        <v>1</v>
      </c>
      <c r="AZ95" s="1"/>
    </row>
    <row r="96" spans="1:52" ht="15" customHeight="1" x14ac:dyDescent="0.35">
      <c r="A96" s="1" t="s">
        <v>832</v>
      </c>
      <c r="B96" s="1" t="s">
        <v>833</v>
      </c>
      <c r="C96" s="1" t="s">
        <v>680</v>
      </c>
      <c r="D96" s="1" t="s">
        <v>834</v>
      </c>
      <c r="E96" s="1" t="s">
        <v>741</v>
      </c>
      <c r="F96" s="9" t="s">
        <v>835</v>
      </c>
      <c r="G96" s="1" t="s">
        <v>406</v>
      </c>
      <c r="H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6" s="11" t="e">
        <f>ABS(NETWORKDAYS.INTL("7/10/24", "08/05/24", 1, {"01/01/2024","01/15/2024","02/19/2024","05/27/2024","07/04/2024","09/02/2024","10/14/2024","11/11/2024","11/28/2024","12/25/2024","12/25/2024","12/26/2024","12/27/2024","12/28/2024","12/29/2024","12/30/2024","31/25/2024","01/01/2024","01/02/2024","01/03/2024","01/04/2024","01/05/2024"}))</f>
        <v>#VALUE!</v>
      </c>
      <c r="J96" s="1" t="e">
        <f>ABS(NETWORKDAYS.INTL("7/12/24", "7/15/24", 1, {"01/01/2024","01/15/2024","02/19/2024","05/27/2024","07/04/2024","09/02/2024","10/14/2024","11/11/2024","11/28/2024","12/25/2024","12/25/2024","12/26/2024","12/27/2024","12/28/2024","12/29/2024","12/30/2024","31/25/2024","01/01/2024","01/02/2024","01/03/2024","01/04/2024","01/05/2024"})+NETWORKDAYS.INTL("7/17/24", "7/23/24", 1, {"01/01/2024","01/15/2024","02/19/2024","05/27/2024","07/04/2024","09/02/2024","10/14/2024","11/11/2024","11/28/2024","12/25/2024","12/25/2024","12/26/2024","12/27/2024","12/28/2024","12/29/2024","12/30/2024","31/25/2024","01/01/2024","01/02/2024","01/03/2024","01/04/2024","01/05/2024"}))</f>
        <v>#VALUE!</v>
      </c>
      <c r="K96" s="1"/>
      <c r="L96" s="1">
        <v>0</v>
      </c>
      <c r="M96" s="1">
        <f>0</f>
        <v>0</v>
      </c>
      <c r="N96" s="1">
        <f>0</f>
        <v>0</v>
      </c>
      <c r="O96" s="1">
        <f>0</f>
        <v>0</v>
      </c>
      <c r="P96" s="1"/>
      <c r="Q96" s="1">
        <v>0</v>
      </c>
      <c r="R96" s="1">
        <v>0</v>
      </c>
      <c r="S96" s="1">
        <f>0</f>
        <v>0</v>
      </c>
      <c r="T96" s="1">
        <f>0</f>
        <v>0</v>
      </c>
      <c r="U96" s="1"/>
      <c r="V96" s="1">
        <v>0</v>
      </c>
      <c r="W96" s="1">
        <v>0</v>
      </c>
      <c r="X96" s="1">
        <f>0</f>
        <v>0</v>
      </c>
      <c r="Y96" s="1">
        <f>0</f>
        <v>0</v>
      </c>
      <c r="Z96" s="1">
        <f>0</f>
        <v>0</v>
      </c>
      <c r="AA96" s="1"/>
      <c r="AB96" s="5"/>
      <c r="AC96" s="5"/>
      <c r="AD96" s="1">
        <f>0</f>
        <v>0</v>
      </c>
      <c r="AE96" s="1">
        <f>0</f>
        <v>0</v>
      </c>
      <c r="AF96" s="1">
        <f>0</f>
        <v>0</v>
      </c>
      <c r="AG96" s="1">
        <f>0</f>
        <v>0</v>
      </c>
      <c r="AH96" s="1">
        <f>0</f>
        <v>0</v>
      </c>
      <c r="AI96" s="1">
        <f>0</f>
        <v>0</v>
      </c>
      <c r="AJ96" s="1" t="b">
        <v>1</v>
      </c>
      <c r="AK96" s="1"/>
      <c r="AL96" s="1"/>
      <c r="AM96" s="1"/>
      <c r="AN96" s="1"/>
      <c r="AO96" s="1"/>
      <c r="AP96" s="1"/>
      <c r="AQ96" s="1"/>
      <c r="AR96" s="1"/>
      <c r="AS96" s="1"/>
      <c r="AT96" s="1"/>
      <c r="AU96" s="1"/>
      <c r="AV96" s="1"/>
      <c r="AW96" s="1"/>
      <c r="AX96" s="1"/>
      <c r="AY96" s="1" t="b">
        <v>1</v>
      </c>
      <c r="AZ96" s="1"/>
    </row>
    <row r="97" spans="1:52" ht="15" customHeight="1" x14ac:dyDescent="0.35">
      <c r="A97" s="1" t="s">
        <v>836</v>
      </c>
      <c r="B97" s="1" t="s">
        <v>837</v>
      </c>
      <c r="C97" s="1" t="s">
        <v>640</v>
      </c>
      <c r="D97" s="1"/>
      <c r="E97" s="1" t="s">
        <v>838</v>
      </c>
      <c r="F97" s="9" t="s">
        <v>839</v>
      </c>
      <c r="G97" s="1" t="s">
        <v>406</v>
      </c>
      <c r="H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7" s="11">
        <f>0</f>
        <v>0</v>
      </c>
      <c r="J97" s="1">
        <f>0</f>
        <v>0</v>
      </c>
      <c r="K97" s="1"/>
      <c r="L97" s="1">
        <v>0</v>
      </c>
      <c r="M97" s="1">
        <f>0</f>
        <v>0</v>
      </c>
      <c r="N97" s="1">
        <f>0</f>
        <v>0</v>
      </c>
      <c r="O97" s="1">
        <f>0</f>
        <v>0</v>
      </c>
      <c r="P97" s="1"/>
      <c r="Q97" s="1">
        <v>0</v>
      </c>
      <c r="R97" s="1">
        <v>0</v>
      </c>
      <c r="S97" s="1">
        <f>0</f>
        <v>0</v>
      </c>
      <c r="T97" s="1">
        <f>0</f>
        <v>0</v>
      </c>
      <c r="U97" s="1"/>
      <c r="V97" s="1">
        <v>0</v>
      </c>
      <c r="W97" s="1">
        <v>0</v>
      </c>
      <c r="X97" s="1">
        <f>0</f>
        <v>0</v>
      </c>
      <c r="Y97" s="1">
        <f>0</f>
        <v>0</v>
      </c>
      <c r="Z97" s="1">
        <f>0</f>
        <v>0</v>
      </c>
      <c r="AA97" s="1"/>
      <c r="AB97" s="5"/>
      <c r="AC97" s="5"/>
      <c r="AD97" s="1">
        <f>0</f>
        <v>0</v>
      </c>
      <c r="AE97" s="1">
        <f>0</f>
        <v>0</v>
      </c>
      <c r="AF97" s="1">
        <f>0</f>
        <v>0</v>
      </c>
      <c r="AG97" s="1">
        <f>0</f>
        <v>0</v>
      </c>
      <c r="AH97" s="1">
        <f>0</f>
        <v>0</v>
      </c>
      <c r="AI97" s="1">
        <f>0</f>
        <v>0</v>
      </c>
      <c r="AJ97" s="1" t="b">
        <v>1</v>
      </c>
      <c r="AK97" s="1"/>
      <c r="AL97" s="1"/>
      <c r="AM97" s="1"/>
      <c r="AN97" s="1"/>
      <c r="AO97" s="1"/>
      <c r="AP97" s="1"/>
      <c r="AQ97" s="1"/>
      <c r="AR97" s="1"/>
      <c r="AS97" s="1"/>
      <c r="AT97" s="1"/>
      <c r="AU97" s="1"/>
      <c r="AV97" s="1"/>
      <c r="AW97" s="1"/>
      <c r="AX97" s="1"/>
      <c r="AY97" s="1" t="b">
        <v>1</v>
      </c>
      <c r="AZ97" s="1"/>
    </row>
    <row r="98" spans="1:52" ht="15" customHeight="1" x14ac:dyDescent="0.35">
      <c r="A98" s="1" t="s">
        <v>840</v>
      </c>
      <c r="B98" s="1" t="s">
        <v>841</v>
      </c>
      <c r="C98" s="1" t="s">
        <v>680</v>
      </c>
      <c r="D98" s="1" t="s">
        <v>826</v>
      </c>
      <c r="E98" s="1" t="s">
        <v>741</v>
      </c>
      <c r="F98" s="9" t="s">
        <v>842</v>
      </c>
      <c r="G98" s="1" t="s">
        <v>406</v>
      </c>
      <c r="H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98" s="11" t="e">
        <f>ABS(NETWORKDAYS.INTL("07/24/2024", "08/05/24", 1, {"01/01/2024","01/15/2024","02/19/2024","05/27/2024","07/04/2024","09/02/2024","10/14/2024","11/11/2024","11/28/2024","12/25/2024","12/25/2024","12/26/2024","12/27/2024","12/28/2024","12/29/2024","12/30/2024","31/25/2024","01/01/2024","01/02/2024","01/03/2024","01/04/2024","01/05/2024"}))</f>
        <v>#VALUE!</v>
      </c>
      <c r="J98" s="1" t="e">
        <f>ABS(NETWORKDAYS.INTL("07/29/2024", "08/05/24", 1, {"01/01/2024","01/15/2024","02/19/2024","05/27/2024","07/04/2024","09/02/2024","10/14/2024","11/11/2024","11/28/2024","12/25/2024","12/25/2024","12/26/2024","12/27/2024","12/28/2024","12/29/2024","12/30/2024","31/25/2024","01/01/2024","01/02/2024","01/03/2024","01/04/2024","01/05/2024"}))</f>
        <v>#VALUE!</v>
      </c>
      <c r="K98" s="1"/>
      <c r="L98" s="1">
        <v>0</v>
      </c>
      <c r="M98" s="1">
        <f>0</f>
        <v>0</v>
      </c>
      <c r="N98" s="1">
        <f>0</f>
        <v>0</v>
      </c>
      <c r="O98" s="1">
        <f>0</f>
        <v>0</v>
      </c>
      <c r="P98" s="1"/>
      <c r="Q98" s="1">
        <v>0</v>
      </c>
      <c r="R98" s="1">
        <v>0</v>
      </c>
      <c r="S98" s="1">
        <f>0</f>
        <v>0</v>
      </c>
      <c r="T98" s="1">
        <f>0</f>
        <v>0</v>
      </c>
      <c r="U98" s="1"/>
      <c r="V98" s="1">
        <v>0</v>
      </c>
      <c r="W98" s="1">
        <v>0</v>
      </c>
      <c r="X98" s="1">
        <f>0</f>
        <v>0</v>
      </c>
      <c r="Y98" s="1">
        <f>0</f>
        <v>0</v>
      </c>
      <c r="Z98" s="1">
        <f>0</f>
        <v>0</v>
      </c>
      <c r="AA98" s="1"/>
      <c r="AB98" s="5"/>
      <c r="AC98" s="5"/>
      <c r="AD98" s="1">
        <f>0</f>
        <v>0</v>
      </c>
      <c r="AE98" s="1">
        <f>0</f>
        <v>0</v>
      </c>
      <c r="AF98" s="1">
        <f>0</f>
        <v>0</v>
      </c>
      <c r="AG98" s="1">
        <f>0</f>
        <v>0</v>
      </c>
      <c r="AH98" s="1">
        <f>0</f>
        <v>0</v>
      </c>
      <c r="AI98" s="1">
        <f>0</f>
        <v>0</v>
      </c>
      <c r="AJ98" s="1" t="b">
        <v>1</v>
      </c>
      <c r="AK98" s="1"/>
      <c r="AL98" s="1"/>
      <c r="AM98" s="1"/>
      <c r="AN98" s="1"/>
      <c r="AO98" s="1"/>
      <c r="AP98" s="1"/>
      <c r="AQ98" s="1"/>
      <c r="AR98" s="1"/>
      <c r="AS98" s="1"/>
      <c r="AT98" s="1"/>
      <c r="AU98" s="1"/>
      <c r="AV98" s="1"/>
      <c r="AW98" s="1"/>
      <c r="AX98" s="1"/>
      <c r="AY98" s="1" t="b">
        <v>1</v>
      </c>
      <c r="AZ98" s="1"/>
    </row>
    <row r="99" spans="1:52" ht="15" customHeight="1" x14ac:dyDescent="0.35">
      <c r="A99" s="1" t="s">
        <v>843</v>
      </c>
      <c r="B99" s="1" t="s">
        <v>844</v>
      </c>
      <c r="C99" s="1" t="s">
        <v>640</v>
      </c>
      <c r="D99" s="1"/>
      <c r="E99" s="1" t="s">
        <v>741</v>
      </c>
      <c r="F99" s="9" t="s">
        <v>664</v>
      </c>
      <c r="G99" s="1" t="s">
        <v>406</v>
      </c>
      <c r="H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99" s="11">
        <f>0</f>
        <v>0</v>
      </c>
      <c r="J99" s="1">
        <f>0</f>
        <v>0</v>
      </c>
      <c r="K99" s="1"/>
      <c r="L99" s="1">
        <v>0</v>
      </c>
      <c r="M99" s="1">
        <f>0</f>
        <v>0</v>
      </c>
      <c r="N99" s="1">
        <f>0</f>
        <v>0</v>
      </c>
      <c r="O99" s="1">
        <f>0</f>
        <v>0</v>
      </c>
      <c r="P99" s="1"/>
      <c r="Q99" s="1">
        <v>0</v>
      </c>
      <c r="R99" s="1">
        <v>0</v>
      </c>
      <c r="S99" s="1">
        <f>0</f>
        <v>0</v>
      </c>
      <c r="T99" s="1">
        <f>0</f>
        <v>0</v>
      </c>
      <c r="U99" s="1"/>
      <c r="V99" s="1">
        <v>0</v>
      </c>
      <c r="W99" s="1">
        <v>0</v>
      </c>
      <c r="X99" s="1">
        <f>0</f>
        <v>0</v>
      </c>
      <c r="Y99" s="1">
        <f>0</f>
        <v>0</v>
      </c>
      <c r="Z99" s="1">
        <f>0</f>
        <v>0</v>
      </c>
      <c r="AA99" s="1"/>
      <c r="AB99" s="5"/>
      <c r="AC99" s="5"/>
      <c r="AD99" s="1">
        <f>0</f>
        <v>0</v>
      </c>
      <c r="AE99" s="1">
        <f>0</f>
        <v>0</v>
      </c>
      <c r="AF99" s="1">
        <f>0</f>
        <v>0</v>
      </c>
      <c r="AG99" s="1">
        <f>0</f>
        <v>0</v>
      </c>
      <c r="AH99" s="1">
        <f>0</f>
        <v>0</v>
      </c>
      <c r="AI99" s="1">
        <f>0</f>
        <v>0</v>
      </c>
      <c r="AJ99" s="1" t="b">
        <v>1</v>
      </c>
      <c r="AK99" s="1"/>
      <c r="AL99" s="1"/>
      <c r="AM99" s="1"/>
      <c r="AN99" s="1"/>
      <c r="AO99" s="1"/>
      <c r="AP99" s="1"/>
      <c r="AQ99" s="1"/>
      <c r="AR99" s="1"/>
      <c r="AS99" s="1"/>
      <c r="AT99" s="1"/>
      <c r="AU99" s="1"/>
      <c r="AV99" s="1"/>
      <c r="AW99" s="1"/>
      <c r="AX99" s="1"/>
      <c r="AY99" s="1" t="b">
        <v>1</v>
      </c>
      <c r="AZ99" s="1"/>
    </row>
    <row r="100" spans="1:52" ht="15" customHeight="1" x14ac:dyDescent="0.35">
      <c r="A100" s="1" t="s">
        <v>845</v>
      </c>
      <c r="B100" s="1" t="s">
        <v>846</v>
      </c>
      <c r="C100" s="1" t="s">
        <v>821</v>
      </c>
      <c r="D100" s="1" t="s">
        <v>847</v>
      </c>
      <c r="E100" s="1" t="s">
        <v>741</v>
      </c>
      <c r="F100" s="9" t="s">
        <v>848</v>
      </c>
      <c r="G100" s="1" t="s">
        <v>406</v>
      </c>
      <c r="H1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0" s="11" t="e">
        <f>ABS(NETWORKDAYS.INTL("07/15/2024", "08/05/24", 1, {"01/01/2024","01/15/2024","02/19/2024","05/27/2024","07/04/2024","09/02/2024","10/14/2024","11/11/2024","11/28/2024","12/25/2024","12/25/2024","12/26/2024","12/27/2024","12/28/2024","12/29/2024","12/30/2024","31/25/2024","01/01/2024","01/02/2024","01/03/2024","01/04/2024","01/05/2024"}))</f>
        <v>#VALUE!</v>
      </c>
      <c r="J100" s="1">
        <f>0</f>
        <v>0</v>
      </c>
      <c r="K100" s="1"/>
      <c r="L100" s="1">
        <v>0</v>
      </c>
      <c r="M100" s="1">
        <f>0</f>
        <v>0</v>
      </c>
      <c r="N100" s="1">
        <f>0</f>
        <v>0</v>
      </c>
      <c r="O100" s="1">
        <f>0</f>
        <v>0</v>
      </c>
      <c r="P100" s="1"/>
      <c r="Q100" s="1">
        <v>0</v>
      </c>
      <c r="R100" s="1">
        <v>0</v>
      </c>
      <c r="S100" s="1">
        <f>0</f>
        <v>0</v>
      </c>
      <c r="T100" s="1">
        <f>0</f>
        <v>0</v>
      </c>
      <c r="U100" s="1"/>
      <c r="V100" s="1">
        <v>0</v>
      </c>
      <c r="W100" s="1">
        <v>0</v>
      </c>
      <c r="X100" s="1">
        <f>0</f>
        <v>0</v>
      </c>
      <c r="Y100" s="1">
        <f>0</f>
        <v>0</v>
      </c>
      <c r="Z100" s="1">
        <f>0</f>
        <v>0</v>
      </c>
      <c r="AA100" s="1"/>
      <c r="AB100" s="5"/>
      <c r="AC100" s="5"/>
      <c r="AD100" s="1">
        <f>0</f>
        <v>0</v>
      </c>
      <c r="AE100" s="1">
        <f>0</f>
        <v>0</v>
      </c>
      <c r="AF100" s="1">
        <f>0</f>
        <v>0</v>
      </c>
      <c r="AG100" s="1">
        <f>0</f>
        <v>0</v>
      </c>
      <c r="AH100" s="1">
        <f>0</f>
        <v>0</v>
      </c>
      <c r="AI100" s="1">
        <f>0</f>
        <v>0</v>
      </c>
      <c r="AJ100" s="1" t="b">
        <v>1</v>
      </c>
      <c r="AK100" s="1"/>
      <c r="AL100" s="1"/>
      <c r="AM100" s="1"/>
      <c r="AN100" s="1"/>
      <c r="AO100" s="1"/>
      <c r="AP100" s="1"/>
      <c r="AQ100" s="1"/>
      <c r="AR100" s="1"/>
      <c r="AS100" s="1"/>
      <c r="AT100" s="1"/>
      <c r="AU100" s="1"/>
      <c r="AV100" s="1"/>
      <c r="AW100" s="1"/>
      <c r="AX100" s="1"/>
      <c r="AY100" s="1" t="b">
        <v>1</v>
      </c>
      <c r="AZ100" s="1"/>
    </row>
    <row r="101" spans="1:52" ht="15" customHeight="1" x14ac:dyDescent="0.35">
      <c r="A101" s="1" t="s">
        <v>849</v>
      </c>
      <c r="B101" s="1" t="s">
        <v>850</v>
      </c>
      <c r="C101" s="1" t="s">
        <v>640</v>
      </c>
      <c r="D101" s="1"/>
      <c r="E101" s="1" t="s">
        <v>838</v>
      </c>
      <c r="F101" s="9" t="s">
        <v>839</v>
      </c>
      <c r="G101" s="1" t="s">
        <v>406</v>
      </c>
      <c r="H1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1" s="11">
        <f>0</f>
        <v>0</v>
      </c>
      <c r="J101" s="1">
        <f>0</f>
        <v>0</v>
      </c>
      <c r="K101" s="1"/>
      <c r="L101" s="1">
        <v>0</v>
      </c>
      <c r="M101" s="1">
        <f>0</f>
        <v>0</v>
      </c>
      <c r="N101" s="1">
        <f>0</f>
        <v>0</v>
      </c>
      <c r="O101" s="1">
        <f>0</f>
        <v>0</v>
      </c>
      <c r="P101" s="1"/>
      <c r="Q101" s="1">
        <v>0</v>
      </c>
      <c r="R101" s="1">
        <v>0</v>
      </c>
      <c r="S101" s="1">
        <f>0</f>
        <v>0</v>
      </c>
      <c r="T101" s="1">
        <f>0</f>
        <v>0</v>
      </c>
      <c r="U101" s="1"/>
      <c r="V101" s="1">
        <v>0</v>
      </c>
      <c r="W101" s="1">
        <v>0</v>
      </c>
      <c r="X101" s="1">
        <f>0</f>
        <v>0</v>
      </c>
      <c r="Y101" s="1">
        <f>0</f>
        <v>0</v>
      </c>
      <c r="Z101" s="1">
        <f>0</f>
        <v>0</v>
      </c>
      <c r="AA101" s="1"/>
      <c r="AB101" s="5"/>
      <c r="AC101" s="5"/>
      <c r="AD101" s="1">
        <f>0</f>
        <v>0</v>
      </c>
      <c r="AE101" s="1">
        <f>0</f>
        <v>0</v>
      </c>
      <c r="AF101" s="1">
        <f>0</f>
        <v>0</v>
      </c>
      <c r="AG101" s="1">
        <f>0</f>
        <v>0</v>
      </c>
      <c r="AH101" s="1">
        <f>0</f>
        <v>0</v>
      </c>
      <c r="AI101" s="1">
        <f>0</f>
        <v>0</v>
      </c>
      <c r="AJ101" s="1" t="b">
        <v>1</v>
      </c>
      <c r="AK101" s="1"/>
      <c r="AL101" s="1"/>
      <c r="AM101" s="1"/>
      <c r="AN101" s="1"/>
      <c r="AO101" s="1"/>
      <c r="AP101" s="1"/>
      <c r="AQ101" s="1"/>
      <c r="AR101" s="1"/>
      <c r="AS101" s="1"/>
      <c r="AT101" s="1"/>
      <c r="AU101" s="1"/>
      <c r="AV101" s="1"/>
      <c r="AW101" s="1"/>
      <c r="AX101" s="1"/>
      <c r="AY101" s="1" t="b">
        <v>1</v>
      </c>
      <c r="AZ101" s="1"/>
    </row>
    <row r="102" spans="1:52" ht="15" customHeight="1" x14ac:dyDescent="0.35">
      <c r="A102" s="1" t="s">
        <v>851</v>
      </c>
      <c r="B102" s="1" t="s">
        <v>852</v>
      </c>
      <c r="C102" s="1" t="s">
        <v>821</v>
      </c>
      <c r="D102" s="1" t="s">
        <v>853</v>
      </c>
      <c r="E102" s="1" t="s">
        <v>741</v>
      </c>
      <c r="F102" s="9" t="s">
        <v>854</v>
      </c>
      <c r="G102" s="1" t="s">
        <v>406</v>
      </c>
      <c r="H1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2" s="11">
        <f>0</f>
        <v>0</v>
      </c>
      <c r="J102" s="1">
        <f>0</f>
        <v>0</v>
      </c>
      <c r="K102" s="1"/>
      <c r="L102" s="1">
        <v>0</v>
      </c>
      <c r="M102" s="1">
        <f>0</f>
        <v>0</v>
      </c>
      <c r="N102" s="1">
        <f>0</f>
        <v>0</v>
      </c>
      <c r="O102" s="1">
        <f>0</f>
        <v>0</v>
      </c>
      <c r="P102" s="1"/>
      <c r="Q102" s="1">
        <v>0</v>
      </c>
      <c r="R102" s="1">
        <v>0</v>
      </c>
      <c r="S102" s="1">
        <f>0</f>
        <v>0</v>
      </c>
      <c r="T102" s="1">
        <f>0</f>
        <v>0</v>
      </c>
      <c r="U102" s="1"/>
      <c r="V102" s="1">
        <v>0</v>
      </c>
      <c r="W102" s="1">
        <v>0</v>
      </c>
      <c r="X102" s="1">
        <f>0</f>
        <v>0</v>
      </c>
      <c r="Y102" s="1">
        <f>0</f>
        <v>0</v>
      </c>
      <c r="Z102" s="1">
        <f>0</f>
        <v>0</v>
      </c>
      <c r="AA102" s="1"/>
      <c r="AB102" s="5"/>
      <c r="AC102" s="5"/>
      <c r="AD102" s="1">
        <f>0</f>
        <v>0</v>
      </c>
      <c r="AE102" s="1">
        <f>0</f>
        <v>0</v>
      </c>
      <c r="AF102" s="1">
        <f>0</f>
        <v>0</v>
      </c>
      <c r="AG102" s="1">
        <f>0</f>
        <v>0</v>
      </c>
      <c r="AH102" s="1">
        <f>0</f>
        <v>0</v>
      </c>
      <c r="AI102" s="1">
        <f>0</f>
        <v>0</v>
      </c>
      <c r="AJ102" s="1" t="b">
        <v>1</v>
      </c>
      <c r="AK102" s="1"/>
      <c r="AL102" s="1"/>
      <c r="AM102" s="1"/>
      <c r="AN102" s="1"/>
      <c r="AO102" s="1"/>
      <c r="AP102" s="1"/>
      <c r="AQ102" s="1"/>
      <c r="AR102" s="1"/>
      <c r="AS102" s="1"/>
      <c r="AT102" s="1"/>
      <c r="AU102" s="1"/>
      <c r="AV102" s="1"/>
      <c r="AW102" s="1"/>
      <c r="AX102" s="1"/>
      <c r="AY102" s="1" t="b">
        <v>1</v>
      </c>
      <c r="AZ102" s="1"/>
    </row>
    <row r="103" spans="1:52" ht="15" customHeight="1" x14ac:dyDescent="0.35">
      <c r="A103" s="1" t="s">
        <v>855</v>
      </c>
      <c r="B103" s="1" t="s">
        <v>856</v>
      </c>
      <c r="C103" s="1" t="s">
        <v>821</v>
      </c>
      <c r="D103" s="1" t="s">
        <v>853</v>
      </c>
      <c r="E103" s="1" t="s">
        <v>813</v>
      </c>
      <c r="F103" s="9" t="s">
        <v>857</v>
      </c>
      <c r="G103" s="1" t="s">
        <v>406</v>
      </c>
      <c r="H1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3" s="11" t="e">
        <f>ABS(NETWORKDAYS.INTL("7/15/2024", "08/05/24", 1, {"01/01/2024","01/15/2024","02/19/2024","05/27/2024","07/04/2024","09/02/2024","10/14/2024","11/11/2024","11/28/2024","12/25/2024","12/25/2024","12/26/2024","12/27/2024","12/28/2024","12/29/2024","12/30/2024","31/25/2024","01/01/2024","01/02/2024","01/03/2024","01/04/2024","01/05/2024"}))</f>
        <v>#VALUE!</v>
      </c>
      <c r="J103" s="1">
        <f>0</f>
        <v>0</v>
      </c>
      <c r="K103" s="1"/>
      <c r="L103" s="1">
        <v>0</v>
      </c>
      <c r="M103" s="1">
        <f>0</f>
        <v>0</v>
      </c>
      <c r="N103" s="1">
        <f>0</f>
        <v>0</v>
      </c>
      <c r="O103" s="1">
        <f>0</f>
        <v>0</v>
      </c>
      <c r="P103" s="1"/>
      <c r="Q103" s="1">
        <v>0</v>
      </c>
      <c r="R103" s="1">
        <v>0</v>
      </c>
      <c r="S103" s="1">
        <f>0</f>
        <v>0</v>
      </c>
      <c r="T103" s="1">
        <f>0</f>
        <v>0</v>
      </c>
      <c r="U103" s="1"/>
      <c r="V103" s="1">
        <v>0</v>
      </c>
      <c r="W103" s="1">
        <v>0</v>
      </c>
      <c r="X103" s="1">
        <f>0</f>
        <v>0</v>
      </c>
      <c r="Y103" s="1">
        <f>0</f>
        <v>0</v>
      </c>
      <c r="Z103" s="1">
        <f>0</f>
        <v>0</v>
      </c>
      <c r="AA103" s="1"/>
      <c r="AB103" s="5"/>
      <c r="AC103" s="5"/>
      <c r="AD103" s="1">
        <f>0</f>
        <v>0</v>
      </c>
      <c r="AE103" s="1">
        <f>0</f>
        <v>0</v>
      </c>
      <c r="AF103" s="1">
        <f>0</f>
        <v>0</v>
      </c>
      <c r="AG103" s="1">
        <f>0</f>
        <v>0</v>
      </c>
      <c r="AH103" s="1">
        <f>0</f>
        <v>0</v>
      </c>
      <c r="AI103" s="1">
        <f>0</f>
        <v>0</v>
      </c>
      <c r="AJ103" s="1" t="b">
        <v>1</v>
      </c>
      <c r="AK103" s="1"/>
      <c r="AL103" s="1"/>
      <c r="AM103" s="1"/>
      <c r="AN103" s="1"/>
      <c r="AO103" s="1"/>
      <c r="AP103" s="1"/>
      <c r="AQ103" s="1"/>
      <c r="AR103" s="1"/>
      <c r="AS103" s="1"/>
      <c r="AT103" s="1"/>
      <c r="AU103" s="1"/>
      <c r="AV103" s="1"/>
      <c r="AW103" s="1"/>
      <c r="AX103" s="1"/>
      <c r="AY103" s="1" t="b">
        <v>1</v>
      </c>
      <c r="AZ103" s="1"/>
    </row>
    <row r="104" spans="1:52" ht="15" customHeight="1" x14ac:dyDescent="0.35">
      <c r="A104" s="1" t="s">
        <v>858</v>
      </c>
      <c r="B104" s="1" t="s">
        <v>859</v>
      </c>
      <c r="C104" s="1" t="s">
        <v>860</v>
      </c>
      <c r="D104" s="1" t="s">
        <v>817</v>
      </c>
      <c r="E104" s="1" t="s">
        <v>861</v>
      </c>
      <c r="F104" s="9" t="s">
        <v>862</v>
      </c>
      <c r="G104" s="1" t="s">
        <v>406</v>
      </c>
      <c r="H1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04" s="11" t="e">
        <f>ABS(NETWORKDAYS.INTL("7/16/2024", "7/24/2024", 1, {"01/01/2024","01/15/2024","02/19/2024","05/27/2024","07/04/2024","09/02/2024","10/14/2024","11/11/2024","11/28/2024","12/25/2024","12/25/2024","12/26/2024","12/27/2024","12/28/2024","12/29/2024","12/30/2024","31/25/2024","01/01/2024","01/02/2024","01/03/2024","01/04/2024","01/05/2024"}))</f>
        <v>#VALUE!</v>
      </c>
      <c r="J104" s="1" t="e">
        <f>ABS(NETWORKDAYS.INTL("7/19/2024", "7/24/2024", 1, {"01/01/2024","01/15/2024","02/19/2024","05/27/2024","07/04/2024","09/02/2024","10/14/2024","11/11/2024","11/28/2024","12/25/2024","12/25/2024","12/26/2024","12/27/2024","12/28/2024","12/29/2024","12/30/2024","31/25/2024","01/01/2024","01/02/2024","01/03/2024","01/04/2024","01/05/2024"}))</f>
        <v>#VALUE!</v>
      </c>
      <c r="K104" s="1"/>
      <c r="L104" s="1">
        <v>1</v>
      </c>
      <c r="M104" s="1" t="e">
        <f>ABS(NETWORKDAYS.INTL("7/31/2024", "7/31/2024", 1, {"01/01/2024","01/15/2024","02/19/2024","05/27/2024","07/04/2024","09/02/2024","10/14/2024","11/11/2024","11/28/2024","12/25/2024","12/25/2024","12/26/2024","12/27/2024","12/28/2024","12/29/2024","12/30/2024","31/25/2024","01/01/2024","01/02/2024","01/03/2024","01/04/2024","01/05/2024"}))</f>
        <v>#VALUE!</v>
      </c>
      <c r="N104" s="1">
        <f>0</f>
        <v>0</v>
      </c>
      <c r="O104" s="1">
        <f>0</f>
        <v>0</v>
      </c>
      <c r="P104" s="1"/>
      <c r="Q104" s="1">
        <v>0</v>
      </c>
      <c r="R104" s="1">
        <v>0</v>
      </c>
      <c r="S104" s="1">
        <f>0</f>
        <v>0</v>
      </c>
      <c r="T104" s="1">
        <f>0</f>
        <v>0</v>
      </c>
      <c r="U104" s="1"/>
      <c r="V104" s="1">
        <v>0</v>
      </c>
      <c r="W104" s="1">
        <v>0</v>
      </c>
      <c r="X104" s="1">
        <f>0</f>
        <v>0</v>
      </c>
      <c r="Y104" s="1">
        <f>0</f>
        <v>0</v>
      </c>
      <c r="Z104" s="1">
        <f>0</f>
        <v>0</v>
      </c>
      <c r="AA104" s="1"/>
      <c r="AB104" s="5"/>
      <c r="AC104" s="5"/>
      <c r="AD104" s="1" t="e">
        <f>ABS(NETWORKDAYS.INTL("7/31/2024", "7/24/2024", 1, {"01/01/2024","01/15/2024","02/19/2024","05/27/2024","07/04/2024","09/02/2024","10/14/2024","11/11/2024","11/28/2024","12/25/2024","12/25/2024","12/26/2024","12/27/2024","12/28/2024","12/29/2024","12/30/2024","31/25/2024","01/01/2024","01/02/2024","01/03/2024","01/04/2024","01/05/2024"}))</f>
        <v>#VALUE!</v>
      </c>
      <c r="AE104" s="1">
        <f>0</f>
        <v>0</v>
      </c>
      <c r="AF104" s="1">
        <f>0</f>
        <v>0</v>
      </c>
      <c r="AG104" s="1">
        <f>0</f>
        <v>0</v>
      </c>
      <c r="AH104" s="1">
        <f>0</f>
        <v>0</v>
      </c>
      <c r="AI104" s="1">
        <f>0</f>
        <v>0</v>
      </c>
      <c r="AJ104" s="1" t="b">
        <v>1</v>
      </c>
      <c r="AK104" s="1"/>
      <c r="AL104" s="1" t="b">
        <v>1</v>
      </c>
      <c r="AM104" s="1"/>
      <c r="AN104" s="1"/>
      <c r="AO104" s="1"/>
      <c r="AP104" s="1"/>
      <c r="AQ104" s="1"/>
      <c r="AR104" s="1"/>
      <c r="AS104" s="1"/>
      <c r="AT104" s="1"/>
      <c r="AU104" s="1"/>
      <c r="AV104" s="1"/>
      <c r="AW104" s="1"/>
      <c r="AX104" s="1"/>
      <c r="AY104" s="1" t="b">
        <v>1</v>
      </c>
      <c r="AZ104" s="1"/>
    </row>
    <row r="105" spans="1:52" ht="15" customHeight="1" x14ac:dyDescent="0.35">
      <c r="A105" s="1" t="s">
        <v>863</v>
      </c>
      <c r="B105" s="1" t="s">
        <v>864</v>
      </c>
      <c r="C105" s="1" t="s">
        <v>865</v>
      </c>
      <c r="D105" s="1" t="s">
        <v>866</v>
      </c>
      <c r="E105" s="1" t="s">
        <v>741</v>
      </c>
      <c r="F105" s="9" t="s">
        <v>867</v>
      </c>
      <c r="G105" s="1" t="s">
        <v>406</v>
      </c>
      <c r="H1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05" s="11" t="e">
        <f>ABS(NETWORKDAYS.INTL("07/11/2024", "7/15/2024", 1, {"01/01/2024","01/15/2024","02/19/2024","05/27/2024","07/04/2024","09/02/2024","10/14/2024","11/11/2024","11/28/2024","12/25/2024","12/25/2024","12/26/2024","12/27/2024","12/28/2024","12/29/2024","12/30/2024","31/25/2024","01/01/2024","01/02/2024","01/03/2024","01/04/2024","01/05/2024"}))</f>
        <v>#VALUE!</v>
      </c>
      <c r="J105" s="1">
        <f>0</f>
        <v>0</v>
      </c>
      <c r="K105" s="1"/>
      <c r="L105" s="1">
        <v>1</v>
      </c>
      <c r="M105" s="1" t="e">
        <f>ABS(NETWORKDAYS.INTL("7/15/2024", "7/15/2024", 1, {"01/01/2024","01/15/2024","02/19/2024","05/27/2024","07/04/2024","09/02/2024","10/14/2024","11/11/2024","11/28/2024","12/25/2024","12/25/2024","12/26/2024","12/27/2024","12/28/2024","12/29/2024","12/30/2024","31/25/2024","01/01/2024","01/02/2024","01/03/2024","01/04/2024","01/05/2024"}))</f>
        <v>#VALUE!</v>
      </c>
      <c r="N105" s="1" t="e">
        <f>ABS(NETWORKDAYS.INTL("7/15/2024", "7/15/2024", 1, {"01/01/2024","01/15/2024","02/19/2024","05/27/2024","07/04/2024","09/02/2024","10/14/2024","11/11/2024","11/28/2024","12/25/2024","12/25/2024","12/26/2024","12/27/2024","12/28/2024","12/29/2024","12/30/2024","31/25/2024","01/01/2024","01/02/2024","01/03/2024","01/04/2024","01/05/2024"}))</f>
        <v>#VALUE!</v>
      </c>
      <c r="O105" s="1">
        <f>0</f>
        <v>0</v>
      </c>
      <c r="P105" s="1"/>
      <c r="Q105" s="1">
        <v>1</v>
      </c>
      <c r="R105" s="1">
        <v>0</v>
      </c>
      <c r="S105" s="1">
        <f>0</f>
        <v>0</v>
      </c>
      <c r="T105" s="1">
        <f>0</f>
        <v>0</v>
      </c>
      <c r="U105" s="1"/>
      <c r="V105" s="1">
        <v>0</v>
      </c>
      <c r="W105" s="1">
        <v>0</v>
      </c>
      <c r="X105" s="1">
        <f>0</f>
        <v>0</v>
      </c>
      <c r="Y105" s="1">
        <f>0</f>
        <v>0</v>
      </c>
      <c r="Z105" s="1">
        <f>0</f>
        <v>0</v>
      </c>
      <c r="AA105" s="1"/>
      <c r="AB105" s="5"/>
      <c r="AC105" s="5"/>
      <c r="AD105" s="1" t="e">
        <f>ABS(NETWORKDAYS.INTL("7/15/2024", "7/15/2024", 1, {"01/01/2024","01/15/2024","02/19/2024","05/27/2024","07/04/2024","09/02/2024","10/14/2024","11/11/2024","11/28/2024","12/25/2024","12/25/2024","12/26/2024","12/27/2024","12/28/2024","12/29/2024","12/30/2024","31/25/2024","01/01/2024","01/02/2024","01/03/2024","01/04/2024","01/05/2024"}))</f>
        <v>#VALUE!</v>
      </c>
      <c r="AE105" s="1" t="e">
        <f>ABS(NETWORKDAYS.INTL("7/15/2024", "7/15/2024", 1, {"01/01/2024","01/15/2024","02/19/2024","05/27/2024","07/04/2024","09/02/2024","10/14/2024","11/11/2024","11/28/2024","12/25/2024","12/25/2024","12/26/2024","12/27/2024","12/28/2024","12/29/2024","12/30/2024","31/25/2024","01/01/2024","01/02/2024","01/03/2024","01/04/2024","01/05/2024"}))</f>
        <v>#VALUE!</v>
      </c>
      <c r="AF105" s="1">
        <f>0</f>
        <v>0</v>
      </c>
      <c r="AG105" s="1">
        <f>0</f>
        <v>0</v>
      </c>
      <c r="AH105" s="1">
        <f>0</f>
        <v>0</v>
      </c>
      <c r="AI105" s="1">
        <f>0</f>
        <v>0</v>
      </c>
      <c r="AJ105" s="1" t="b">
        <v>1</v>
      </c>
      <c r="AK105" s="1"/>
      <c r="AL105" s="1"/>
      <c r="AM105" s="1"/>
      <c r="AN105" s="1"/>
      <c r="AO105" s="1"/>
      <c r="AP105" s="1"/>
      <c r="AQ105" s="1"/>
      <c r="AR105" s="1"/>
      <c r="AS105" s="1"/>
      <c r="AT105" s="1"/>
      <c r="AU105" s="1"/>
      <c r="AV105" s="1"/>
      <c r="AW105" s="1"/>
      <c r="AX105" s="1"/>
      <c r="AY105" s="1" t="b">
        <v>1</v>
      </c>
      <c r="AZ105" s="1"/>
    </row>
    <row r="106" spans="1:52" ht="15" customHeight="1" x14ac:dyDescent="0.35">
      <c r="A106" s="1" t="s">
        <v>868</v>
      </c>
      <c r="B106" s="1" t="s">
        <v>869</v>
      </c>
      <c r="C106" s="1" t="s">
        <v>640</v>
      </c>
      <c r="D106" s="1" t="s">
        <v>681</v>
      </c>
      <c r="E106" s="1" t="s">
        <v>741</v>
      </c>
      <c r="F106" s="9" t="s">
        <v>870</v>
      </c>
      <c r="G106" s="1" t="s">
        <v>406</v>
      </c>
      <c r="H1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6" s="11" t="e">
        <f>ABS(NETWORKDAYS.INTL("7/31/2024", "08/05/24", 1, {"01/01/2024","01/15/2024","02/19/2024","05/27/2024","07/04/2024","09/02/2024","10/14/2024","11/11/2024","11/28/2024","12/25/2024","12/25/2024","12/26/2024","12/27/2024","12/28/2024","12/29/2024","12/30/2024","31/25/2024","01/01/2024","01/02/2024","01/03/2024","01/04/2024","01/05/2024"}))</f>
        <v>#VALUE!</v>
      </c>
      <c r="J106" s="1">
        <f>0</f>
        <v>0</v>
      </c>
      <c r="K106" s="1"/>
      <c r="L106" s="1">
        <v>0</v>
      </c>
      <c r="M106" s="1">
        <f>0</f>
        <v>0</v>
      </c>
      <c r="N106" s="1">
        <f>0</f>
        <v>0</v>
      </c>
      <c r="O106" s="1">
        <f>0</f>
        <v>0</v>
      </c>
      <c r="P106" s="1"/>
      <c r="Q106" s="1">
        <v>0</v>
      </c>
      <c r="R106" s="1">
        <v>0</v>
      </c>
      <c r="S106" s="1">
        <f>0</f>
        <v>0</v>
      </c>
      <c r="T106" s="1">
        <f>0</f>
        <v>0</v>
      </c>
      <c r="U106" s="1"/>
      <c r="V106" s="1">
        <v>0</v>
      </c>
      <c r="W106" s="1">
        <v>0</v>
      </c>
      <c r="X106" s="1">
        <f>0</f>
        <v>0</v>
      </c>
      <c r="Y106" s="1">
        <f>0</f>
        <v>0</v>
      </c>
      <c r="Z106" s="1">
        <f>0</f>
        <v>0</v>
      </c>
      <c r="AA106" s="1"/>
      <c r="AB106" s="5"/>
      <c r="AC106" s="5"/>
      <c r="AD106" s="1">
        <f>0</f>
        <v>0</v>
      </c>
      <c r="AE106" s="1">
        <f>0</f>
        <v>0</v>
      </c>
      <c r="AF106" s="1">
        <f>0</f>
        <v>0</v>
      </c>
      <c r="AG106" s="1">
        <f>0</f>
        <v>0</v>
      </c>
      <c r="AH106" s="1">
        <f>0</f>
        <v>0</v>
      </c>
      <c r="AI106" s="1">
        <f>0</f>
        <v>0</v>
      </c>
      <c r="AJ106" s="1" t="b">
        <v>1</v>
      </c>
      <c r="AK106" s="1"/>
      <c r="AL106" s="1"/>
      <c r="AM106" s="1"/>
      <c r="AN106" s="1"/>
      <c r="AO106" s="1"/>
      <c r="AP106" s="1"/>
      <c r="AQ106" s="1"/>
      <c r="AR106" s="1"/>
      <c r="AS106" s="1"/>
      <c r="AT106" s="1"/>
      <c r="AU106" s="1"/>
      <c r="AV106" s="1"/>
      <c r="AW106" s="1"/>
      <c r="AX106" s="1"/>
      <c r="AY106" s="1" t="b">
        <v>1</v>
      </c>
      <c r="AZ106" s="1"/>
    </row>
    <row r="107" spans="1:52" ht="15" customHeight="1" x14ac:dyDescent="0.35">
      <c r="A107" s="1" t="s">
        <v>871</v>
      </c>
      <c r="B107" s="1" t="s">
        <v>872</v>
      </c>
      <c r="C107" s="1" t="s">
        <v>640</v>
      </c>
      <c r="D107" s="1" t="s">
        <v>602</v>
      </c>
      <c r="E107" s="1" t="s">
        <v>873</v>
      </c>
      <c r="F107" s="9" t="s">
        <v>806</v>
      </c>
      <c r="G107" s="1" t="s">
        <v>406</v>
      </c>
      <c r="H1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7" s="11">
        <f>0</f>
        <v>0</v>
      </c>
      <c r="J107" s="1">
        <f>0</f>
        <v>0</v>
      </c>
      <c r="K107" s="1"/>
      <c r="L107" s="1">
        <v>0</v>
      </c>
      <c r="M107" s="1">
        <f>0</f>
        <v>0</v>
      </c>
      <c r="N107" s="1">
        <f>0</f>
        <v>0</v>
      </c>
      <c r="O107" s="1">
        <f>0</f>
        <v>0</v>
      </c>
      <c r="P107" s="1"/>
      <c r="Q107" s="1">
        <v>0</v>
      </c>
      <c r="R107" s="1">
        <v>0</v>
      </c>
      <c r="S107" s="1">
        <f>0</f>
        <v>0</v>
      </c>
      <c r="T107" s="1">
        <f>0</f>
        <v>0</v>
      </c>
      <c r="U107" s="1"/>
      <c r="V107" s="1">
        <v>0</v>
      </c>
      <c r="W107" s="1">
        <v>0</v>
      </c>
      <c r="X107" s="1">
        <f>0</f>
        <v>0</v>
      </c>
      <c r="Y107" s="1">
        <f>0</f>
        <v>0</v>
      </c>
      <c r="Z107" s="1">
        <f>0</f>
        <v>0</v>
      </c>
      <c r="AA107" s="1"/>
      <c r="AB107" s="5"/>
      <c r="AC107" s="5"/>
      <c r="AD107" s="1">
        <f>0</f>
        <v>0</v>
      </c>
      <c r="AE107" s="1">
        <f>0</f>
        <v>0</v>
      </c>
      <c r="AF107" s="1">
        <f>0</f>
        <v>0</v>
      </c>
      <c r="AG107" s="1">
        <f>0</f>
        <v>0</v>
      </c>
      <c r="AH107" s="1">
        <f>0</f>
        <v>0</v>
      </c>
      <c r="AI107" s="1">
        <f>0</f>
        <v>0</v>
      </c>
      <c r="AJ107" s="1" t="b">
        <v>1</v>
      </c>
      <c r="AK107" s="1"/>
      <c r="AL107" s="1"/>
      <c r="AM107" s="1"/>
      <c r="AN107" s="1"/>
      <c r="AO107" s="1"/>
      <c r="AP107" s="1"/>
      <c r="AQ107" s="1"/>
      <c r="AR107" s="1"/>
      <c r="AS107" s="1"/>
      <c r="AT107" s="1"/>
      <c r="AU107" s="1"/>
      <c r="AV107" s="1"/>
      <c r="AW107" s="1"/>
      <c r="AX107" s="1"/>
      <c r="AY107" s="1" t="b">
        <v>1</v>
      </c>
      <c r="AZ107" s="1" t="b">
        <v>1</v>
      </c>
    </row>
    <row r="108" spans="1:52" ht="15" customHeight="1" x14ac:dyDescent="0.35">
      <c r="A108" s="1" t="s">
        <v>874</v>
      </c>
      <c r="B108" s="1" t="s">
        <v>875</v>
      </c>
      <c r="C108" s="1" t="s">
        <v>640</v>
      </c>
      <c r="D108" s="1" t="s">
        <v>602</v>
      </c>
      <c r="E108" s="1" t="s">
        <v>876</v>
      </c>
      <c r="F108" s="9" t="s">
        <v>877</v>
      </c>
      <c r="G108" s="1" t="s">
        <v>406</v>
      </c>
      <c r="H1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8" s="11">
        <f>0</f>
        <v>0</v>
      </c>
      <c r="J108" s="1">
        <f>0</f>
        <v>0</v>
      </c>
      <c r="K108" s="1"/>
      <c r="L108" s="1">
        <v>0</v>
      </c>
      <c r="M108" s="1">
        <f>0</f>
        <v>0</v>
      </c>
      <c r="N108" s="1">
        <f>0</f>
        <v>0</v>
      </c>
      <c r="O108" s="1">
        <f>0</f>
        <v>0</v>
      </c>
      <c r="P108" s="1"/>
      <c r="Q108" s="1">
        <v>0</v>
      </c>
      <c r="R108" s="1">
        <v>0</v>
      </c>
      <c r="S108" s="1">
        <f>0</f>
        <v>0</v>
      </c>
      <c r="T108" s="1">
        <f>0</f>
        <v>0</v>
      </c>
      <c r="U108" s="1"/>
      <c r="V108" s="1">
        <v>0</v>
      </c>
      <c r="W108" s="1">
        <v>0</v>
      </c>
      <c r="X108" s="1">
        <f>0</f>
        <v>0</v>
      </c>
      <c r="Y108" s="1">
        <f>0</f>
        <v>0</v>
      </c>
      <c r="Z108" s="1">
        <f>0</f>
        <v>0</v>
      </c>
      <c r="AA108" s="1"/>
      <c r="AB108" s="5"/>
      <c r="AC108" s="5"/>
      <c r="AD108" s="1">
        <f>0</f>
        <v>0</v>
      </c>
      <c r="AE108" s="1">
        <f>0</f>
        <v>0</v>
      </c>
      <c r="AF108" s="1">
        <f>0</f>
        <v>0</v>
      </c>
      <c r="AG108" s="1">
        <f>0</f>
        <v>0</v>
      </c>
      <c r="AH108" s="1">
        <f>0</f>
        <v>0</v>
      </c>
      <c r="AI108" s="1">
        <f>0</f>
        <v>0</v>
      </c>
      <c r="AJ108" s="1" t="b">
        <v>1</v>
      </c>
      <c r="AK108" s="1"/>
      <c r="AL108" s="1"/>
      <c r="AM108" s="1"/>
      <c r="AN108" s="1"/>
      <c r="AO108" s="1"/>
      <c r="AP108" s="1"/>
      <c r="AQ108" s="1"/>
      <c r="AR108" s="1"/>
      <c r="AS108" s="1"/>
      <c r="AT108" s="1"/>
      <c r="AU108" s="1"/>
      <c r="AV108" s="1"/>
      <c r="AW108" s="1"/>
      <c r="AX108" s="1"/>
      <c r="AY108" s="1"/>
      <c r="AZ108" s="1"/>
    </row>
    <row r="109" spans="1:52" ht="15" customHeight="1" x14ac:dyDescent="0.35">
      <c r="A109" s="1" t="s">
        <v>878</v>
      </c>
      <c r="B109" s="1" t="s">
        <v>879</v>
      </c>
      <c r="C109" s="1" t="s">
        <v>640</v>
      </c>
      <c r="D109" s="1" t="s">
        <v>602</v>
      </c>
      <c r="E109" s="1" t="s">
        <v>741</v>
      </c>
      <c r="F109" s="9" t="s">
        <v>806</v>
      </c>
      <c r="G109" s="1" t="s">
        <v>406</v>
      </c>
      <c r="H1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09" s="11">
        <f>0</f>
        <v>0</v>
      </c>
      <c r="J109" s="1">
        <f>0</f>
        <v>0</v>
      </c>
      <c r="K109" s="1"/>
      <c r="L109" s="1">
        <v>0</v>
      </c>
      <c r="M109" s="1">
        <f>0</f>
        <v>0</v>
      </c>
      <c r="N109" s="1">
        <f>0</f>
        <v>0</v>
      </c>
      <c r="O109" s="1">
        <f>0</f>
        <v>0</v>
      </c>
      <c r="P109" s="1"/>
      <c r="Q109" s="1">
        <v>0</v>
      </c>
      <c r="R109" s="1">
        <v>0</v>
      </c>
      <c r="S109" s="1">
        <f>0</f>
        <v>0</v>
      </c>
      <c r="T109" s="1">
        <f>0</f>
        <v>0</v>
      </c>
      <c r="U109" s="1"/>
      <c r="V109" s="1">
        <v>0</v>
      </c>
      <c r="W109" s="1">
        <v>0</v>
      </c>
      <c r="X109" s="1">
        <f>0</f>
        <v>0</v>
      </c>
      <c r="Y109" s="1">
        <f>0</f>
        <v>0</v>
      </c>
      <c r="Z109" s="1">
        <f>0</f>
        <v>0</v>
      </c>
      <c r="AA109" s="1"/>
      <c r="AB109" s="5"/>
      <c r="AC109" s="5"/>
      <c r="AD109" s="1">
        <f>0</f>
        <v>0</v>
      </c>
      <c r="AE109" s="1">
        <f>0</f>
        <v>0</v>
      </c>
      <c r="AF109" s="1">
        <f>0</f>
        <v>0</v>
      </c>
      <c r="AG109" s="1">
        <f>0</f>
        <v>0</v>
      </c>
      <c r="AH109" s="1">
        <f>0</f>
        <v>0</v>
      </c>
      <c r="AI109" s="1">
        <f>0</f>
        <v>0</v>
      </c>
      <c r="AJ109" s="1" t="b">
        <v>1</v>
      </c>
      <c r="AK109" s="1"/>
      <c r="AL109" s="1"/>
      <c r="AM109" s="1"/>
      <c r="AN109" s="1"/>
      <c r="AO109" s="1"/>
      <c r="AP109" s="1"/>
      <c r="AQ109" s="1"/>
      <c r="AR109" s="1"/>
      <c r="AS109" s="1"/>
      <c r="AT109" s="1"/>
      <c r="AU109" s="1"/>
      <c r="AV109" s="1"/>
      <c r="AW109" s="1"/>
      <c r="AX109" s="1"/>
      <c r="AY109" s="1" t="b">
        <v>1</v>
      </c>
      <c r="AZ109" s="1"/>
    </row>
    <row r="110" spans="1:52" ht="15" customHeight="1" x14ac:dyDescent="0.35">
      <c r="A110" s="1" t="s">
        <v>880</v>
      </c>
      <c r="B110" s="1" t="s">
        <v>881</v>
      </c>
      <c r="C110" s="1" t="s">
        <v>640</v>
      </c>
      <c r="D110" s="1" t="s">
        <v>602</v>
      </c>
      <c r="E110" s="1" t="s">
        <v>741</v>
      </c>
      <c r="F110" s="9" t="s">
        <v>882</v>
      </c>
      <c r="G110" s="1" t="s">
        <v>406</v>
      </c>
      <c r="H1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0" s="11">
        <f>0</f>
        <v>0</v>
      </c>
      <c r="J110" s="1">
        <f>0</f>
        <v>0</v>
      </c>
      <c r="K110" s="1"/>
      <c r="L110" s="1">
        <v>0</v>
      </c>
      <c r="M110" s="1">
        <f>0</f>
        <v>0</v>
      </c>
      <c r="N110" s="1">
        <f>0</f>
        <v>0</v>
      </c>
      <c r="O110" s="1">
        <f>0</f>
        <v>0</v>
      </c>
      <c r="P110" s="1"/>
      <c r="Q110" s="1">
        <v>0</v>
      </c>
      <c r="R110" s="1">
        <v>0</v>
      </c>
      <c r="S110" s="1">
        <f>0</f>
        <v>0</v>
      </c>
      <c r="T110" s="1">
        <f>0</f>
        <v>0</v>
      </c>
      <c r="U110" s="1"/>
      <c r="V110" s="1">
        <v>0</v>
      </c>
      <c r="W110" s="1">
        <v>0</v>
      </c>
      <c r="X110" s="1">
        <f>0</f>
        <v>0</v>
      </c>
      <c r="Y110" s="1">
        <f>0</f>
        <v>0</v>
      </c>
      <c r="Z110" s="1">
        <f>0</f>
        <v>0</v>
      </c>
      <c r="AA110" s="1"/>
      <c r="AB110" s="5"/>
      <c r="AC110" s="5"/>
      <c r="AD110" s="1">
        <f>0</f>
        <v>0</v>
      </c>
      <c r="AE110" s="1">
        <f>0</f>
        <v>0</v>
      </c>
      <c r="AF110" s="1">
        <f>0</f>
        <v>0</v>
      </c>
      <c r="AG110" s="1">
        <f>0</f>
        <v>0</v>
      </c>
      <c r="AH110" s="1">
        <f>0</f>
        <v>0</v>
      </c>
      <c r="AI110" s="1">
        <f>0</f>
        <v>0</v>
      </c>
      <c r="AJ110" s="1" t="b">
        <v>1</v>
      </c>
      <c r="AK110" s="1"/>
      <c r="AL110" s="1"/>
      <c r="AM110" s="1"/>
      <c r="AN110" s="1"/>
      <c r="AO110" s="1"/>
      <c r="AP110" s="1"/>
      <c r="AQ110" s="1"/>
      <c r="AR110" s="1"/>
      <c r="AS110" s="1"/>
      <c r="AT110" s="1"/>
      <c r="AU110" s="1"/>
      <c r="AV110" s="1"/>
      <c r="AW110" s="1"/>
      <c r="AX110" s="1"/>
      <c r="AY110" s="1" t="b">
        <v>1</v>
      </c>
      <c r="AZ110" s="1"/>
    </row>
    <row r="111" spans="1:52" ht="15" customHeight="1" x14ac:dyDescent="0.35">
      <c r="A111" s="1" t="s">
        <v>883</v>
      </c>
      <c r="B111" s="1" t="s">
        <v>884</v>
      </c>
      <c r="C111" s="1" t="s">
        <v>640</v>
      </c>
      <c r="D111" s="1" t="s">
        <v>602</v>
      </c>
      <c r="E111" s="1" t="s">
        <v>805</v>
      </c>
      <c r="F111" s="9" t="s">
        <v>885</v>
      </c>
      <c r="G111" s="1" t="s">
        <v>406</v>
      </c>
      <c r="H1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1" s="11">
        <f>0</f>
        <v>0</v>
      </c>
      <c r="J111" s="1">
        <f>0</f>
        <v>0</v>
      </c>
      <c r="K111" s="1"/>
      <c r="L111" s="1">
        <v>0</v>
      </c>
      <c r="M111" s="1">
        <f>0</f>
        <v>0</v>
      </c>
      <c r="N111" s="1">
        <f>0</f>
        <v>0</v>
      </c>
      <c r="O111" s="1">
        <f>0</f>
        <v>0</v>
      </c>
      <c r="P111" s="1"/>
      <c r="Q111" s="1">
        <v>0</v>
      </c>
      <c r="R111" s="1">
        <v>0</v>
      </c>
      <c r="S111" s="1">
        <f>0</f>
        <v>0</v>
      </c>
      <c r="T111" s="1">
        <f>0</f>
        <v>0</v>
      </c>
      <c r="U111" s="1"/>
      <c r="V111" s="1">
        <v>0</v>
      </c>
      <c r="W111" s="1">
        <v>0</v>
      </c>
      <c r="X111" s="1">
        <f>0</f>
        <v>0</v>
      </c>
      <c r="Y111" s="1">
        <f>0</f>
        <v>0</v>
      </c>
      <c r="Z111" s="1">
        <f>0</f>
        <v>0</v>
      </c>
      <c r="AA111" s="1"/>
      <c r="AB111" s="5"/>
      <c r="AC111" s="5"/>
      <c r="AD111" s="1">
        <f>0</f>
        <v>0</v>
      </c>
      <c r="AE111" s="1">
        <f>0</f>
        <v>0</v>
      </c>
      <c r="AF111" s="1">
        <f>0</f>
        <v>0</v>
      </c>
      <c r="AG111" s="1">
        <f>0</f>
        <v>0</v>
      </c>
      <c r="AH111" s="1">
        <f>0</f>
        <v>0</v>
      </c>
      <c r="AI111" s="1">
        <f>0</f>
        <v>0</v>
      </c>
      <c r="AJ111" s="1" t="b">
        <v>1</v>
      </c>
      <c r="AK111" s="1"/>
      <c r="AL111" s="1"/>
      <c r="AM111" s="1"/>
      <c r="AN111" s="1"/>
      <c r="AO111" s="1"/>
      <c r="AP111" s="1"/>
      <c r="AQ111" s="1"/>
      <c r="AR111" s="1"/>
      <c r="AS111" s="1"/>
      <c r="AT111" s="1"/>
      <c r="AU111" s="1"/>
      <c r="AV111" s="1"/>
      <c r="AW111" s="1"/>
      <c r="AX111" s="1"/>
      <c r="AY111" s="1" t="b">
        <v>1</v>
      </c>
      <c r="AZ111" s="1"/>
    </row>
    <row r="112" spans="1:52" ht="15" customHeight="1" x14ac:dyDescent="0.35">
      <c r="A112" s="1" t="s">
        <v>886</v>
      </c>
      <c r="B112" s="1" t="s">
        <v>887</v>
      </c>
      <c r="C112" s="1" t="s">
        <v>640</v>
      </c>
      <c r="D112" s="1" t="s">
        <v>602</v>
      </c>
      <c r="E112" s="1" t="s">
        <v>888</v>
      </c>
      <c r="F112" s="9" t="s">
        <v>889</v>
      </c>
      <c r="G112" s="1" t="s">
        <v>406</v>
      </c>
      <c r="H1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2" s="11">
        <f>0</f>
        <v>0</v>
      </c>
      <c r="J112" s="1">
        <f>0</f>
        <v>0</v>
      </c>
      <c r="K112" s="1"/>
      <c r="L112" s="1">
        <v>0</v>
      </c>
      <c r="M112" s="1">
        <f>0</f>
        <v>0</v>
      </c>
      <c r="N112" s="1">
        <f>0</f>
        <v>0</v>
      </c>
      <c r="O112" s="1">
        <f>0</f>
        <v>0</v>
      </c>
      <c r="P112" s="1"/>
      <c r="Q112" s="1">
        <v>0</v>
      </c>
      <c r="R112" s="1">
        <v>0</v>
      </c>
      <c r="S112" s="1">
        <f>0</f>
        <v>0</v>
      </c>
      <c r="T112" s="1">
        <f>0</f>
        <v>0</v>
      </c>
      <c r="U112" s="1"/>
      <c r="V112" s="1">
        <v>0</v>
      </c>
      <c r="W112" s="1">
        <v>0</v>
      </c>
      <c r="X112" s="1">
        <f>0</f>
        <v>0</v>
      </c>
      <c r="Y112" s="1">
        <f>0</f>
        <v>0</v>
      </c>
      <c r="Z112" s="1">
        <f>0</f>
        <v>0</v>
      </c>
      <c r="AA112" s="1"/>
      <c r="AB112" s="5"/>
      <c r="AC112" s="5"/>
      <c r="AD112" s="1">
        <f>0</f>
        <v>0</v>
      </c>
      <c r="AE112" s="1">
        <f>0</f>
        <v>0</v>
      </c>
      <c r="AF112" s="1">
        <f>0</f>
        <v>0</v>
      </c>
      <c r="AG112" s="1">
        <f>0</f>
        <v>0</v>
      </c>
      <c r="AH112" s="1">
        <f>0</f>
        <v>0</v>
      </c>
      <c r="AI112" s="1">
        <f>0</f>
        <v>0</v>
      </c>
      <c r="AJ112" s="1" t="b">
        <v>1</v>
      </c>
      <c r="AK112" s="1"/>
      <c r="AL112" s="1"/>
      <c r="AM112" s="1"/>
      <c r="AN112" s="1"/>
      <c r="AO112" s="1"/>
      <c r="AP112" s="1"/>
      <c r="AQ112" s="1"/>
      <c r="AR112" s="1"/>
      <c r="AS112" s="1"/>
      <c r="AT112" s="1"/>
      <c r="AU112" s="1"/>
      <c r="AV112" s="1"/>
      <c r="AW112" s="1"/>
      <c r="AX112" s="1"/>
      <c r="AY112" s="1"/>
      <c r="AZ112" s="1"/>
    </row>
    <row r="113" spans="1:52" ht="15" customHeight="1" x14ac:dyDescent="0.35">
      <c r="A113" s="1" t="s">
        <v>890</v>
      </c>
      <c r="B113" s="1" t="s">
        <v>891</v>
      </c>
      <c r="C113" s="1" t="s">
        <v>640</v>
      </c>
      <c r="D113" s="1" t="s">
        <v>801</v>
      </c>
      <c r="E113" s="1" t="s">
        <v>892</v>
      </c>
      <c r="F113" s="9" t="s">
        <v>893</v>
      </c>
      <c r="G113" s="1" t="s">
        <v>406</v>
      </c>
      <c r="H1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3" s="11">
        <f>0</f>
        <v>0</v>
      </c>
      <c r="J113" s="1">
        <f>0</f>
        <v>0</v>
      </c>
      <c r="K113" s="1"/>
      <c r="L113" s="1">
        <v>0</v>
      </c>
      <c r="M113" s="1">
        <f>0</f>
        <v>0</v>
      </c>
      <c r="N113" s="1">
        <f>0</f>
        <v>0</v>
      </c>
      <c r="O113" s="1">
        <f>0</f>
        <v>0</v>
      </c>
      <c r="P113" s="1"/>
      <c r="Q113" s="1">
        <v>0</v>
      </c>
      <c r="R113" s="1">
        <v>0</v>
      </c>
      <c r="S113" s="1">
        <f>0</f>
        <v>0</v>
      </c>
      <c r="T113" s="1">
        <f>0</f>
        <v>0</v>
      </c>
      <c r="U113" s="1"/>
      <c r="V113" s="1">
        <v>0</v>
      </c>
      <c r="W113" s="1">
        <v>0</v>
      </c>
      <c r="X113" s="1">
        <f>0</f>
        <v>0</v>
      </c>
      <c r="Y113" s="1">
        <f>0</f>
        <v>0</v>
      </c>
      <c r="Z113" s="1">
        <f>0</f>
        <v>0</v>
      </c>
      <c r="AA113" s="1"/>
      <c r="AB113" s="5"/>
      <c r="AC113" s="5"/>
      <c r="AD113" s="1">
        <f>0</f>
        <v>0</v>
      </c>
      <c r="AE113" s="1">
        <f>0</f>
        <v>0</v>
      </c>
      <c r="AF113" s="1">
        <f>0</f>
        <v>0</v>
      </c>
      <c r="AG113" s="1">
        <f>0</f>
        <v>0</v>
      </c>
      <c r="AH113" s="1">
        <f>0</f>
        <v>0</v>
      </c>
      <c r="AI113" s="1">
        <f>0</f>
        <v>0</v>
      </c>
      <c r="AJ113" s="1"/>
      <c r="AK113" s="1" t="b">
        <v>1</v>
      </c>
      <c r="AL113" s="1"/>
      <c r="AM113" s="1"/>
      <c r="AN113" s="1"/>
      <c r="AO113" s="1"/>
      <c r="AP113" s="1"/>
      <c r="AQ113" s="1"/>
      <c r="AR113" s="1"/>
      <c r="AS113" s="1"/>
      <c r="AT113" s="1"/>
      <c r="AU113" s="1"/>
      <c r="AV113" s="1"/>
      <c r="AW113" s="1" t="b">
        <v>1</v>
      </c>
      <c r="AX113" s="1"/>
      <c r="AY113" s="1"/>
      <c r="AZ113" s="1"/>
    </row>
    <row r="114" spans="1:52" ht="15" customHeight="1" x14ac:dyDescent="0.35">
      <c r="A114" s="1" t="s">
        <v>894</v>
      </c>
      <c r="B114" s="1" t="s">
        <v>895</v>
      </c>
      <c r="C114" s="1" t="s">
        <v>640</v>
      </c>
      <c r="D114" s="1"/>
      <c r="E114" s="1" t="s">
        <v>892</v>
      </c>
      <c r="F114" s="9" t="s">
        <v>893</v>
      </c>
      <c r="G114" s="1" t="s">
        <v>406</v>
      </c>
      <c r="H1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4" s="11">
        <f>0</f>
        <v>0</v>
      </c>
      <c r="J114" s="1">
        <f>0</f>
        <v>0</v>
      </c>
      <c r="K114" s="1"/>
      <c r="L114" s="1">
        <v>0</v>
      </c>
      <c r="M114" s="1">
        <f>0</f>
        <v>0</v>
      </c>
      <c r="N114" s="1">
        <f>0</f>
        <v>0</v>
      </c>
      <c r="O114" s="1">
        <f>0</f>
        <v>0</v>
      </c>
      <c r="P114" s="1"/>
      <c r="Q114" s="1">
        <v>0</v>
      </c>
      <c r="R114" s="1">
        <v>0</v>
      </c>
      <c r="S114" s="1">
        <f>0</f>
        <v>0</v>
      </c>
      <c r="T114" s="1">
        <f>0</f>
        <v>0</v>
      </c>
      <c r="U114" s="1"/>
      <c r="V114" s="1">
        <v>0</v>
      </c>
      <c r="W114" s="1">
        <v>0</v>
      </c>
      <c r="X114" s="1">
        <f>0</f>
        <v>0</v>
      </c>
      <c r="Y114" s="1">
        <f>0</f>
        <v>0</v>
      </c>
      <c r="Z114" s="1">
        <f>0</f>
        <v>0</v>
      </c>
      <c r="AA114" s="1"/>
      <c r="AB114" s="5"/>
      <c r="AC114" s="5"/>
      <c r="AD114" s="1">
        <f>0</f>
        <v>0</v>
      </c>
      <c r="AE114" s="1">
        <f>0</f>
        <v>0</v>
      </c>
      <c r="AF114" s="1">
        <f>0</f>
        <v>0</v>
      </c>
      <c r="AG114" s="1">
        <f>0</f>
        <v>0</v>
      </c>
      <c r="AH114" s="1">
        <f>0</f>
        <v>0</v>
      </c>
      <c r="AI114" s="1">
        <f>0</f>
        <v>0</v>
      </c>
      <c r="AJ114" s="1"/>
      <c r="AK114" s="1" t="b">
        <v>1</v>
      </c>
      <c r="AL114" s="1"/>
      <c r="AM114" s="1"/>
      <c r="AN114" s="1"/>
      <c r="AO114" s="1"/>
      <c r="AP114" s="1"/>
      <c r="AQ114" s="1"/>
      <c r="AR114" s="1"/>
      <c r="AS114" s="1"/>
      <c r="AT114" s="1"/>
      <c r="AU114" s="1"/>
      <c r="AV114" s="1"/>
      <c r="AW114" s="1" t="b">
        <v>1</v>
      </c>
      <c r="AX114" s="1"/>
      <c r="AY114" s="1"/>
      <c r="AZ114" s="1"/>
    </row>
    <row r="115" spans="1:52" ht="15" customHeight="1" x14ac:dyDescent="0.35">
      <c r="A115" s="1" t="s">
        <v>896</v>
      </c>
      <c r="B115" s="1" t="s">
        <v>897</v>
      </c>
      <c r="C115" s="1" t="s">
        <v>640</v>
      </c>
      <c r="D115" s="1" t="s">
        <v>801</v>
      </c>
      <c r="E115" s="1" t="s">
        <v>892</v>
      </c>
      <c r="F115" s="9" t="s">
        <v>893</v>
      </c>
      <c r="G115" s="1" t="s">
        <v>406</v>
      </c>
      <c r="H1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5" s="11">
        <f>0</f>
        <v>0</v>
      </c>
      <c r="J115" s="1">
        <f>0</f>
        <v>0</v>
      </c>
      <c r="K115" s="1"/>
      <c r="L115" s="1">
        <v>0</v>
      </c>
      <c r="M115" s="1">
        <f>0</f>
        <v>0</v>
      </c>
      <c r="N115" s="1">
        <f>0</f>
        <v>0</v>
      </c>
      <c r="O115" s="1">
        <f>0</f>
        <v>0</v>
      </c>
      <c r="P115" s="1"/>
      <c r="Q115" s="1">
        <v>0</v>
      </c>
      <c r="R115" s="1">
        <v>0</v>
      </c>
      <c r="S115" s="1">
        <f>0</f>
        <v>0</v>
      </c>
      <c r="T115" s="1">
        <f>0</f>
        <v>0</v>
      </c>
      <c r="U115" s="1"/>
      <c r="V115" s="1">
        <v>0</v>
      </c>
      <c r="W115" s="1">
        <v>0</v>
      </c>
      <c r="X115" s="1">
        <f>0</f>
        <v>0</v>
      </c>
      <c r="Y115" s="1">
        <f>0</f>
        <v>0</v>
      </c>
      <c r="Z115" s="1">
        <f>0</f>
        <v>0</v>
      </c>
      <c r="AA115" s="1"/>
      <c r="AB115" s="5"/>
      <c r="AC115" s="5"/>
      <c r="AD115" s="1">
        <f>0</f>
        <v>0</v>
      </c>
      <c r="AE115" s="1">
        <f>0</f>
        <v>0</v>
      </c>
      <c r="AF115" s="1">
        <f>0</f>
        <v>0</v>
      </c>
      <c r="AG115" s="1">
        <f>0</f>
        <v>0</v>
      </c>
      <c r="AH115" s="1">
        <f>0</f>
        <v>0</v>
      </c>
      <c r="AI115" s="1">
        <f>0</f>
        <v>0</v>
      </c>
      <c r="AJ115" s="1"/>
      <c r="AK115" s="1" t="b">
        <v>1</v>
      </c>
      <c r="AL115" s="1"/>
      <c r="AM115" s="1"/>
      <c r="AN115" s="1"/>
      <c r="AO115" s="1"/>
      <c r="AP115" s="1"/>
      <c r="AQ115" s="1"/>
      <c r="AR115" s="1"/>
      <c r="AS115" s="1"/>
      <c r="AT115" s="1"/>
      <c r="AU115" s="1"/>
      <c r="AV115" s="1"/>
      <c r="AW115" s="1" t="b">
        <v>1</v>
      </c>
      <c r="AX115" s="1"/>
      <c r="AY115" s="1"/>
      <c r="AZ115" s="1"/>
    </row>
    <row r="116" spans="1:52" ht="15" customHeight="1" x14ac:dyDescent="0.35">
      <c r="A116" s="1" t="s">
        <v>898</v>
      </c>
      <c r="B116" s="1" t="s">
        <v>899</v>
      </c>
      <c r="C116" s="1" t="s">
        <v>640</v>
      </c>
      <c r="D116" s="1" t="s">
        <v>801</v>
      </c>
      <c r="E116" s="1" t="s">
        <v>892</v>
      </c>
      <c r="F116" s="9" t="s">
        <v>893</v>
      </c>
      <c r="G116" s="1" t="s">
        <v>406</v>
      </c>
      <c r="H1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6" s="11">
        <f>0</f>
        <v>0</v>
      </c>
      <c r="J116" s="1">
        <f>0</f>
        <v>0</v>
      </c>
      <c r="K116" s="1"/>
      <c r="L116" s="1">
        <v>0</v>
      </c>
      <c r="M116" s="1">
        <f>0</f>
        <v>0</v>
      </c>
      <c r="N116" s="1">
        <f>0</f>
        <v>0</v>
      </c>
      <c r="O116" s="1">
        <f>0</f>
        <v>0</v>
      </c>
      <c r="P116" s="1"/>
      <c r="Q116" s="1">
        <v>0</v>
      </c>
      <c r="R116" s="1">
        <v>0</v>
      </c>
      <c r="S116" s="1">
        <f>0</f>
        <v>0</v>
      </c>
      <c r="T116" s="1">
        <f>0</f>
        <v>0</v>
      </c>
      <c r="U116" s="1"/>
      <c r="V116" s="1">
        <v>0</v>
      </c>
      <c r="W116" s="1">
        <v>0</v>
      </c>
      <c r="X116" s="1">
        <f>0</f>
        <v>0</v>
      </c>
      <c r="Y116" s="1">
        <f>0</f>
        <v>0</v>
      </c>
      <c r="Z116" s="1">
        <f>0</f>
        <v>0</v>
      </c>
      <c r="AA116" s="1"/>
      <c r="AB116" s="5"/>
      <c r="AC116" s="5"/>
      <c r="AD116" s="1">
        <f>0</f>
        <v>0</v>
      </c>
      <c r="AE116" s="1">
        <f>0</f>
        <v>0</v>
      </c>
      <c r="AF116" s="1">
        <f>0</f>
        <v>0</v>
      </c>
      <c r="AG116" s="1">
        <f>0</f>
        <v>0</v>
      </c>
      <c r="AH116" s="1">
        <f>0</f>
        <v>0</v>
      </c>
      <c r="AI116" s="1">
        <f>0</f>
        <v>0</v>
      </c>
      <c r="AJ116" s="1"/>
      <c r="AK116" s="1" t="b">
        <v>1</v>
      </c>
      <c r="AL116" s="1"/>
      <c r="AM116" s="1"/>
      <c r="AN116" s="1"/>
      <c r="AO116" s="1"/>
      <c r="AP116" s="1"/>
      <c r="AQ116" s="1"/>
      <c r="AR116" s="1"/>
      <c r="AS116" s="1"/>
      <c r="AT116" s="1"/>
      <c r="AU116" s="1"/>
      <c r="AV116" s="1"/>
      <c r="AW116" s="1" t="b">
        <v>1</v>
      </c>
      <c r="AX116" s="1"/>
      <c r="AY116" s="1"/>
      <c r="AZ116" s="1"/>
    </row>
    <row r="117" spans="1:52" ht="15" customHeight="1" x14ac:dyDescent="0.35">
      <c r="A117" s="1" t="s">
        <v>900</v>
      </c>
      <c r="B117" s="1" t="s">
        <v>901</v>
      </c>
      <c r="C117" s="1" t="s">
        <v>640</v>
      </c>
      <c r="D117" s="1" t="s">
        <v>801</v>
      </c>
      <c r="E117" s="1" t="s">
        <v>892</v>
      </c>
      <c r="F117" s="9" t="s">
        <v>893</v>
      </c>
      <c r="G117" s="1" t="s">
        <v>406</v>
      </c>
      <c r="H1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7" s="11">
        <f>0</f>
        <v>0</v>
      </c>
      <c r="J117" s="1">
        <f>0</f>
        <v>0</v>
      </c>
      <c r="K117" s="1"/>
      <c r="L117" s="1">
        <v>0</v>
      </c>
      <c r="M117" s="1">
        <f>0</f>
        <v>0</v>
      </c>
      <c r="N117" s="1">
        <f>0</f>
        <v>0</v>
      </c>
      <c r="O117" s="1">
        <f>0</f>
        <v>0</v>
      </c>
      <c r="P117" s="1"/>
      <c r="Q117" s="1">
        <v>0</v>
      </c>
      <c r="R117" s="1">
        <v>0</v>
      </c>
      <c r="S117" s="1">
        <f>0</f>
        <v>0</v>
      </c>
      <c r="T117" s="1">
        <f>0</f>
        <v>0</v>
      </c>
      <c r="U117" s="1"/>
      <c r="V117" s="1">
        <v>0</v>
      </c>
      <c r="W117" s="1">
        <v>0</v>
      </c>
      <c r="X117" s="1">
        <f>0</f>
        <v>0</v>
      </c>
      <c r="Y117" s="1">
        <f>0</f>
        <v>0</v>
      </c>
      <c r="Z117" s="1">
        <f>0</f>
        <v>0</v>
      </c>
      <c r="AA117" s="1"/>
      <c r="AB117" s="5"/>
      <c r="AC117" s="5"/>
      <c r="AD117" s="1">
        <f>0</f>
        <v>0</v>
      </c>
      <c r="AE117" s="1">
        <f>0</f>
        <v>0</v>
      </c>
      <c r="AF117" s="1">
        <f>0</f>
        <v>0</v>
      </c>
      <c r="AG117" s="1">
        <f>0</f>
        <v>0</v>
      </c>
      <c r="AH117" s="1">
        <f>0</f>
        <v>0</v>
      </c>
      <c r="AI117" s="1">
        <f>0</f>
        <v>0</v>
      </c>
      <c r="AJ117" s="1"/>
      <c r="AK117" s="1" t="b">
        <v>1</v>
      </c>
      <c r="AL117" s="1"/>
      <c r="AM117" s="1"/>
      <c r="AN117" s="1"/>
      <c r="AO117" s="1"/>
      <c r="AP117" s="1"/>
      <c r="AQ117" s="1"/>
      <c r="AR117" s="1"/>
      <c r="AS117" s="1"/>
      <c r="AT117" s="1"/>
      <c r="AU117" s="1"/>
      <c r="AV117" s="1"/>
      <c r="AW117" s="1" t="b">
        <v>1</v>
      </c>
      <c r="AX117" s="1"/>
      <c r="AY117" s="1"/>
      <c r="AZ117" s="1"/>
    </row>
    <row r="118" spans="1:52" ht="15" customHeight="1" x14ac:dyDescent="0.35">
      <c r="A118" s="1" t="s">
        <v>902</v>
      </c>
      <c r="B118" s="1" t="s">
        <v>903</v>
      </c>
      <c r="C118" s="1" t="s">
        <v>640</v>
      </c>
      <c r="D118" s="1" t="s">
        <v>801</v>
      </c>
      <c r="E118" s="1" t="s">
        <v>892</v>
      </c>
      <c r="F118" s="9" t="s">
        <v>893</v>
      </c>
      <c r="G118" s="1" t="s">
        <v>406</v>
      </c>
      <c r="H1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118" s="11">
        <f>0</f>
        <v>0</v>
      </c>
      <c r="J118" s="1">
        <f>0</f>
        <v>0</v>
      </c>
      <c r="K118" s="1"/>
      <c r="L118" s="1">
        <v>0</v>
      </c>
      <c r="M118" s="1">
        <f>0</f>
        <v>0</v>
      </c>
      <c r="N118" s="1">
        <f>0</f>
        <v>0</v>
      </c>
      <c r="O118" s="1">
        <f>0</f>
        <v>0</v>
      </c>
      <c r="P118" s="1"/>
      <c r="Q118" s="1">
        <v>0</v>
      </c>
      <c r="R118" s="1">
        <v>0</v>
      </c>
      <c r="S118" s="1">
        <f>0</f>
        <v>0</v>
      </c>
      <c r="T118" s="1">
        <f>0</f>
        <v>0</v>
      </c>
      <c r="U118" s="1"/>
      <c r="V118" s="1">
        <v>0</v>
      </c>
      <c r="W118" s="1">
        <v>0</v>
      </c>
      <c r="X118" s="1">
        <f>0</f>
        <v>0</v>
      </c>
      <c r="Y118" s="1">
        <f>0</f>
        <v>0</v>
      </c>
      <c r="Z118" s="1">
        <f>0</f>
        <v>0</v>
      </c>
      <c r="AA118" s="1"/>
      <c r="AB118" s="5"/>
      <c r="AC118" s="5"/>
      <c r="AD118" s="1">
        <f>0</f>
        <v>0</v>
      </c>
      <c r="AE118" s="1">
        <f>0</f>
        <v>0</v>
      </c>
      <c r="AF118" s="1">
        <f>0</f>
        <v>0</v>
      </c>
      <c r="AG118" s="1">
        <f>0</f>
        <v>0</v>
      </c>
      <c r="AH118" s="1">
        <f>0</f>
        <v>0</v>
      </c>
      <c r="AI118" s="1">
        <f>0</f>
        <v>0</v>
      </c>
      <c r="AJ118" s="1"/>
      <c r="AK118" s="1" t="b">
        <v>1</v>
      </c>
      <c r="AL118" s="1"/>
      <c r="AM118" s="1"/>
      <c r="AN118" s="1"/>
      <c r="AO118" s="1"/>
      <c r="AP118" s="1"/>
      <c r="AQ118" s="1"/>
      <c r="AR118" s="1"/>
      <c r="AS118" s="1"/>
      <c r="AT118" s="1"/>
      <c r="AU118" s="1"/>
      <c r="AV118" s="1"/>
      <c r="AW118" s="1" t="b">
        <v>1</v>
      </c>
      <c r="AX118" s="1"/>
      <c r="AY118" s="1"/>
      <c r="AZ118" s="1"/>
    </row>
    <row r="119" spans="1:52" ht="15" customHeight="1" x14ac:dyDescent="0.35">
      <c r="A119" s="1" t="s">
        <v>904</v>
      </c>
      <c r="B119" s="1" t="s">
        <v>407</v>
      </c>
      <c r="C119" s="1" t="s">
        <v>624</v>
      </c>
      <c r="D119" s="1" t="s">
        <v>905</v>
      </c>
      <c r="E119" s="1" t="s">
        <v>906</v>
      </c>
      <c r="F119" s="9" t="s">
        <v>907</v>
      </c>
      <c r="G119" s="1" t="s">
        <v>406</v>
      </c>
      <c r="H1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19" s="11" t="e">
        <f>ABS(NETWORKDAYS.INTL("07/01/24", "07/01/24", 1, {"01/01/2024","01/15/2024","02/19/2024","05/27/2024","07/04/2024","09/02/2024","10/14/2024","11/11/2024","11/28/2024","12/25/2024","12/25/2024","12/26/2024","12/27/2024","12/28/2024","12/29/2024","12/30/2024","31/25/2024","01/01/2024","01/02/2024","01/03/2024","01/04/2024","01/05/2024"}))</f>
        <v>#VALUE!</v>
      </c>
      <c r="J119" s="1">
        <f>0</f>
        <v>0</v>
      </c>
      <c r="K119" s="1"/>
      <c r="L119" s="1">
        <v>0</v>
      </c>
      <c r="M119" s="1">
        <f>0</f>
        <v>0</v>
      </c>
      <c r="N119" s="1">
        <f>0</f>
        <v>0</v>
      </c>
      <c r="O119" s="1">
        <f>0</f>
        <v>0</v>
      </c>
      <c r="P119" s="1"/>
      <c r="Q119" s="1">
        <v>0</v>
      </c>
      <c r="R119" s="1">
        <v>0</v>
      </c>
      <c r="S119" s="1">
        <f>0</f>
        <v>0</v>
      </c>
      <c r="T119" s="1">
        <f>0</f>
        <v>0</v>
      </c>
      <c r="U119" s="1"/>
      <c r="V119" s="1">
        <v>1</v>
      </c>
      <c r="W119" s="1">
        <v>1</v>
      </c>
      <c r="X119" s="1" t="e">
        <f>ABS(NETWORKDAYS.INTL("07/01/24", "07/01/24", 1, {"01/01/2024","01/15/2024","02/19/2024","05/27/2024","07/04/2024","09/02/2024","10/14/2024","11/11/2024","11/28/2024","12/25/2024","12/25/2024","12/26/2024","12/27/2024","12/28/2024","12/29/2024","12/30/2024","31/25/2024","01/01/2024","01/02/2024","01/03/2024","01/04/2024","01/05/2024"}))</f>
        <v>#VALUE!</v>
      </c>
      <c r="Y119" s="1">
        <f>0</f>
        <v>0</v>
      </c>
      <c r="Z119" s="1">
        <f>0</f>
        <v>0</v>
      </c>
      <c r="AA119" s="1"/>
      <c r="AB119" s="5">
        <v>45474</v>
      </c>
      <c r="AC119" s="5">
        <v>45498</v>
      </c>
      <c r="AD119" s="1">
        <f>0</f>
        <v>0</v>
      </c>
      <c r="AE119" s="1">
        <f>0</f>
        <v>0</v>
      </c>
      <c r="AF119" s="1">
        <f>0</f>
        <v>0</v>
      </c>
      <c r="AG119" s="1" t="e">
        <f>ABS(NETWORKDAYS.INTL("07/01/24", "08/05/24", 1, {"01/01/2024","01/15/2024","02/19/2024","05/27/2024","07/04/2024","09/02/2024","10/14/2024","11/11/2024","11/28/2024","12/25/2024","12/25/2024","12/26/2024","12/27/2024","12/28/2024","12/29/2024","12/30/2024","31/25/2024","01/01/2024","01/02/2024","01/03/2024","01/04/2024","01/05/2024"}))</f>
        <v>#VALUE!</v>
      </c>
      <c r="AH119" s="1" t="e">
        <f>ABS(NETWORKDAYS.INTL("07/01/24", "07/01/24", 1, {"01/01/2024","01/15/2024","02/19/2024","05/27/2024","07/04/2024","09/02/2024","10/14/2024","11/11/2024","11/28/2024","12/25/2024","12/25/2024","12/26/2024","12/27/2024","12/28/2024","12/29/2024","12/30/2024","31/25/2024","01/01/2024","01/02/2024","01/03/2024","01/04/2024","01/05/2024"}))</f>
        <v>#VALUE!</v>
      </c>
      <c r="AI119" s="1" t="e">
        <f>ABS(NETWORKDAYS.INTL("07/25/2024", "07/01/24", 1, {"01/01/2024","01/15/2024","02/19/2024","05/27/2024","07/04/2024","09/02/2024","10/14/2024","11/11/2024","11/28/2024","12/25/2024","12/25/2024","12/26/2024","12/27/2024","12/28/2024","12/29/2024","12/30/2024","31/25/2024","01/01/2024","01/02/2024","01/03/2024","01/04/2024","01/05/2024"}))</f>
        <v>#VALUE!</v>
      </c>
      <c r="AJ119" s="1"/>
      <c r="AK119" s="1" t="b">
        <v>1</v>
      </c>
      <c r="AL119" s="1"/>
      <c r="AM119" s="1"/>
      <c r="AN119" s="1"/>
      <c r="AO119" s="1"/>
      <c r="AP119" s="1"/>
      <c r="AQ119" s="1"/>
      <c r="AR119" s="1"/>
      <c r="AS119" s="1"/>
      <c r="AT119" s="1"/>
      <c r="AU119" s="1"/>
      <c r="AV119" s="1"/>
      <c r="AW119" s="1" t="b">
        <v>1</v>
      </c>
      <c r="AX119" s="1"/>
      <c r="AY119" s="1"/>
      <c r="AZ119" s="1"/>
    </row>
    <row r="120" spans="1:52" ht="15" customHeight="1" x14ac:dyDescent="0.35">
      <c r="A120" s="1" t="s">
        <v>908</v>
      </c>
      <c r="B120" s="1" t="s">
        <v>408</v>
      </c>
      <c r="C120" s="1" t="s">
        <v>624</v>
      </c>
      <c r="D120" s="1" t="s">
        <v>905</v>
      </c>
      <c r="E120" s="1" t="s">
        <v>906</v>
      </c>
      <c r="F120" s="9" t="s">
        <v>907</v>
      </c>
      <c r="G120" s="1" t="s">
        <v>406</v>
      </c>
      <c r="H1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0" s="11" t="e">
        <f>ABS(NETWORKDAYS.INTL("07/01/24", "07/01/24", 1, {"01/01/2024","01/15/2024","02/19/2024","05/27/2024","07/04/2024","09/02/2024","10/14/2024","11/11/2024","11/28/2024","12/25/2024","12/25/2024","12/26/2024","12/27/2024","12/28/2024","12/29/2024","12/30/2024","31/25/2024","01/01/2024","01/02/2024","01/03/2024","01/04/2024","01/05/2024"}))</f>
        <v>#VALUE!</v>
      </c>
      <c r="J120" s="1">
        <f>0</f>
        <v>0</v>
      </c>
      <c r="K120" s="1"/>
      <c r="L120" s="1">
        <v>0</v>
      </c>
      <c r="M120" s="1">
        <f>0</f>
        <v>0</v>
      </c>
      <c r="N120" s="1">
        <f>0</f>
        <v>0</v>
      </c>
      <c r="O120" s="1">
        <f>0</f>
        <v>0</v>
      </c>
      <c r="P120" s="1"/>
      <c r="Q120" s="1">
        <v>0</v>
      </c>
      <c r="R120" s="1">
        <v>0</v>
      </c>
      <c r="S120" s="1">
        <f>0</f>
        <v>0</v>
      </c>
      <c r="T120" s="1">
        <f>0</f>
        <v>0</v>
      </c>
      <c r="U120" s="1"/>
      <c r="V120" s="1">
        <v>1</v>
      </c>
      <c r="W120" s="1">
        <v>1</v>
      </c>
      <c r="X120" s="1" t="e">
        <f>ABS(NETWORKDAYS.INTL("07/01/24", "07/01/24", 1, {"01/01/2024","01/15/2024","02/19/2024","05/27/2024","07/04/2024","09/02/2024","10/14/2024","11/11/2024","11/28/2024","12/25/2024","12/25/2024","12/26/2024","12/27/2024","12/28/2024","12/29/2024","12/30/2024","31/25/2024","01/01/2024","01/02/2024","01/03/2024","01/04/2024","01/05/2024"}))</f>
        <v>#VALUE!</v>
      </c>
      <c r="Y120" s="1">
        <f>0</f>
        <v>0</v>
      </c>
      <c r="Z120" s="1">
        <f>0</f>
        <v>0</v>
      </c>
      <c r="AA120" s="1"/>
      <c r="AB120" s="5">
        <v>45474</v>
      </c>
      <c r="AC120" s="5">
        <v>45498</v>
      </c>
      <c r="AD120" s="1">
        <f>0</f>
        <v>0</v>
      </c>
      <c r="AE120" s="1">
        <f>0</f>
        <v>0</v>
      </c>
      <c r="AF120" s="1">
        <f>0</f>
        <v>0</v>
      </c>
      <c r="AG120" s="1" t="e">
        <f>ABS(NETWORKDAYS.INTL("07/01/24", "08/05/24", 1, {"01/01/2024","01/15/2024","02/19/2024","05/27/2024","07/04/2024","09/02/2024","10/14/2024","11/11/2024","11/28/2024","12/25/2024","12/25/2024","12/26/2024","12/27/2024","12/28/2024","12/29/2024","12/30/2024","31/25/2024","01/01/2024","01/02/2024","01/03/2024","01/04/2024","01/05/2024"}))</f>
        <v>#VALUE!</v>
      </c>
      <c r="AH120" s="1" t="e">
        <f>ABS(NETWORKDAYS.INTL("07/01/24", "07/01/24", 1, {"01/01/2024","01/15/2024","02/19/2024","05/27/2024","07/04/2024","09/02/2024","10/14/2024","11/11/2024","11/28/2024","12/25/2024","12/25/2024","12/26/2024","12/27/2024","12/28/2024","12/29/2024","12/30/2024","31/25/2024","01/01/2024","01/02/2024","01/03/2024","01/04/2024","01/05/2024"}))</f>
        <v>#VALUE!</v>
      </c>
      <c r="AI120" s="1" t="e">
        <f>ABS(NETWORKDAYS.INTL("07/25/2024", "07/01/24", 1, {"01/01/2024","01/15/2024","02/19/2024","05/27/2024","07/04/2024","09/02/2024","10/14/2024","11/11/2024","11/28/2024","12/25/2024","12/25/2024","12/26/2024","12/27/2024","12/28/2024","12/29/2024","12/30/2024","31/25/2024","01/01/2024","01/02/2024","01/03/2024","01/04/2024","01/05/2024"}))</f>
        <v>#VALUE!</v>
      </c>
      <c r="AJ120" s="1"/>
      <c r="AK120" s="1" t="b">
        <v>1</v>
      </c>
      <c r="AL120" s="1"/>
      <c r="AM120" s="1"/>
      <c r="AN120" s="1"/>
      <c r="AO120" s="1"/>
      <c r="AP120" s="1"/>
      <c r="AQ120" s="1"/>
      <c r="AR120" s="1"/>
      <c r="AS120" s="1"/>
      <c r="AT120" s="1"/>
      <c r="AU120" s="1"/>
      <c r="AV120" s="1"/>
      <c r="AW120" s="1" t="b">
        <v>1</v>
      </c>
      <c r="AX120" s="1"/>
      <c r="AY120" s="1"/>
      <c r="AZ120" s="1"/>
    </row>
    <row r="121" spans="1:52" ht="15" customHeight="1" x14ac:dyDescent="0.35">
      <c r="A121" s="1" t="s">
        <v>909</v>
      </c>
      <c r="B121" s="1" t="s">
        <v>409</v>
      </c>
      <c r="C121" s="1" t="s">
        <v>624</v>
      </c>
      <c r="D121" s="1" t="s">
        <v>905</v>
      </c>
      <c r="E121" s="1" t="s">
        <v>906</v>
      </c>
      <c r="F121" s="9" t="s">
        <v>907</v>
      </c>
      <c r="G121" s="1" t="s">
        <v>406</v>
      </c>
      <c r="H1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1" s="11" t="e">
        <f>ABS(NETWORKDAYS.INTL("07/01/24", "07/01/24", 1, {"01/01/2024","01/15/2024","02/19/2024","05/27/2024","07/04/2024","09/02/2024","10/14/2024","11/11/2024","11/28/2024","12/25/2024","12/25/2024","12/26/2024","12/27/2024","12/28/2024","12/29/2024","12/30/2024","31/25/2024","01/01/2024","01/02/2024","01/03/2024","01/04/2024","01/05/2024"}))</f>
        <v>#VALUE!</v>
      </c>
      <c r="J121" s="1">
        <f>0</f>
        <v>0</v>
      </c>
      <c r="K121" s="1"/>
      <c r="L121" s="1">
        <v>0</v>
      </c>
      <c r="M121" s="1">
        <f>0</f>
        <v>0</v>
      </c>
      <c r="N121" s="1">
        <f>0</f>
        <v>0</v>
      </c>
      <c r="O121" s="1">
        <f>0</f>
        <v>0</v>
      </c>
      <c r="P121" s="1"/>
      <c r="Q121" s="1">
        <v>0</v>
      </c>
      <c r="R121" s="1">
        <v>0</v>
      </c>
      <c r="S121" s="1">
        <f>0</f>
        <v>0</v>
      </c>
      <c r="T121" s="1">
        <f>0</f>
        <v>0</v>
      </c>
      <c r="U121" s="1"/>
      <c r="V121" s="1">
        <v>1</v>
      </c>
      <c r="W121" s="1">
        <v>1</v>
      </c>
      <c r="X121" s="1" t="e">
        <f>ABS(NETWORKDAYS.INTL("07/01/24", "07/01/24", 1, {"01/01/2024","01/15/2024","02/19/2024","05/27/2024","07/04/2024","09/02/2024","10/14/2024","11/11/2024","11/28/2024","12/25/2024","12/25/2024","12/26/2024","12/27/2024","12/28/2024","12/29/2024","12/30/2024","31/25/2024","01/01/2024","01/02/2024","01/03/2024","01/04/2024","01/05/2024"}))</f>
        <v>#VALUE!</v>
      </c>
      <c r="Y121" s="1">
        <f>0</f>
        <v>0</v>
      </c>
      <c r="Z121" s="1">
        <f>0</f>
        <v>0</v>
      </c>
      <c r="AA121" s="1"/>
      <c r="AB121" s="5">
        <v>45474</v>
      </c>
      <c r="AC121" s="5">
        <v>45498</v>
      </c>
      <c r="AD121" s="1">
        <f>0</f>
        <v>0</v>
      </c>
      <c r="AE121" s="1">
        <f>0</f>
        <v>0</v>
      </c>
      <c r="AF121" s="1">
        <f>0</f>
        <v>0</v>
      </c>
      <c r="AG121" s="1" t="e">
        <f>ABS(NETWORKDAYS.INTL("07/01/24", "08/05/24", 1, {"01/01/2024","01/15/2024","02/19/2024","05/27/2024","07/04/2024","09/02/2024","10/14/2024","11/11/2024","11/28/2024","12/25/2024","12/25/2024","12/26/2024","12/27/2024","12/28/2024","12/29/2024","12/30/2024","31/25/2024","01/01/2024","01/02/2024","01/03/2024","01/04/2024","01/05/2024"}))</f>
        <v>#VALUE!</v>
      </c>
      <c r="AH121" s="1" t="e">
        <f>ABS(NETWORKDAYS.INTL("07/01/24", "07/01/24", 1, {"01/01/2024","01/15/2024","02/19/2024","05/27/2024","07/04/2024","09/02/2024","10/14/2024","11/11/2024","11/28/2024","12/25/2024","12/25/2024","12/26/2024","12/27/2024","12/28/2024","12/29/2024","12/30/2024","31/25/2024","01/01/2024","01/02/2024","01/03/2024","01/04/2024","01/05/2024"}))</f>
        <v>#VALUE!</v>
      </c>
      <c r="AI121" s="1" t="e">
        <f>ABS(NETWORKDAYS.INTL("07/25/2024", "07/01/24", 1, {"01/01/2024","01/15/2024","02/19/2024","05/27/2024","07/04/2024","09/02/2024","10/14/2024","11/11/2024","11/28/2024","12/25/2024","12/25/2024","12/26/2024","12/27/2024","12/28/2024","12/29/2024","12/30/2024","31/25/2024","01/01/2024","01/02/2024","01/03/2024","01/04/2024","01/05/2024"}))</f>
        <v>#VALUE!</v>
      </c>
      <c r="AJ121" s="1"/>
      <c r="AK121" s="1" t="b">
        <v>1</v>
      </c>
      <c r="AL121" s="1"/>
      <c r="AM121" s="1"/>
      <c r="AN121" s="1"/>
      <c r="AO121" s="1"/>
      <c r="AP121" s="1"/>
      <c r="AQ121" s="1"/>
      <c r="AR121" s="1"/>
      <c r="AS121" s="1"/>
      <c r="AT121" s="1"/>
      <c r="AU121" s="1"/>
      <c r="AV121" s="1"/>
      <c r="AW121" s="1" t="b">
        <v>1</v>
      </c>
      <c r="AX121" s="1"/>
      <c r="AY121" s="1"/>
      <c r="AZ121" s="1"/>
    </row>
    <row r="122" spans="1:52" ht="15" customHeight="1" x14ac:dyDescent="0.35">
      <c r="A122" s="1" t="s">
        <v>910</v>
      </c>
      <c r="B122" s="1" t="s">
        <v>410</v>
      </c>
      <c r="C122" s="1" t="s">
        <v>624</v>
      </c>
      <c r="D122" s="1" t="s">
        <v>905</v>
      </c>
      <c r="E122" s="1" t="s">
        <v>906</v>
      </c>
      <c r="F122" s="9" t="s">
        <v>911</v>
      </c>
      <c r="G122" s="1" t="s">
        <v>406</v>
      </c>
      <c r="H1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2" s="11" t="e">
        <f>ABS(NETWORKDAYS.INTL("07/01/24", "07/01/24", 1, {"01/01/2024","01/15/2024","02/19/2024","05/27/2024","07/04/2024","09/02/2024","10/14/2024","11/11/2024","11/28/2024","12/25/2024","12/25/2024","12/26/2024","12/27/2024","12/28/2024","12/29/2024","12/30/2024","31/25/2024","01/01/2024","01/02/2024","01/03/2024","01/04/2024","01/05/2024"}))</f>
        <v>#VALUE!</v>
      </c>
      <c r="J122" s="1">
        <f>0</f>
        <v>0</v>
      </c>
      <c r="K122" s="1"/>
      <c r="L122" s="1">
        <v>0</v>
      </c>
      <c r="M122" s="1">
        <f>0</f>
        <v>0</v>
      </c>
      <c r="N122" s="1">
        <f>0</f>
        <v>0</v>
      </c>
      <c r="O122" s="1">
        <f>0</f>
        <v>0</v>
      </c>
      <c r="P122" s="1"/>
      <c r="Q122" s="1">
        <v>0</v>
      </c>
      <c r="R122" s="1">
        <v>0</v>
      </c>
      <c r="S122" s="1">
        <f>0</f>
        <v>0</v>
      </c>
      <c r="T122" s="1">
        <f>0</f>
        <v>0</v>
      </c>
      <c r="U122" s="1"/>
      <c r="V122" s="1">
        <v>1</v>
      </c>
      <c r="W122" s="1">
        <v>1</v>
      </c>
      <c r="X122" s="1" t="e">
        <f>ABS(NETWORKDAYS.INTL("07/01/24", "07/01/24", 1, {"01/01/2024","01/15/2024","02/19/2024","05/27/2024","07/04/2024","09/02/2024","10/14/2024","11/11/2024","11/28/2024","12/25/2024","12/25/2024","12/26/2024","12/27/2024","12/28/2024","12/29/2024","12/30/2024","31/25/2024","01/01/2024","01/02/2024","01/03/2024","01/04/2024","01/05/2024"}))</f>
        <v>#VALUE!</v>
      </c>
      <c r="Y122" s="1">
        <f>0</f>
        <v>0</v>
      </c>
      <c r="Z122" s="1">
        <f>0</f>
        <v>0</v>
      </c>
      <c r="AA122" s="1"/>
      <c r="AB122" s="5">
        <v>45474</v>
      </c>
      <c r="AC122" s="5">
        <v>45498</v>
      </c>
      <c r="AD122" s="1">
        <f>0</f>
        <v>0</v>
      </c>
      <c r="AE122" s="1">
        <f>0</f>
        <v>0</v>
      </c>
      <c r="AF122" s="1">
        <f>0</f>
        <v>0</v>
      </c>
      <c r="AG122" s="1" t="e">
        <f>ABS(NETWORKDAYS.INTL("07/01/24", "08/05/24", 1, {"01/01/2024","01/15/2024","02/19/2024","05/27/2024","07/04/2024","09/02/2024","10/14/2024","11/11/2024","11/28/2024","12/25/2024","12/25/2024","12/26/2024","12/27/2024","12/28/2024","12/29/2024","12/30/2024","31/25/2024","01/01/2024","01/02/2024","01/03/2024","01/04/2024","01/05/2024"}))</f>
        <v>#VALUE!</v>
      </c>
      <c r="AH122" s="1" t="e">
        <f>ABS(NETWORKDAYS.INTL("07/01/24", "07/01/24", 1, {"01/01/2024","01/15/2024","02/19/2024","05/27/2024","07/04/2024","09/02/2024","10/14/2024","11/11/2024","11/28/2024","12/25/2024","12/25/2024","12/26/2024","12/27/2024","12/28/2024","12/29/2024","12/30/2024","31/25/2024","01/01/2024","01/02/2024","01/03/2024","01/04/2024","01/05/2024"}))</f>
        <v>#VALUE!</v>
      </c>
      <c r="AI122" s="1" t="e">
        <f>ABS(NETWORKDAYS.INTL("07/25/2024", "07/01/24", 1, {"01/01/2024","01/15/2024","02/19/2024","05/27/2024","07/04/2024","09/02/2024","10/14/2024","11/11/2024","11/28/2024","12/25/2024","12/25/2024","12/26/2024","12/27/2024","12/28/2024","12/29/2024","12/30/2024","31/25/2024","01/01/2024","01/02/2024","01/03/2024","01/04/2024","01/05/2024"}))</f>
        <v>#VALUE!</v>
      </c>
      <c r="AJ122" s="1"/>
      <c r="AK122" s="1" t="b">
        <v>1</v>
      </c>
      <c r="AL122" s="1"/>
      <c r="AM122" s="1"/>
      <c r="AN122" s="1"/>
      <c r="AO122" s="1"/>
      <c r="AP122" s="1"/>
      <c r="AQ122" s="1"/>
      <c r="AR122" s="1"/>
      <c r="AS122" s="1"/>
      <c r="AT122" s="1"/>
      <c r="AU122" s="1"/>
      <c r="AV122" s="1"/>
      <c r="AW122" s="1" t="b">
        <v>1</v>
      </c>
      <c r="AX122" s="1"/>
      <c r="AY122" s="1"/>
      <c r="AZ122" s="1"/>
    </row>
    <row r="123" spans="1:52" ht="15" customHeight="1" x14ac:dyDescent="0.35">
      <c r="A123" s="1" t="s">
        <v>912</v>
      </c>
      <c r="B123" s="1" t="s">
        <v>913</v>
      </c>
      <c r="C123" s="1" t="s">
        <v>624</v>
      </c>
      <c r="D123" s="1" t="s">
        <v>914</v>
      </c>
      <c r="E123" s="1" t="s">
        <v>614</v>
      </c>
      <c r="F123" s="9" t="s">
        <v>915</v>
      </c>
      <c r="G123" s="1" t="s">
        <v>406</v>
      </c>
      <c r="H1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3" s="11" t="e">
        <f>ABS(NETWORKDAYS.INTL("06/30/2024", "04/28/24", 1, {"01/01/2024","01/15/2024","02/19/2024","05/27/2024","07/04/2024","09/02/2024","10/14/2024","11/11/2024","11/28/2024","12/25/2024","12/25/2024","12/26/2024","12/27/2024","12/28/2024","12/29/2024","12/30/2024","31/25/2024","01/01/2024","01/02/2024","01/03/2024","01/04/2024","01/05/2024"}))</f>
        <v>#VALUE!</v>
      </c>
      <c r="J123" s="1">
        <f>0</f>
        <v>0</v>
      </c>
      <c r="K123" s="1"/>
      <c r="L123" s="1">
        <v>1</v>
      </c>
      <c r="M123" s="1" t="e">
        <f>ABS(NETWORKDAYS.INTL("06/30/2024", "06/30/2024", 1, {"01/01/2024","01/15/2024","02/19/2024","05/27/2024","07/04/2024","09/02/2024","10/14/2024","11/11/2024","11/28/2024","12/25/2024","12/25/2024","12/26/2024","12/27/2024","12/28/2024","12/29/2024","12/30/2024","31/25/2024","01/01/2024","01/02/2024","01/03/2024","01/04/2024","01/05/2024"}))</f>
        <v>#VALUE!</v>
      </c>
      <c r="N123" s="1">
        <f>0</f>
        <v>0</v>
      </c>
      <c r="O123" s="1">
        <f>0</f>
        <v>0</v>
      </c>
      <c r="P123" s="1"/>
      <c r="Q123" s="1">
        <v>1</v>
      </c>
      <c r="R123" s="1">
        <v>1</v>
      </c>
      <c r="S123" s="1">
        <f>0</f>
        <v>0</v>
      </c>
      <c r="T123" s="1">
        <f>0</f>
        <v>0</v>
      </c>
      <c r="U123" s="1"/>
      <c r="V123" s="1">
        <v>1</v>
      </c>
      <c r="W123" s="1">
        <v>1</v>
      </c>
      <c r="X123" s="1" t="e">
        <f>ABS(NETWORKDAYS.INTL("06/03/24", "08/05/24", 1, {"01/01/2024","01/15/2024","02/19/2024","05/27/2024","07/04/2024","09/02/2024","10/14/2024","11/11/2024","11/28/2024","12/25/2024","12/25/2024","12/26/2024","12/27/2024","12/28/2024","12/29/2024","12/30/2024","31/25/2024","01/01/2024","01/02/2024","01/03/2024","01/04/2024","01/05/2024"}))</f>
        <v>#VALUE!</v>
      </c>
      <c r="Y123" s="1">
        <f>0</f>
        <v>0</v>
      </c>
      <c r="Z123" s="1">
        <f>0</f>
        <v>0</v>
      </c>
      <c r="AA123" s="1"/>
      <c r="AB123" s="5">
        <v>45498</v>
      </c>
      <c r="AC123" s="5">
        <v>45498</v>
      </c>
      <c r="AD123" s="1" t="e">
        <f>ABS(NETWORKDAYS.INTL("06/30/2024", "04/28/24", 1, {"01/01/2024","01/15/2024","02/19/2024","05/27/2024","07/04/2024","09/02/2024","10/14/2024","11/11/2024","11/28/2024","12/25/2024","12/25/2024","12/26/2024","12/27/2024","12/28/2024","12/29/2024","12/30/2024","31/25/2024","01/01/2024","01/02/2024","01/03/2024","01/04/2024","01/05/2024"}))</f>
        <v>#VALUE!</v>
      </c>
      <c r="AE123" s="1">
        <f>0</f>
        <v>0</v>
      </c>
      <c r="AF123" s="1" t="e">
        <f>ABS(NETWORKDAYS.INTL("07/08/2024", "07/08/2024", 1, {"01/01/2024","01/15/2024","02/19/2024","05/27/2024","07/04/2024","09/02/2024","10/14/2024","11/11/2024","11/28/2024","12/25/2024","12/25/2024","12/26/2024","12/27/2024","12/28/2024","12/29/2024","12/30/2024","31/25/2024","01/01/2024","01/02/2024","01/03/2024","01/04/2024","01/05/2024"}))</f>
        <v>#VALUE!</v>
      </c>
      <c r="AG123" s="1" t="e">
        <f>ABS(NETWORKDAYS.INTL("07/08/2024", "07/08/2024", 1, {"01/01/2024","01/15/2024","02/19/2024","05/27/2024","07/04/2024","09/02/2024","10/14/2024","11/11/2024","11/28/2024","12/25/2024","12/25/2024","12/26/2024","12/27/2024","12/28/2024","12/29/2024","12/30/2024","31/25/2024","01/01/2024","01/02/2024","01/03/2024","01/04/2024","01/05/2024"}))</f>
        <v>#VALUE!</v>
      </c>
      <c r="AH123" s="1" t="e">
        <f>ABS(NETWORKDAYS.INTL("06/03/24", "07/08/2024", 1, {"01/01/2024","01/15/2024","02/19/2024","05/27/2024","07/04/2024","09/02/2024","10/14/2024","11/11/2024","11/28/2024","12/25/2024","12/25/2024","12/26/2024","12/27/2024","12/28/2024","12/29/2024","12/30/2024","31/25/2024","01/01/2024","01/02/2024","01/03/2024","01/04/2024","01/05/2024"}))</f>
        <v>#VALUE!</v>
      </c>
      <c r="AI123" s="1" t="e">
        <f>ABS(NETWORKDAYS.INTL("07/25/2024", "07/25/2024", 1, {"01/01/2024","01/15/2024","02/19/2024","05/27/2024","07/04/2024","09/02/2024","10/14/2024","11/11/2024","11/28/2024","12/25/2024","12/25/2024","12/26/2024","12/27/2024","12/28/2024","12/29/2024","12/30/2024","31/25/2024","01/01/2024","01/02/2024","01/03/2024","01/04/2024","01/05/2024"}))</f>
        <v>#VALUE!</v>
      </c>
      <c r="AJ123" s="1"/>
      <c r="AK123" s="1" t="b">
        <v>1</v>
      </c>
      <c r="AL123" s="1"/>
      <c r="AM123" s="1"/>
      <c r="AN123" s="1"/>
      <c r="AO123" s="1"/>
      <c r="AP123" s="1"/>
      <c r="AQ123" s="1"/>
      <c r="AR123" s="1"/>
      <c r="AS123" s="1"/>
      <c r="AT123" s="1"/>
      <c r="AU123" s="1"/>
      <c r="AV123" s="1"/>
      <c r="AW123" s="1"/>
      <c r="AX123" s="1"/>
      <c r="AY123" s="1"/>
      <c r="AZ123" s="1"/>
    </row>
    <row r="124" spans="1:52" ht="15" customHeight="1" x14ac:dyDescent="0.35">
      <c r="A124" s="1" t="s">
        <v>916</v>
      </c>
      <c r="B124" s="1" t="s">
        <v>917</v>
      </c>
      <c r="C124" s="1" t="s">
        <v>624</v>
      </c>
      <c r="D124" s="1" t="s">
        <v>918</v>
      </c>
      <c r="E124" s="1" t="s">
        <v>919</v>
      </c>
      <c r="F124" s="9" t="s">
        <v>920</v>
      </c>
      <c r="G124" s="1" t="s">
        <v>406</v>
      </c>
      <c r="H1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4" s="11">
        <f>0</f>
        <v>0</v>
      </c>
      <c r="J124" s="1">
        <f>0</f>
        <v>0</v>
      </c>
      <c r="K124" s="1"/>
      <c r="L124" s="1">
        <v>0</v>
      </c>
      <c r="M124" s="1">
        <f>0</f>
        <v>0</v>
      </c>
      <c r="N124" s="1">
        <f>0</f>
        <v>0</v>
      </c>
      <c r="O124" s="1">
        <f>0</f>
        <v>0</v>
      </c>
      <c r="P124" s="1"/>
      <c r="Q124" s="1">
        <v>0</v>
      </c>
      <c r="R124" s="1">
        <v>0</v>
      </c>
      <c r="S124" s="1">
        <f>0</f>
        <v>0</v>
      </c>
      <c r="T124" s="1">
        <f>0</f>
        <v>0</v>
      </c>
      <c r="U124" s="1"/>
      <c r="V124" s="1">
        <v>1</v>
      </c>
      <c r="W124" s="1">
        <v>0</v>
      </c>
      <c r="X124" s="1">
        <f>0</f>
        <v>0</v>
      </c>
      <c r="Y124" s="1">
        <f>0</f>
        <v>0</v>
      </c>
      <c r="Z124" s="1">
        <f>0</f>
        <v>0</v>
      </c>
      <c r="AA124" s="1"/>
      <c r="AB124" s="5">
        <v>45498</v>
      </c>
      <c r="AC124" s="5"/>
      <c r="AD124" s="1">
        <f>0</f>
        <v>0</v>
      </c>
      <c r="AE124" s="1">
        <f>0</f>
        <v>0</v>
      </c>
      <c r="AF124" s="1">
        <f>0</f>
        <v>0</v>
      </c>
      <c r="AG124" s="1" t="e">
        <f>ABS(NETWORKDAYS.INTL("06/27/2024", "08/05/24", 1, {"01/01/2024","01/15/2024","02/19/2024","05/27/2024","07/04/2024","09/02/2024","10/14/2024","11/11/2024","11/28/2024","12/25/2024","12/25/2024","12/26/2024","12/27/2024","12/28/2024","12/29/2024","12/30/2024","31/25/2024","01/01/2024","01/02/2024","01/03/2024","01/04/2024","01/05/2024"}))</f>
        <v>#VALUE!</v>
      </c>
      <c r="AH124" s="1">
        <f>0</f>
        <v>0</v>
      </c>
      <c r="AI124" s="1">
        <f>0</f>
        <v>0</v>
      </c>
      <c r="AJ124" s="1"/>
      <c r="AK124" s="1"/>
      <c r="AL124" s="1"/>
      <c r="AM124" s="1"/>
      <c r="AN124" s="1"/>
      <c r="AO124" s="1"/>
      <c r="AP124" s="1"/>
      <c r="AQ124" s="1"/>
      <c r="AR124" s="1"/>
      <c r="AS124" s="1"/>
      <c r="AT124" s="1"/>
      <c r="AU124" s="1"/>
      <c r="AV124" s="1"/>
      <c r="AW124" s="1"/>
      <c r="AX124" s="1"/>
      <c r="AY124" s="1"/>
      <c r="AZ124" s="1"/>
    </row>
    <row r="125" spans="1:52" ht="15" customHeight="1" x14ac:dyDescent="0.35">
      <c r="A125" s="1" t="s">
        <v>921</v>
      </c>
      <c r="B125" s="1" t="s">
        <v>922</v>
      </c>
      <c r="C125" s="1" t="s">
        <v>624</v>
      </c>
      <c r="D125" s="1" t="s">
        <v>918</v>
      </c>
      <c r="E125" s="1" t="s">
        <v>614</v>
      </c>
      <c r="F125" s="9" t="s">
        <v>923</v>
      </c>
      <c r="G125" s="1" t="s">
        <v>406</v>
      </c>
      <c r="H1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25" s="11">
        <f>0</f>
        <v>0</v>
      </c>
      <c r="J125" s="1">
        <f>0</f>
        <v>0</v>
      </c>
      <c r="K125" s="1"/>
      <c r="L125" s="1">
        <v>0</v>
      </c>
      <c r="M125" s="1">
        <f>0</f>
        <v>0</v>
      </c>
      <c r="N125" s="1">
        <f>0</f>
        <v>0</v>
      </c>
      <c r="O125" s="1">
        <f>0</f>
        <v>0</v>
      </c>
      <c r="P125" s="1"/>
      <c r="Q125" s="1">
        <v>0</v>
      </c>
      <c r="R125" s="1">
        <v>0</v>
      </c>
      <c r="S125" s="1">
        <f>0</f>
        <v>0</v>
      </c>
      <c r="T125" s="1">
        <f>0</f>
        <v>0</v>
      </c>
      <c r="U125" s="1"/>
      <c r="V125" s="1">
        <v>1</v>
      </c>
      <c r="W125" s="1">
        <v>0</v>
      </c>
      <c r="X125" s="1">
        <f>0</f>
        <v>0</v>
      </c>
      <c r="Y125" s="1">
        <f>0</f>
        <v>0</v>
      </c>
      <c r="Z125" s="1">
        <f>0</f>
        <v>0</v>
      </c>
      <c r="AA125" s="1"/>
      <c r="AB125" s="5">
        <v>45498</v>
      </c>
      <c r="AC125" s="5">
        <v>45498</v>
      </c>
      <c r="AD125" s="1">
        <f>0</f>
        <v>0</v>
      </c>
      <c r="AE125" s="1">
        <f>0</f>
        <v>0</v>
      </c>
      <c r="AF125" s="1">
        <f>0</f>
        <v>0</v>
      </c>
      <c r="AG125" s="1" t="e">
        <f>ABS(NETWORKDAYS.INTL("07/14/2024", "08/05/24", 1, {"01/01/2024","01/15/2024","02/19/2024","05/27/2024","07/04/2024","09/02/2024","10/14/2024","11/11/2024","11/28/2024","12/25/2024","12/25/2024","12/26/2024","12/27/2024","12/28/2024","12/29/2024","12/30/2024","31/25/2024","01/01/2024","01/02/2024","01/03/2024","01/04/2024","01/05/2024"}))</f>
        <v>#VALUE!</v>
      </c>
      <c r="AH125" s="1">
        <f>0</f>
        <v>0</v>
      </c>
      <c r="AI125" s="1" t="e">
        <f>ABS(NETWORKDAYS.INTL("07/25/2024", "07/25/2024", 1, {"01/01/2024","01/15/2024","02/19/2024","05/27/2024","07/04/2024","09/02/2024","10/14/2024","11/11/2024","11/28/2024","12/25/2024","12/25/2024","12/26/2024","12/27/2024","12/28/2024","12/29/2024","12/30/2024","31/25/2024","01/01/2024","01/02/2024","01/03/2024","01/04/2024","01/05/2024"}))</f>
        <v>#VALUE!</v>
      </c>
      <c r="AJ125" s="1"/>
      <c r="AK125" s="1" t="b">
        <v>1</v>
      </c>
      <c r="AL125" s="1"/>
      <c r="AM125" s="1"/>
      <c r="AN125" s="1"/>
      <c r="AO125" s="1"/>
      <c r="AP125" s="1"/>
      <c r="AQ125" s="1"/>
      <c r="AR125" s="1"/>
      <c r="AS125" s="1"/>
      <c r="AT125" s="1"/>
      <c r="AU125" s="1"/>
      <c r="AV125" s="1"/>
      <c r="AW125" s="1"/>
      <c r="AX125" s="1"/>
      <c r="AY125" s="1"/>
      <c r="AZ125" s="1"/>
    </row>
    <row r="126" spans="1:52" ht="15" customHeight="1" x14ac:dyDescent="0.35">
      <c r="A126" s="1" t="s">
        <v>924</v>
      </c>
      <c r="B126" s="1" t="s">
        <v>925</v>
      </c>
      <c r="C126" s="1" t="s">
        <v>629</v>
      </c>
      <c r="D126" s="1" t="s">
        <v>926</v>
      </c>
      <c r="E126" s="1" t="s">
        <v>927</v>
      </c>
      <c r="F126" s="9" t="s">
        <v>928</v>
      </c>
      <c r="G126" s="1" t="s">
        <v>406</v>
      </c>
      <c r="H1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6" s="11" t="e">
        <f>ABS(NETWORKDAYS.INTL("06/21/24", "06/24/24", 1, {"01/01/2024","01/15/2024","02/19/2024","05/27/2024","07/04/2024","09/02/2024","10/14/2024","11/11/2024","11/28/2024","12/25/2024","12/25/2024","12/26/2024","12/27/2024","12/28/2024","12/29/2024","12/30/2024","31/25/2024","01/01/2024","01/02/2024","01/03/2024","01/04/2024","01/05/2024"}))</f>
        <v>#VALUE!</v>
      </c>
      <c r="J126" s="1">
        <f>0</f>
        <v>0</v>
      </c>
      <c r="K126" s="1"/>
      <c r="L126" s="1">
        <v>1</v>
      </c>
      <c r="M126" s="1" t="e">
        <f>ABS(NETWORKDAYS.INTL("07/15/2024", "07/15/2024", 1, {"01/01/2024","01/15/2024","02/19/2024","05/27/2024","07/04/2024","09/02/2024","10/14/2024","11/11/2024","11/28/2024","12/25/2024","12/25/2024","12/26/2024","12/27/2024","12/28/2024","12/29/2024","12/30/2024","31/25/2024","01/01/2024","01/02/2024","01/03/2024","01/04/2024","01/05/2024"}))</f>
        <v>#VALUE!</v>
      </c>
      <c r="N126" s="1">
        <f>0</f>
        <v>0</v>
      </c>
      <c r="O126" s="1">
        <f>0</f>
        <v>0</v>
      </c>
      <c r="P126" s="1"/>
      <c r="Q126" s="1">
        <v>1</v>
      </c>
      <c r="R126" s="1">
        <v>1</v>
      </c>
      <c r="S126" s="1">
        <f>0</f>
        <v>0</v>
      </c>
      <c r="T126" s="1">
        <f>0</f>
        <v>0</v>
      </c>
      <c r="U126" s="1"/>
      <c r="V126" s="1">
        <v>1</v>
      </c>
      <c r="W126" s="1">
        <v>0</v>
      </c>
      <c r="X126" s="1">
        <f>0</f>
        <v>0</v>
      </c>
      <c r="Y126" s="1">
        <f>0</f>
        <v>0</v>
      </c>
      <c r="Z126" s="1">
        <f>0</f>
        <v>0</v>
      </c>
      <c r="AA126" s="1"/>
      <c r="AB126" s="5"/>
      <c r="AC126" s="5"/>
      <c r="AD126" s="1" t="e">
        <f>ABS(NETWORKDAYS.INTL("07/15/2024", "06/24/24", 1, {"01/01/2024","01/15/2024","02/19/2024","05/27/2024","07/04/2024","09/02/2024","10/14/2024","11/11/2024","11/28/2024","12/25/2024","12/25/2024","12/26/2024","12/27/2024","12/28/2024","12/29/2024","12/30/2024","31/25/2024","01/01/2024","01/02/2024","01/03/2024","01/04/2024","01/05/2024"}))</f>
        <v>#VALUE!</v>
      </c>
      <c r="AE126" s="1">
        <f>0</f>
        <v>0</v>
      </c>
      <c r="AF126" s="1" t="e">
        <f>ABS(NETWORKDAYS.INTL("07/18/2024", "07/16/2024", 1, {"01/01/2024","01/15/2024","02/19/2024","05/27/2024","07/04/2024","09/02/2024","10/14/2024","11/11/2024","11/28/2024","12/25/2024","12/25/2024","12/26/2024","12/27/2024","12/28/2024","12/29/2024","12/30/2024","31/25/2024","01/01/2024","01/02/2024","01/03/2024","01/04/2024","01/05/2024"}))</f>
        <v>#VALUE!</v>
      </c>
      <c r="AG126" s="1" t="e">
        <f>ABS(NETWORKDAYS.INTL("07/18/2024", "07/18/2024", 1, {"01/01/2024","01/15/2024","02/19/2024","05/27/2024","07/04/2024","09/02/2024","10/14/2024","11/11/2024","11/28/2024","12/25/2024","12/25/2024","12/26/2024","12/27/2024","12/28/2024","12/29/2024","12/30/2024","31/25/2024","01/01/2024","01/02/2024","01/03/2024","01/04/2024","01/05/2024"}))</f>
        <v>#VALUE!</v>
      </c>
      <c r="AH126" s="1">
        <f>0</f>
        <v>0</v>
      </c>
      <c r="AI126" s="1">
        <f>0</f>
        <v>0</v>
      </c>
      <c r="AJ126" s="1"/>
      <c r="AK126" s="1"/>
      <c r="AL126" s="1" t="b">
        <v>1</v>
      </c>
      <c r="AM126" s="1"/>
      <c r="AN126" s="1"/>
      <c r="AO126" s="1"/>
      <c r="AP126" s="1"/>
      <c r="AQ126" s="1"/>
      <c r="AR126" s="1"/>
      <c r="AS126" s="1"/>
      <c r="AT126" s="1"/>
      <c r="AU126" s="1"/>
      <c r="AV126" s="1"/>
      <c r="AW126" s="1" t="b">
        <v>1</v>
      </c>
      <c r="AX126" s="1"/>
      <c r="AY126" s="1"/>
      <c r="AZ126" s="1"/>
    </row>
    <row r="127" spans="1:52" ht="15" customHeight="1" x14ac:dyDescent="0.35">
      <c r="A127" s="1" t="s">
        <v>929</v>
      </c>
      <c r="B127" s="1" t="s">
        <v>930</v>
      </c>
      <c r="C127" s="1" t="s">
        <v>629</v>
      </c>
      <c r="D127" s="1" t="s">
        <v>931</v>
      </c>
      <c r="E127" s="1" t="s">
        <v>927</v>
      </c>
      <c r="F127" s="9" t="s">
        <v>932</v>
      </c>
      <c r="G127" s="1" t="s">
        <v>406</v>
      </c>
      <c r="H1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7" s="11" t="e">
        <f>ABS(NETWORKDAYS.INTL("06/21/24", "06/25/24", 1, {"01/01/2024","01/15/2024","02/19/2024","05/27/2024","07/04/2024","09/02/2024","10/14/2024","11/11/2024","11/28/2024","12/25/2024","12/25/2024","12/26/2024","12/27/2024","12/28/2024","12/29/2024","12/30/2024","31/25/2024","01/01/2024","01/02/2024","01/03/2024","01/04/2024","01/05/2024"}))</f>
        <v>#VALUE!</v>
      </c>
      <c r="J127" s="1">
        <f>0</f>
        <v>0</v>
      </c>
      <c r="K127" s="1"/>
      <c r="L127" s="1">
        <v>1</v>
      </c>
      <c r="M127" s="1" t="e">
        <f>ABS(NETWORKDAYS.INTL("07/15/2024", "07/15/2024", 1, {"01/01/2024","01/15/2024","02/19/2024","05/27/2024","07/04/2024","09/02/2024","10/14/2024","11/11/2024","11/28/2024","12/25/2024","12/25/2024","12/26/2024","12/27/2024","12/28/2024","12/29/2024","12/30/2024","31/25/2024","01/01/2024","01/02/2024","01/03/2024","01/04/2024","01/05/2024"}))</f>
        <v>#VALUE!</v>
      </c>
      <c r="N127" s="1">
        <f>0</f>
        <v>0</v>
      </c>
      <c r="O127" s="1">
        <f>0</f>
        <v>0</v>
      </c>
      <c r="P127" s="1"/>
      <c r="Q127" s="1">
        <v>1</v>
      </c>
      <c r="R127" s="1">
        <v>1</v>
      </c>
      <c r="S127" s="1">
        <f>0</f>
        <v>0</v>
      </c>
      <c r="T127" s="1">
        <f>0</f>
        <v>0</v>
      </c>
      <c r="U127" s="1"/>
      <c r="V127" s="1">
        <v>1</v>
      </c>
      <c r="W127" s="1">
        <v>0</v>
      </c>
      <c r="X127" s="1">
        <f>0</f>
        <v>0</v>
      </c>
      <c r="Y127" s="1">
        <f>0</f>
        <v>0</v>
      </c>
      <c r="Z127" s="1">
        <f>0</f>
        <v>0</v>
      </c>
      <c r="AA127" s="1"/>
      <c r="AB127" s="5"/>
      <c r="AC127" s="5"/>
      <c r="AD127" s="1" t="e">
        <f>ABS(NETWORKDAYS.INTL("07/15/2024", "06/25/24", 1, {"01/01/2024","01/15/2024","02/19/2024","05/27/2024","07/04/2024","09/02/2024","10/14/2024","11/11/2024","11/28/2024","12/25/2024","12/25/2024","12/26/2024","12/27/2024","12/28/2024","12/29/2024","12/30/2024","31/25/2024","01/01/2024","01/02/2024","01/03/2024","01/04/2024","01/05/2024"}))</f>
        <v>#VALUE!</v>
      </c>
      <c r="AE127" s="1">
        <f>0</f>
        <v>0</v>
      </c>
      <c r="AF127" s="1" t="e">
        <f>ABS(NETWORKDAYS.INTL("07/18/2024", "07/15/2024", 1, {"01/01/2024","01/15/2024","02/19/2024","05/27/2024","07/04/2024","09/02/2024","10/14/2024","11/11/2024","11/28/2024","12/25/2024","12/25/2024","12/26/2024","12/27/2024","12/28/2024","12/29/2024","12/30/2024","31/25/2024","01/01/2024","01/02/2024","01/03/2024","01/04/2024","01/05/2024"}))</f>
        <v>#VALUE!</v>
      </c>
      <c r="AG127" s="1" t="e">
        <f>ABS(NETWORKDAYS.INTL("07/18/2024", "07/18/2024", 1, {"01/01/2024","01/15/2024","02/19/2024","05/27/2024","07/04/2024","09/02/2024","10/14/2024","11/11/2024","11/28/2024","12/25/2024","12/25/2024","12/26/2024","12/27/2024","12/28/2024","12/29/2024","12/30/2024","31/25/2024","01/01/2024","01/02/2024","01/03/2024","01/04/2024","01/05/2024"}))</f>
        <v>#VALUE!</v>
      </c>
      <c r="AH127" s="1">
        <f>0</f>
        <v>0</v>
      </c>
      <c r="AI127" s="1">
        <f>0</f>
        <v>0</v>
      </c>
      <c r="AJ127" s="1"/>
      <c r="AK127" s="1"/>
      <c r="AL127" s="1" t="b">
        <v>1</v>
      </c>
      <c r="AM127" s="1"/>
      <c r="AN127" s="1"/>
      <c r="AO127" s="1"/>
      <c r="AP127" s="1"/>
      <c r="AQ127" s="1"/>
      <c r="AR127" s="1"/>
      <c r="AS127" s="1"/>
      <c r="AT127" s="1"/>
      <c r="AU127" s="1"/>
      <c r="AV127" s="1"/>
      <c r="AW127" s="1" t="b">
        <v>1</v>
      </c>
      <c r="AX127" s="1"/>
      <c r="AY127" s="1"/>
      <c r="AZ127" s="1"/>
    </row>
    <row r="128" spans="1:52" ht="15" customHeight="1" x14ac:dyDescent="0.35">
      <c r="A128" s="1" t="s">
        <v>933</v>
      </c>
      <c r="B128" s="1" t="s">
        <v>411</v>
      </c>
      <c r="C128" s="1" t="s">
        <v>629</v>
      </c>
      <c r="D128" s="1" t="s">
        <v>934</v>
      </c>
      <c r="E128" s="1" t="s">
        <v>630</v>
      </c>
      <c r="F128" s="9" t="s">
        <v>935</v>
      </c>
      <c r="G128" s="1" t="s">
        <v>406</v>
      </c>
      <c r="H1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8" s="11" t="e">
        <f>ABS(NETWORKDAYS.INTL("03/27/24", "06/20/24", 1, {"01/01/2024","01/15/2024","02/19/2024","05/27/2024","07/04/2024","09/02/2024","10/14/2024","11/11/2024","11/28/2024","12/25/2024","12/25/2024","12/26/2024","12/27/2024","12/28/2024","12/29/2024","12/30/2024","31/25/2024","01/01/2024","01/02/2024","01/03/2024","01/04/2024","01/05/2024"}))</f>
        <v>#VALUE!</v>
      </c>
      <c r="J128" s="1" t="e">
        <f>ABS(NETWORKDAYS.INTL("05/06/24", "06/17/19", 1, {"01/01/2024","01/15/2024","02/19/2024","05/27/2024","07/04/2024","09/02/2024","10/14/2024","11/11/2024","11/28/2024","12/25/2024","12/25/2024","12/26/2024","12/27/2024","12/28/2024","12/29/2024","12/30/2024","31/25/2024","01/01/2024","01/02/2024","01/03/2024","01/04/2024","01/05/2024"}))</f>
        <v>#VALUE!</v>
      </c>
      <c r="K128" s="1"/>
      <c r="L128" s="1">
        <v>1</v>
      </c>
      <c r="M128" s="1" t="e">
        <f>ABS(NETWORKDAYS.INTL("07/12/2024", "07/16/2024", 1, {"01/01/2024","01/15/2024","02/19/2024","05/27/2024","07/04/2024","09/02/2024","10/14/2024","11/11/2024","11/28/2024","12/25/2024","12/25/2024","12/26/2024","12/27/2024","12/28/2024","12/29/2024","12/30/2024","31/25/2024","01/01/2024","01/02/2024","01/03/2024","01/04/2024","01/05/2024"}))</f>
        <v>#VALUE!</v>
      </c>
      <c r="N128" s="1">
        <f>0</f>
        <v>0</v>
      </c>
      <c r="O128" s="1">
        <f>0</f>
        <v>0</v>
      </c>
      <c r="P128" s="1"/>
      <c r="Q128" s="1">
        <v>1</v>
      </c>
      <c r="R128" s="1">
        <v>1</v>
      </c>
      <c r="S128" s="1" t="e">
        <f>ABS(NETWORKDAYS.INTL("07/17/2024", "07/17/2024", 1, {"01/01/2024","01/15/2024","02/19/2024","05/27/2024","07/04/2024","09/02/2024","10/14/2024","11/11/2024","11/28/2024","12/25/2024","12/25/2024","12/26/2024","12/27/2024","12/28/2024","12/29/2024","12/30/2024","31/25/2024","01/01/2024","01/02/2024","01/03/2024","01/04/2024","01/05/2024"}))</f>
        <v>#VALUE!</v>
      </c>
      <c r="T128" s="1">
        <f>0</f>
        <v>0</v>
      </c>
      <c r="U128" s="1"/>
      <c r="V128" s="1">
        <v>1</v>
      </c>
      <c r="W128" s="1">
        <v>0</v>
      </c>
      <c r="X128" s="1">
        <f>0</f>
        <v>0</v>
      </c>
      <c r="Y128" s="1">
        <f>0</f>
        <v>0</v>
      </c>
      <c r="Z128" s="1">
        <f>0</f>
        <v>0</v>
      </c>
      <c r="AA128" s="1"/>
      <c r="AB128" s="5"/>
      <c r="AC128" s="5"/>
      <c r="AD128" s="1" t="e">
        <f>ABS(NETWORKDAYS.INTL("07/12/2024", "06/20/24", 1, {"01/01/2024","01/15/2024","02/19/2024","05/27/2024","07/04/2024","09/02/2024","10/14/2024","11/11/2024","11/28/2024","12/25/2024","12/25/2024","12/26/2024","12/27/2024","12/28/2024","12/29/2024","12/30/2024","31/25/2024","01/01/2024","01/02/2024","01/03/2024","01/04/2024","01/05/2024"}))</f>
        <v>#VALUE!</v>
      </c>
      <c r="AE128" s="1">
        <f>0</f>
        <v>0</v>
      </c>
      <c r="AF128" s="1" t="e">
        <f>ABS(NETWORKDAYS.INTL("07/17/2024", "07/16/2024", 1, {"01/01/2024","01/15/2024","02/19/2024","05/27/2024","07/04/2024","09/02/2024","10/14/2024","11/11/2024","11/28/2024","12/25/2024","12/25/2024","12/26/2024","12/27/2024","12/28/2024","12/29/2024","12/30/2024","31/25/2024","01/01/2024","01/02/2024","01/03/2024","01/04/2024","01/05/2024"}))</f>
        <v>#VALUE!</v>
      </c>
      <c r="AG128" s="1" t="e">
        <f>ABS(NETWORKDAYS.INTL("07/19/24", "07/17/2024", 1, {"01/01/2024","01/15/2024","02/19/2024","05/27/2024","07/04/2024","09/02/2024","10/14/2024","11/11/2024","11/28/2024","12/25/2024","12/25/2024","12/26/2024","12/27/2024","12/28/2024","12/29/2024","12/30/2024","31/25/2024","01/01/2024","01/02/2024","01/03/2024","01/04/2024","01/05/2024"}))</f>
        <v>#VALUE!</v>
      </c>
      <c r="AH128" s="1">
        <f>0</f>
        <v>0</v>
      </c>
      <c r="AI128" s="1">
        <f>0</f>
        <v>0</v>
      </c>
      <c r="AJ128" s="1" t="b">
        <v>1</v>
      </c>
      <c r="AK128" s="1"/>
      <c r="AL128" s="1"/>
      <c r="AM128" s="1"/>
      <c r="AN128" s="1"/>
      <c r="AO128" s="1"/>
      <c r="AP128" s="1"/>
      <c r="AQ128" s="1"/>
      <c r="AR128" s="1"/>
      <c r="AS128" s="1"/>
      <c r="AT128" s="1"/>
      <c r="AU128" s="1"/>
      <c r="AV128" s="1"/>
      <c r="AW128" s="1" t="b">
        <v>1</v>
      </c>
      <c r="AX128" s="1"/>
      <c r="AY128" s="1"/>
      <c r="AZ128" s="1"/>
    </row>
    <row r="129" spans="1:52" ht="15" customHeight="1" x14ac:dyDescent="0.35">
      <c r="A129" s="1" t="s">
        <v>936</v>
      </c>
      <c r="B129" s="1" t="s">
        <v>412</v>
      </c>
      <c r="C129" s="1" t="s">
        <v>629</v>
      </c>
      <c r="D129" s="1" t="s">
        <v>937</v>
      </c>
      <c r="E129" s="1" t="s">
        <v>630</v>
      </c>
      <c r="F129" s="9" t="s">
        <v>938</v>
      </c>
      <c r="G129" s="1" t="s">
        <v>406</v>
      </c>
      <c r="H1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29" s="11" t="e">
        <f>ABS(NETWORKDAYS.INTL("03/27/24", "06/20/24", 1, {"01/01/2024","01/15/2024","02/19/2024","05/27/2024","07/04/2024","09/02/2024","10/14/2024","11/11/2024","11/28/2024","12/25/2024","12/25/2024","12/26/2024","12/27/2024","12/28/2024","12/29/2024","12/30/2024","31/25/2024","01/01/2024","01/02/2024","01/03/2024","01/04/2024","01/05/2024"}))</f>
        <v>#VALUE!</v>
      </c>
      <c r="J129" s="1" t="e">
        <f>ABS(NETWORKDAYS.INTL("05/06/24", "06/10/24", 1, {"01/01/2024","01/15/2024","02/19/2024","05/27/2024","07/04/2024","09/02/2024","10/14/2024","11/11/2024","11/28/2024","12/25/2024","12/25/2024","12/26/2024","12/27/2024","12/28/2024","12/29/2024","12/30/2024","31/25/2024","01/01/2024","01/02/2024","01/03/2024","01/04/2024","01/05/2024"}))</f>
        <v>#VALUE!</v>
      </c>
      <c r="K129" s="1"/>
      <c r="L129" s="1">
        <v>1</v>
      </c>
      <c r="M129" s="1" t="e">
        <f>ABS(NETWORKDAYS.INTL("07/15/2024", "07/17/2024", 1, {"01/01/2024","01/15/2024","02/19/2024","05/27/2024","07/04/2024","09/02/2024","10/14/2024","11/11/2024","11/28/2024","12/25/2024","12/25/2024","12/26/2024","12/27/2024","12/28/2024","12/29/2024","12/30/2024","31/25/2024","01/01/2024","01/02/2024","01/03/2024","01/04/2024","01/05/2024"}))</f>
        <v>#VALUE!</v>
      </c>
      <c r="N129" s="1">
        <f>0</f>
        <v>0</v>
      </c>
      <c r="O129" s="1">
        <f>0</f>
        <v>0</v>
      </c>
      <c r="P129" s="1"/>
      <c r="Q129" s="1">
        <v>1</v>
      </c>
      <c r="R129" s="1">
        <v>1</v>
      </c>
      <c r="S129" s="1" t="e">
        <f>ABS(NETWORKDAYS.INTL("07/17/2024", "07/19/2024", 1, {"01/01/2024","01/15/2024","02/19/2024","05/27/2024","07/04/2024","09/02/2024","10/14/2024","11/11/2024","11/28/2024","12/25/2024","12/25/2024","12/26/2024","12/27/2024","12/28/2024","12/29/2024","12/30/2024","31/25/2024","01/01/2024","01/02/2024","01/03/2024","01/04/2024","01/05/2024"}))</f>
        <v>#VALUE!</v>
      </c>
      <c r="T129" s="1">
        <f>0</f>
        <v>0</v>
      </c>
      <c r="U129" s="1"/>
      <c r="V129" s="1">
        <v>1</v>
      </c>
      <c r="W129" s="1">
        <v>0</v>
      </c>
      <c r="X129" s="1">
        <f>0</f>
        <v>0</v>
      </c>
      <c r="Y129" s="1">
        <f>0</f>
        <v>0</v>
      </c>
      <c r="Z129" s="1">
        <f>0</f>
        <v>0</v>
      </c>
      <c r="AA129" s="1"/>
      <c r="AB129" s="5"/>
      <c r="AC129" s="5"/>
      <c r="AD129" s="1" t="e">
        <f>ABS(NETWORKDAYS.INTL("07/15/2024", "06/20/24", 1, {"01/01/2024","01/15/2024","02/19/2024","05/27/2024","07/04/2024","09/02/2024","10/14/2024","11/11/2024","11/28/2024","12/25/2024","12/25/2024","12/26/2024","12/27/2024","12/28/2024","12/29/2024","12/30/2024","31/25/2024","01/01/2024","01/02/2024","01/03/2024","01/04/2024","01/05/2024"}))</f>
        <v>#VALUE!</v>
      </c>
      <c r="AE129" s="1">
        <f>0</f>
        <v>0</v>
      </c>
      <c r="AF129" s="1" t="e">
        <f>ABS(NETWORKDAYS.INTL("07/17/2024", "07/17/2024", 1, {"01/01/2024","01/15/2024","02/19/2024","05/27/2024","07/04/2024","09/02/2024","10/14/2024","11/11/2024","11/28/2024","12/25/2024","12/25/2024","12/26/2024","12/27/2024","12/28/2024","12/29/2024","12/30/2024","31/25/2024","01/01/2024","01/02/2024","01/03/2024","01/04/2024","01/05/2024"}))</f>
        <v>#VALUE!</v>
      </c>
      <c r="AG129" s="1" t="e">
        <f>ABS(NETWORKDAYS.INTL("07/19/2024", "07/17/2024", 1, {"01/01/2024","01/15/2024","02/19/2024","05/27/2024","07/04/2024","09/02/2024","10/14/2024","11/11/2024","11/28/2024","12/25/2024","12/25/2024","12/26/2024","12/27/2024","12/28/2024","12/29/2024","12/30/2024","31/25/2024","01/01/2024","01/02/2024","01/03/2024","01/04/2024","01/05/2024"}))</f>
        <v>#VALUE!</v>
      </c>
      <c r="AH129" s="1">
        <f>0</f>
        <v>0</v>
      </c>
      <c r="AI129" s="1">
        <f>0</f>
        <v>0</v>
      </c>
      <c r="AJ129" s="1" t="b">
        <v>1</v>
      </c>
      <c r="AK129" s="1"/>
      <c r="AL129" s="1"/>
      <c r="AM129" s="1"/>
      <c r="AN129" s="1"/>
      <c r="AO129" s="1"/>
      <c r="AP129" s="1"/>
      <c r="AQ129" s="1"/>
      <c r="AR129" s="1"/>
      <c r="AS129" s="1"/>
      <c r="AT129" s="1"/>
      <c r="AU129" s="1"/>
      <c r="AV129" s="1"/>
      <c r="AW129" s="1" t="b">
        <v>1</v>
      </c>
      <c r="AX129" s="1"/>
      <c r="AY129" s="1"/>
      <c r="AZ129" s="1"/>
    </row>
    <row r="130" spans="1:52" ht="15" customHeight="1" x14ac:dyDescent="0.35">
      <c r="A130" s="1" t="s">
        <v>939</v>
      </c>
      <c r="B130" s="1" t="s">
        <v>413</v>
      </c>
      <c r="C130" s="1" t="s">
        <v>629</v>
      </c>
      <c r="D130" s="1" t="s">
        <v>937</v>
      </c>
      <c r="E130" s="1" t="s">
        <v>630</v>
      </c>
      <c r="F130" s="9" t="s">
        <v>940</v>
      </c>
      <c r="G130" s="1" t="s">
        <v>406</v>
      </c>
      <c r="H1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0" s="11" t="e">
        <f>ABS(NETWORKDAYS.INTL("03/27/24", "06/20/24", 1, {"01/01/2024","01/15/2024","02/19/2024","05/27/2024","07/04/2024","09/02/2024","10/14/2024","11/11/2024","11/28/2024","12/25/2024","12/25/2024","12/26/2024","12/27/2024","12/28/2024","12/29/2024","12/30/2024","31/25/2024","01/01/2024","01/02/2024","01/03/2024","01/04/2024","01/05/2024"}))</f>
        <v>#VALUE!</v>
      </c>
      <c r="J130" s="1">
        <f>0</f>
        <v>0</v>
      </c>
      <c r="K130" s="1"/>
      <c r="L130" s="1">
        <v>1</v>
      </c>
      <c r="M130" s="1" t="e">
        <f>ABS(NETWORKDAYS.INTL("07/15/2024", "07/17/2024", 1, {"01/01/2024","01/15/2024","02/19/2024","05/27/2024","07/04/2024","09/02/2024","10/14/2024","11/11/2024","11/28/2024","12/25/2024","12/25/2024","12/26/2024","12/27/2024","12/28/2024","12/29/2024","12/30/2024","31/25/2024","01/01/2024","01/02/2024","01/03/2024","01/04/2024","01/05/2024"}))</f>
        <v>#VALUE!</v>
      </c>
      <c r="N130" s="1">
        <f>0</f>
        <v>0</v>
      </c>
      <c r="O130" s="1">
        <f>0</f>
        <v>0</v>
      </c>
      <c r="P130" s="1"/>
      <c r="Q130" s="1">
        <v>1</v>
      </c>
      <c r="R130" s="1">
        <v>1</v>
      </c>
      <c r="S130" s="1" t="e">
        <f>ABS(NETWORKDAYS.INTL("07/17/2024", "07/19/2024", 1, {"01/01/2024","01/15/2024","02/19/2024","05/27/2024","07/04/2024","09/02/2024","10/14/2024","11/11/2024","11/28/2024","12/25/2024","12/25/2024","12/26/2024","12/27/2024","12/28/2024","12/29/2024","12/30/2024","31/25/2024","01/01/2024","01/02/2024","01/03/2024","01/04/2024","01/05/2024"}))</f>
        <v>#VALUE!</v>
      </c>
      <c r="T130" s="1">
        <f>0</f>
        <v>0</v>
      </c>
      <c r="U130" s="1"/>
      <c r="V130" s="1">
        <v>1</v>
      </c>
      <c r="W130" s="1">
        <v>0</v>
      </c>
      <c r="X130" s="1">
        <f>0</f>
        <v>0</v>
      </c>
      <c r="Y130" s="1">
        <f>0</f>
        <v>0</v>
      </c>
      <c r="Z130" s="1">
        <f>0</f>
        <v>0</v>
      </c>
      <c r="AA130" s="1"/>
      <c r="AB130" s="5"/>
      <c r="AC130" s="5"/>
      <c r="AD130" s="1" t="e">
        <f>ABS(NETWORKDAYS.INTL("07/15/2024", "06/20/24", 1, {"01/01/2024","01/15/2024","02/19/2024","05/27/2024","07/04/2024","09/02/2024","10/14/2024","11/11/2024","11/28/2024","12/25/2024","12/25/2024","12/26/2024","12/27/2024","12/28/2024","12/29/2024","12/30/2024","31/25/2024","01/01/2024","01/02/2024","01/03/2024","01/04/2024","01/05/2024"}))</f>
        <v>#VALUE!</v>
      </c>
      <c r="AE130" s="1">
        <f>0</f>
        <v>0</v>
      </c>
      <c r="AF130" s="1" t="e">
        <f>ABS(NETWORKDAYS.INTL("07/17/2024", "07/17/2024", 1, {"01/01/2024","01/15/2024","02/19/2024","05/27/2024","07/04/2024","09/02/2024","10/14/2024","11/11/2024","11/28/2024","12/25/2024","12/25/2024","12/26/2024","12/27/2024","12/28/2024","12/29/2024","12/30/2024","31/25/2024","01/01/2024","01/02/2024","01/03/2024","01/04/2024","01/05/2024"}))</f>
        <v>#VALUE!</v>
      </c>
      <c r="AG130" s="1" t="e">
        <f>ABS(NETWORKDAYS.INTL("07/19/2024", "07/17/2024", 1, {"01/01/2024","01/15/2024","02/19/2024","05/27/2024","07/04/2024","09/02/2024","10/14/2024","11/11/2024","11/28/2024","12/25/2024","12/25/2024","12/26/2024","12/27/2024","12/28/2024","12/29/2024","12/30/2024","31/25/2024","01/01/2024","01/02/2024","01/03/2024","01/04/2024","01/05/2024"}))</f>
        <v>#VALUE!</v>
      </c>
      <c r="AH130" s="1">
        <f>0</f>
        <v>0</v>
      </c>
      <c r="AI130" s="1">
        <f>0</f>
        <v>0</v>
      </c>
      <c r="AJ130" s="1" t="b">
        <v>1</v>
      </c>
      <c r="AK130" s="1"/>
      <c r="AL130" s="1"/>
      <c r="AM130" s="1"/>
      <c r="AN130" s="1"/>
      <c r="AO130" s="1"/>
      <c r="AP130" s="1"/>
      <c r="AQ130" s="1"/>
      <c r="AR130" s="1"/>
      <c r="AS130" s="1"/>
      <c r="AT130" s="1"/>
      <c r="AU130" s="1"/>
      <c r="AV130" s="1"/>
      <c r="AW130" s="1" t="b">
        <v>1</v>
      </c>
      <c r="AX130" s="1"/>
      <c r="AY130" s="1"/>
      <c r="AZ130" s="1"/>
    </row>
    <row r="131" spans="1:52" ht="15" customHeight="1" x14ac:dyDescent="0.35">
      <c r="A131" s="1" t="s">
        <v>941</v>
      </c>
      <c r="B131" s="1" t="s">
        <v>414</v>
      </c>
      <c r="C131" s="1" t="s">
        <v>629</v>
      </c>
      <c r="D131" s="1" t="s">
        <v>942</v>
      </c>
      <c r="E131" s="1" t="s">
        <v>630</v>
      </c>
      <c r="F131" s="9" t="s">
        <v>943</v>
      </c>
      <c r="G131" s="1" t="s">
        <v>406</v>
      </c>
      <c r="H1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1" s="11" t="e">
        <f>ABS(NETWORKDAYS.INTL("03/27/24", "06/20/24", 1, {"01/01/2024","01/15/2024","02/19/2024","05/27/2024","07/04/2024","09/02/2024","10/14/2024","11/11/2024","11/28/2024","12/25/2024","12/25/2024","12/26/2024","12/27/2024","12/28/2024","12/29/2024","12/30/2024","31/25/2024","01/01/2024","01/02/2024","01/03/2024","01/04/2024","01/05/2024"}))</f>
        <v>#VALUE!</v>
      </c>
      <c r="J131" s="1">
        <f>0</f>
        <v>0</v>
      </c>
      <c r="K131" s="1"/>
      <c r="L131" s="1">
        <v>1</v>
      </c>
      <c r="M131" s="1" t="e">
        <f>ABS(NETWORKDAYS.INTL("07/12/2024", "07/16/2024", 1, {"01/01/2024","01/15/2024","02/19/2024","05/27/2024","07/04/2024","09/02/2024","10/14/2024","11/11/2024","11/28/2024","12/25/2024","12/25/2024","12/26/2024","12/27/2024","12/28/2024","12/29/2024","12/30/2024","31/25/2024","01/01/2024","01/02/2024","01/03/2024","01/04/2024","01/05/2024"}))</f>
        <v>#VALUE!</v>
      </c>
      <c r="N131" s="1">
        <f>0</f>
        <v>0</v>
      </c>
      <c r="O131" s="1">
        <f>0</f>
        <v>0</v>
      </c>
      <c r="P131" s="1"/>
      <c r="Q131" s="1">
        <v>1</v>
      </c>
      <c r="R131" s="1">
        <v>1</v>
      </c>
      <c r="S131" s="1" t="e">
        <f>ABS(NETWORKDAYS.INTL("07/17/2024", "07/19/2024", 1, {"01/01/2024","01/15/2024","02/19/2024","05/27/2024","07/04/2024","09/02/2024","10/14/2024","11/11/2024","11/28/2024","12/25/2024","12/25/2024","12/26/2024","12/27/2024","12/28/2024","12/29/2024","12/30/2024","31/25/2024","01/01/2024","01/02/2024","01/03/2024","01/04/2024","01/05/2024"}))</f>
        <v>#VALUE!</v>
      </c>
      <c r="T131" s="1">
        <f>0</f>
        <v>0</v>
      </c>
      <c r="U131" s="1"/>
      <c r="V131" s="1">
        <v>1</v>
      </c>
      <c r="W131" s="1">
        <v>0</v>
      </c>
      <c r="X131" s="1">
        <f>0</f>
        <v>0</v>
      </c>
      <c r="Y131" s="1">
        <f>0</f>
        <v>0</v>
      </c>
      <c r="Z131" s="1">
        <f>0</f>
        <v>0</v>
      </c>
      <c r="AA131" s="1"/>
      <c r="AB131" s="5"/>
      <c r="AC131" s="5"/>
      <c r="AD131" s="1" t="e">
        <f>ABS(NETWORKDAYS.INTL("07/12/2024", "06/20/24", 1, {"01/01/2024","01/15/2024","02/19/2024","05/27/2024","07/04/2024","09/02/2024","10/14/2024","11/11/2024","11/28/2024","12/25/2024","12/25/2024","12/26/2024","12/27/2024","12/28/2024","12/29/2024","12/30/2024","31/25/2024","01/01/2024","01/02/2024","01/03/2024","01/04/2024","01/05/2024"}))</f>
        <v>#VALUE!</v>
      </c>
      <c r="AE131" s="1">
        <f>0</f>
        <v>0</v>
      </c>
      <c r="AF131" s="1" t="e">
        <f>ABS(NETWORKDAYS.INTL("07/17/2024", "07/16/2024", 1, {"01/01/2024","01/15/2024","02/19/2024","05/27/2024","07/04/2024","09/02/2024","10/14/2024","11/11/2024","11/28/2024","12/25/2024","12/25/2024","12/26/2024","12/27/2024","12/28/2024","12/29/2024","12/30/2024","31/25/2024","01/01/2024","01/02/2024","01/03/2024","01/04/2024","01/05/2024"}))</f>
        <v>#VALUE!</v>
      </c>
      <c r="AG131" s="1" t="e">
        <f>ABS(NETWORKDAYS.INTL("07/19/2024", "07/17/2024", 1, {"01/01/2024","01/15/2024","02/19/2024","05/27/2024","07/04/2024","09/02/2024","10/14/2024","11/11/2024","11/28/2024","12/25/2024","12/25/2024","12/26/2024","12/27/2024","12/28/2024","12/29/2024","12/30/2024","31/25/2024","01/01/2024","01/02/2024","01/03/2024","01/04/2024","01/05/2024"}))</f>
        <v>#VALUE!</v>
      </c>
      <c r="AH131" s="1">
        <f>0</f>
        <v>0</v>
      </c>
      <c r="AI131" s="1">
        <f>0</f>
        <v>0</v>
      </c>
      <c r="AJ131" s="1" t="b">
        <v>1</v>
      </c>
      <c r="AK131" s="1"/>
      <c r="AL131" s="1"/>
      <c r="AM131" s="1"/>
      <c r="AN131" s="1"/>
      <c r="AO131" s="1"/>
      <c r="AP131" s="1"/>
      <c r="AQ131" s="1"/>
      <c r="AR131" s="1"/>
      <c r="AS131" s="1"/>
      <c r="AT131" s="1"/>
      <c r="AU131" s="1"/>
      <c r="AV131" s="1"/>
      <c r="AW131" s="1" t="b">
        <v>1</v>
      </c>
      <c r="AX131" s="1"/>
      <c r="AY131" s="1"/>
      <c r="AZ131" s="1"/>
    </row>
    <row r="132" spans="1:52" ht="15" customHeight="1" x14ac:dyDescent="0.35">
      <c r="A132" s="1" t="s">
        <v>944</v>
      </c>
      <c r="B132" s="1" t="s">
        <v>415</v>
      </c>
      <c r="C132" s="1" t="s">
        <v>601</v>
      </c>
      <c r="D132" s="1" t="s">
        <v>937</v>
      </c>
      <c r="E132" s="1" t="s">
        <v>626</v>
      </c>
      <c r="F132" s="9" t="s">
        <v>945</v>
      </c>
      <c r="G132" s="1" t="s">
        <v>406</v>
      </c>
      <c r="H1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2" s="11" t="e">
        <f>ABS(NETWORKDAYS.INTL("03/27/24", "06/18/24", 1, {"01/01/2024","01/15/2024","02/19/2024","05/27/2024","07/04/2024","09/02/2024","10/14/2024","11/11/2024","11/28/2024","12/25/2024","12/25/2024","12/26/2024","12/27/2024","12/28/2024","12/29/2024","12/30/2024","31/25/2024","01/01/2024","01/02/2024","01/03/2024","01/04/2024","01/05/2024"}))</f>
        <v>#VALUE!</v>
      </c>
      <c r="J132" s="1">
        <f>0</f>
        <v>0</v>
      </c>
      <c r="K132" s="1"/>
      <c r="L132" s="1">
        <v>1</v>
      </c>
      <c r="M132" s="1" t="e">
        <f>ABS(NETWORKDAYS.INTL("07/15/2024", "07/16/2024", 1, {"01/01/2024","01/15/2024","02/19/2024","05/27/2024","07/04/2024","09/02/2024","10/14/2024","11/11/2024","11/28/2024","12/25/2024","12/25/2024","12/26/2024","12/27/2024","12/28/2024","12/29/2024","12/30/2024","31/25/2024","01/01/2024","01/02/2024","01/03/2024","01/04/2024","01/05/2024"}))</f>
        <v>#VALUE!</v>
      </c>
      <c r="N132" s="1">
        <f>0</f>
        <v>0</v>
      </c>
      <c r="O132" s="1">
        <f>0</f>
        <v>0</v>
      </c>
      <c r="P132" s="1"/>
      <c r="Q132" s="1">
        <v>0</v>
      </c>
      <c r="R132" s="1">
        <v>0</v>
      </c>
      <c r="S132" s="1">
        <f>0</f>
        <v>0</v>
      </c>
      <c r="T132" s="1">
        <f>0</f>
        <v>0</v>
      </c>
      <c r="U132" s="1"/>
      <c r="V132" s="1">
        <v>0</v>
      </c>
      <c r="W132" s="1">
        <v>0</v>
      </c>
      <c r="X132" s="1">
        <f>0</f>
        <v>0</v>
      </c>
      <c r="Y132" s="1">
        <f>0</f>
        <v>0</v>
      </c>
      <c r="Z132" s="1">
        <f>0</f>
        <v>0</v>
      </c>
      <c r="AA132" s="1"/>
      <c r="AB132" s="5"/>
      <c r="AC132" s="5"/>
      <c r="AD132" s="1" t="e">
        <f>ABS(NETWORKDAYS.INTL("07/15/2024", "06/18/24", 1, {"01/01/2024","01/15/2024","02/19/2024","05/27/2024","07/04/2024","09/02/2024","10/14/2024","11/11/2024","11/28/2024","12/25/2024","12/25/2024","12/26/2024","12/27/2024","12/28/2024","12/29/2024","12/30/2024","31/25/2024","01/01/2024","01/02/2024","01/03/2024","01/04/2024","01/05/2024"}))</f>
        <v>#VALUE!</v>
      </c>
      <c r="AE132" s="1">
        <f>0</f>
        <v>0</v>
      </c>
      <c r="AF132" s="1">
        <f>0</f>
        <v>0</v>
      </c>
      <c r="AG132" s="1">
        <f>0</f>
        <v>0</v>
      </c>
      <c r="AH132" s="1">
        <f>0</f>
        <v>0</v>
      </c>
      <c r="AI132" s="1">
        <f>0</f>
        <v>0</v>
      </c>
      <c r="AJ132" s="1" t="b">
        <v>1</v>
      </c>
      <c r="AK132" s="1"/>
      <c r="AL132" s="1"/>
      <c r="AM132" s="1"/>
      <c r="AN132" s="1"/>
      <c r="AO132" s="1"/>
      <c r="AP132" s="1"/>
      <c r="AQ132" s="1"/>
      <c r="AR132" s="1"/>
      <c r="AS132" s="1"/>
      <c r="AT132" s="1"/>
      <c r="AU132" s="1"/>
      <c r="AV132" s="1"/>
      <c r="AW132" s="1"/>
      <c r="AX132" s="1"/>
      <c r="AY132" s="1"/>
      <c r="AZ132" s="1"/>
    </row>
    <row r="133" spans="1:52" ht="15" customHeight="1" x14ac:dyDescent="0.35">
      <c r="A133" s="1" t="s">
        <v>946</v>
      </c>
      <c r="B133" s="1" t="s">
        <v>947</v>
      </c>
      <c r="C133" s="1" t="s">
        <v>629</v>
      </c>
      <c r="D133" s="1" t="s">
        <v>937</v>
      </c>
      <c r="E133" s="1" t="s">
        <v>630</v>
      </c>
      <c r="F133" s="9" t="s">
        <v>948</v>
      </c>
      <c r="G133" s="1" t="s">
        <v>406</v>
      </c>
      <c r="H1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3" s="11" t="e">
        <f>ABS(NETWORKDAYS.INTL("03/27/24", "06/18/24", 1, {"01/01/2024","01/15/2024","02/19/2024","05/27/2024","07/04/2024","09/02/2024","10/14/2024","11/11/2024","11/28/2024","12/25/2024","12/25/2024","12/26/2024","12/27/2024","12/28/2024","12/29/2024","12/30/2024","31/25/2024","01/01/2024","01/02/2024","01/03/2024","01/04/2024","01/05/2024"}))</f>
        <v>#VALUE!</v>
      </c>
      <c r="J133" s="1">
        <f>0</f>
        <v>0</v>
      </c>
      <c r="K133" s="1"/>
      <c r="L133" s="1">
        <v>1</v>
      </c>
      <c r="M133" s="1" t="e">
        <f>ABS(NETWORKDAYS.INTL("07/17/2024", "07/17/2024", 1, {"01/01/2024","01/15/2024","02/19/2024","05/27/2024","07/04/2024","09/02/2024","10/14/2024","11/11/2024","11/28/2024","12/25/2024","12/25/2024","12/26/2024","12/27/2024","12/28/2024","12/29/2024","12/30/2024","31/25/2024","01/01/2024","01/02/2024","01/03/2024","01/04/2024","01/05/2024"}))</f>
        <v>#VALUE!</v>
      </c>
      <c r="N133" s="1">
        <f>0</f>
        <v>0</v>
      </c>
      <c r="O133" s="1">
        <f>0</f>
        <v>0</v>
      </c>
      <c r="P133" s="1"/>
      <c r="Q133" s="1">
        <v>1</v>
      </c>
      <c r="R133" s="1">
        <v>1</v>
      </c>
      <c r="S133" s="1" t="e">
        <f>ABS(NETWORKDAYS.INTL("07/19/2024", "07/19/2024", 1, {"01/01/2024","01/15/2024","02/19/2024","05/27/2024","07/04/2024","09/02/2024","10/14/2024","11/11/2024","11/28/2024","12/25/2024","12/25/2024","12/26/2024","12/27/2024","12/28/2024","12/29/2024","12/30/2024","31/25/2024","01/01/2024","01/02/2024","01/03/2024","01/04/2024","01/05/2024"}))</f>
        <v>#VALUE!</v>
      </c>
      <c r="T133" s="1">
        <f>0</f>
        <v>0</v>
      </c>
      <c r="U133" s="1"/>
      <c r="V133" s="1">
        <v>1</v>
      </c>
      <c r="W133" s="1">
        <v>0</v>
      </c>
      <c r="X133" s="1">
        <f>0</f>
        <v>0</v>
      </c>
      <c r="Y133" s="1">
        <f>0</f>
        <v>0</v>
      </c>
      <c r="Z133" s="1">
        <f>0</f>
        <v>0</v>
      </c>
      <c r="AA133" s="1"/>
      <c r="AB133" s="5"/>
      <c r="AC133" s="5"/>
      <c r="AD133" s="1" t="e">
        <f>ABS(NETWORKDAYS.INTL("07/17/2024", "06/18/24", 1, {"01/01/2024","01/15/2024","02/19/2024","05/27/2024","07/04/2024","09/02/2024","10/14/2024","11/11/2024","11/28/2024","12/25/2024","12/25/2024","12/26/2024","12/27/2024","12/28/2024","12/29/2024","12/30/2024","31/25/2024","01/01/2024","01/02/2024","01/03/2024","01/04/2024","01/05/2024"}))</f>
        <v>#VALUE!</v>
      </c>
      <c r="AE133" s="1">
        <f>0</f>
        <v>0</v>
      </c>
      <c r="AF133" s="1" t="e">
        <f>ABS(NETWORKDAYS.INTL("07/19/2024", "07/17/2024", 1, {"01/01/2024","01/15/2024","02/19/2024","05/27/2024","07/04/2024","09/02/2024","10/14/2024","11/11/2024","11/28/2024","12/25/2024","12/25/2024","12/26/2024","12/27/2024","12/28/2024","12/29/2024","12/30/2024","31/25/2024","01/01/2024","01/02/2024","01/03/2024","01/04/2024","01/05/2024"}))</f>
        <v>#VALUE!</v>
      </c>
      <c r="AG133" s="1" t="e">
        <f>ABS(NETWORKDAYS.INTL("07/19/2024", "07/19/2024", 1, {"01/01/2024","01/15/2024","02/19/2024","05/27/2024","07/04/2024","09/02/2024","10/14/2024","11/11/2024","11/28/2024","12/25/2024","12/25/2024","12/26/2024","12/27/2024","12/28/2024","12/29/2024","12/30/2024","31/25/2024","01/01/2024","01/02/2024","01/03/2024","01/04/2024","01/05/2024"}))</f>
        <v>#VALUE!</v>
      </c>
      <c r="AH133" s="1">
        <f>0</f>
        <v>0</v>
      </c>
      <c r="AI133" s="1">
        <f>0</f>
        <v>0</v>
      </c>
      <c r="AJ133" s="1" t="b">
        <v>1</v>
      </c>
      <c r="AK133" s="1"/>
      <c r="AL133" s="1"/>
      <c r="AM133" s="1"/>
      <c r="AN133" s="1"/>
      <c r="AO133" s="1"/>
      <c r="AP133" s="1"/>
      <c r="AQ133" s="1"/>
      <c r="AR133" s="1"/>
      <c r="AS133" s="1"/>
      <c r="AT133" s="1"/>
      <c r="AU133" s="1"/>
      <c r="AV133" s="1"/>
      <c r="AW133" s="1" t="b">
        <v>1</v>
      </c>
      <c r="AX133" s="1"/>
      <c r="AY133" s="1"/>
      <c r="AZ133" s="1"/>
    </row>
    <row r="134" spans="1:52" ht="15" customHeight="1" x14ac:dyDescent="0.35">
      <c r="A134" s="1" t="s">
        <v>949</v>
      </c>
      <c r="B134" s="1" t="s">
        <v>416</v>
      </c>
      <c r="C134" s="1" t="s">
        <v>629</v>
      </c>
      <c r="D134" s="1" t="s">
        <v>937</v>
      </c>
      <c r="E134" s="1" t="s">
        <v>630</v>
      </c>
      <c r="F134" s="9" t="s">
        <v>950</v>
      </c>
      <c r="G134" s="1" t="s">
        <v>406</v>
      </c>
      <c r="H1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4" s="11" t="e">
        <f>ABS(NETWORKDAYS.INTL("03/27/24", "06/17/24", 1, {"01/01/2024","01/15/2024","02/19/2024","05/27/2024","07/04/2024","09/02/2024","10/14/2024","11/11/2024","11/28/2024","12/25/2024","12/25/2024","12/26/2024","12/27/2024","12/28/2024","12/29/2024","12/30/2024","31/25/2024","01/01/2024","01/02/2024","01/03/2024","01/04/2024","01/05/2024"}))</f>
        <v>#VALUE!</v>
      </c>
      <c r="J134" s="1">
        <f>0</f>
        <v>0</v>
      </c>
      <c r="K134" s="1"/>
      <c r="L134" s="1">
        <v>1</v>
      </c>
      <c r="M134" s="1" t="e">
        <f>ABS(NETWORKDAYS.INTL("07/15/2024", "07/17/2024", 1, {"01/01/2024","01/15/2024","02/19/2024","05/27/2024","07/04/2024","09/02/2024","10/14/2024","11/11/2024","11/28/2024","12/25/2024","12/25/2024","12/26/2024","12/27/2024","12/28/2024","12/29/2024","12/30/2024","31/25/2024","01/01/2024","01/02/2024","01/03/2024","01/04/2024","01/05/2024"}))</f>
        <v>#VALUE!</v>
      </c>
      <c r="N134" s="1">
        <f>0</f>
        <v>0</v>
      </c>
      <c r="O134" s="1">
        <f>0</f>
        <v>0</v>
      </c>
      <c r="P134" s="1"/>
      <c r="Q134" s="1">
        <v>1</v>
      </c>
      <c r="R134" s="1">
        <v>1</v>
      </c>
      <c r="S134" s="1" t="e">
        <f>ABS(NETWORKDAYS.INTL("07/19/2024", "07/19/2024", 1, {"01/01/2024","01/15/2024","02/19/2024","05/27/2024","07/04/2024","09/02/2024","10/14/2024","11/11/2024","11/28/2024","12/25/2024","12/25/2024","12/26/2024","12/27/2024","12/28/2024","12/29/2024","12/30/2024","31/25/2024","01/01/2024","01/02/2024","01/03/2024","01/04/2024","01/05/2024"}))</f>
        <v>#VALUE!</v>
      </c>
      <c r="T134" s="1">
        <f>0</f>
        <v>0</v>
      </c>
      <c r="U134" s="1"/>
      <c r="V134" s="1">
        <v>1</v>
      </c>
      <c r="W134" s="1">
        <v>0</v>
      </c>
      <c r="X134" s="1">
        <f>0</f>
        <v>0</v>
      </c>
      <c r="Y134" s="1">
        <f>0</f>
        <v>0</v>
      </c>
      <c r="Z134" s="1">
        <f>0</f>
        <v>0</v>
      </c>
      <c r="AA134" s="1"/>
      <c r="AB134" s="5"/>
      <c r="AC134" s="5"/>
      <c r="AD134" s="1" t="e">
        <f>ABS(NETWORKDAYS.INTL("07/15/2024", "06/17/24", 1, {"01/01/2024","01/15/2024","02/19/2024","05/27/2024","07/04/2024","09/02/2024","10/14/2024","11/11/2024","11/28/2024","12/25/2024","12/25/2024","12/26/2024","12/27/2024","12/28/2024","12/29/2024","12/30/2024","31/25/2024","01/01/2024","01/02/2024","01/03/2024","01/04/2024","01/05/2024"}))</f>
        <v>#VALUE!</v>
      </c>
      <c r="AE134" s="1">
        <f>0</f>
        <v>0</v>
      </c>
      <c r="AF134" s="1" t="e">
        <f>ABS(NETWORKDAYS.INTL("07/18/2024", "07/17/2024", 1, {"01/01/2024","01/15/2024","02/19/2024","05/27/2024","07/04/2024","09/02/2024","10/14/2024","11/11/2024","11/28/2024","12/25/2024","12/25/2024","12/26/2024","12/27/2024","12/28/2024","12/29/2024","12/30/2024","31/25/2024","01/01/2024","01/02/2024","01/03/2024","01/04/2024","01/05/2024"}))</f>
        <v>#VALUE!</v>
      </c>
      <c r="AG134" s="1" t="e">
        <f>ABS(NETWORKDAYS.INTL("07/19/2024", "07/18/2024", 1, {"01/01/2024","01/15/2024","02/19/2024","05/27/2024","07/04/2024","09/02/2024","10/14/2024","11/11/2024","11/28/2024","12/25/2024","12/25/2024","12/26/2024","12/27/2024","12/28/2024","12/29/2024","12/30/2024","31/25/2024","01/01/2024","01/02/2024","01/03/2024","01/04/2024","01/05/2024"}))</f>
        <v>#VALUE!</v>
      </c>
      <c r="AH134" s="1">
        <f>0</f>
        <v>0</v>
      </c>
      <c r="AI134" s="1">
        <f>0</f>
        <v>0</v>
      </c>
      <c r="AJ134" s="1" t="b">
        <v>1</v>
      </c>
      <c r="AK134" s="1"/>
      <c r="AL134" s="1"/>
      <c r="AM134" s="1"/>
      <c r="AN134" s="1"/>
      <c r="AO134" s="1"/>
      <c r="AP134" s="1"/>
      <c r="AQ134" s="1"/>
      <c r="AR134" s="1"/>
      <c r="AS134" s="1"/>
      <c r="AT134" s="1"/>
      <c r="AU134" s="1"/>
      <c r="AV134" s="1"/>
      <c r="AW134" s="1" t="b">
        <v>1</v>
      </c>
      <c r="AX134" s="1"/>
      <c r="AY134" s="1"/>
      <c r="AZ134" s="1"/>
    </row>
    <row r="135" spans="1:52" ht="15" customHeight="1" x14ac:dyDescent="0.35">
      <c r="A135" s="1" t="s">
        <v>951</v>
      </c>
      <c r="B135" s="1" t="s">
        <v>952</v>
      </c>
      <c r="C135" s="1" t="s">
        <v>601</v>
      </c>
      <c r="D135" s="1" t="s">
        <v>937</v>
      </c>
      <c r="E135" s="1" t="s">
        <v>626</v>
      </c>
      <c r="F135" s="9" t="s">
        <v>953</v>
      </c>
      <c r="G135" s="1" t="s">
        <v>406</v>
      </c>
      <c r="H1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5" s="11" t="e">
        <f>ABS(NETWORKDAYS.INTL("03/27/24", "06/17/24", 1, {"01/01/2024","01/15/2024","02/19/2024","05/27/2024","07/04/2024","09/02/2024","10/14/2024","11/11/2024","11/28/2024","12/25/2024","12/25/2024","12/26/2024","12/27/2024","12/28/2024","12/29/2024","12/30/2024","31/25/2024","01/01/2024","01/02/2024","01/03/2024","01/04/2024","01/05/2024"}))</f>
        <v>#VALUE!</v>
      </c>
      <c r="J135" s="1">
        <f>0</f>
        <v>0</v>
      </c>
      <c r="K135" s="1"/>
      <c r="L135" s="1">
        <v>1</v>
      </c>
      <c r="M135" s="1" t="e">
        <f>ABS(NETWORKDAYS.INTL("07/15/2024", "08/05/24", 1, {"01/01/2024","01/15/2024","02/19/2024","05/27/2024","07/04/2024","09/02/2024","10/14/2024","11/11/2024","11/28/2024","12/25/2024","12/25/2024","12/26/2024","12/27/2024","12/28/2024","12/29/2024","12/30/2024","31/25/2024","01/01/2024","01/02/2024","01/03/2024","01/04/2024","01/05/2024"}))</f>
        <v>#VALUE!</v>
      </c>
      <c r="N135" s="1">
        <f>0</f>
        <v>0</v>
      </c>
      <c r="O135" s="1">
        <f>0</f>
        <v>0</v>
      </c>
      <c r="P135" s="1"/>
      <c r="Q135" s="1">
        <v>0</v>
      </c>
      <c r="R135" s="1">
        <v>0</v>
      </c>
      <c r="S135" s="1">
        <f>0</f>
        <v>0</v>
      </c>
      <c r="T135" s="1">
        <f>0</f>
        <v>0</v>
      </c>
      <c r="U135" s="1"/>
      <c r="V135" s="1">
        <v>0</v>
      </c>
      <c r="W135" s="1">
        <v>0</v>
      </c>
      <c r="X135" s="1">
        <f>0</f>
        <v>0</v>
      </c>
      <c r="Y135" s="1">
        <f>0</f>
        <v>0</v>
      </c>
      <c r="Z135" s="1">
        <f>0</f>
        <v>0</v>
      </c>
      <c r="AA135" s="1"/>
      <c r="AB135" s="5"/>
      <c r="AC135" s="5"/>
      <c r="AD135" s="1" t="e">
        <f>ABS(NETWORKDAYS.INTL("07/15/2024", "06/17/24", 1, {"01/01/2024","01/15/2024","02/19/2024","05/27/2024","07/04/2024","09/02/2024","10/14/2024","11/11/2024","11/28/2024","12/25/2024","12/25/2024","12/26/2024","12/27/2024","12/28/2024","12/29/2024","12/30/2024","31/25/2024","01/01/2024","01/02/2024","01/03/2024","01/04/2024","01/05/2024"}))</f>
        <v>#VALUE!</v>
      </c>
      <c r="AE135" s="1">
        <f>0</f>
        <v>0</v>
      </c>
      <c r="AF135" s="1">
        <f>0</f>
        <v>0</v>
      </c>
      <c r="AG135" s="1">
        <f>0</f>
        <v>0</v>
      </c>
      <c r="AH135" s="1">
        <f>0</f>
        <v>0</v>
      </c>
      <c r="AI135" s="1">
        <f>0</f>
        <v>0</v>
      </c>
      <c r="AJ135" s="1" t="b">
        <v>1</v>
      </c>
      <c r="AK135" s="1"/>
      <c r="AL135" s="1"/>
      <c r="AM135" s="1"/>
      <c r="AN135" s="1"/>
      <c r="AO135" s="1"/>
      <c r="AP135" s="1"/>
      <c r="AQ135" s="1"/>
      <c r="AR135" s="1"/>
      <c r="AS135" s="1"/>
      <c r="AT135" s="1"/>
      <c r="AU135" s="1"/>
      <c r="AV135" s="1"/>
      <c r="AW135" s="1"/>
      <c r="AX135" s="1"/>
      <c r="AY135" s="1"/>
      <c r="AZ135" s="1"/>
    </row>
    <row r="136" spans="1:52" ht="15" customHeight="1" x14ac:dyDescent="0.35">
      <c r="A136" s="1" t="s">
        <v>954</v>
      </c>
      <c r="B136" s="1" t="s">
        <v>955</v>
      </c>
      <c r="C136" s="1" t="s">
        <v>865</v>
      </c>
      <c r="D136" s="1" t="s">
        <v>956</v>
      </c>
      <c r="E136" s="1" t="s">
        <v>626</v>
      </c>
      <c r="F136" s="9" t="s">
        <v>957</v>
      </c>
      <c r="G136" s="1" t="s">
        <v>406</v>
      </c>
      <c r="H1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36" s="11" t="e">
        <f>ABS(NETWORKDAYS.INTL("03/27/24", "06/17/24", 1, {"01/01/2024","01/15/2024","02/19/2024","05/27/2024","07/04/2024","09/02/2024","10/14/2024","11/11/2024","11/28/2024","12/25/2024","12/25/2024","12/26/2024","12/27/2024","12/28/2024","12/29/2024","12/30/2024","31/25/2024","01/01/2024","01/02/2024","01/03/2024","01/04/2024","01/05/2024"}))</f>
        <v>#VALUE!</v>
      </c>
      <c r="J136" s="1">
        <f>0</f>
        <v>0</v>
      </c>
      <c r="K136" s="1"/>
      <c r="L136" s="1">
        <v>1</v>
      </c>
      <c r="M136" s="1" t="e">
        <f>ABS(NETWORKDAYS.INTL("07/12/2024", "07/16/2024", 1, {"01/01/2024","01/15/2024","02/19/2024","05/27/2024","07/04/2024","09/02/2024","10/14/2024","11/11/2024","11/28/2024","12/25/2024","12/25/2024","12/26/2024","12/27/2024","12/28/2024","12/29/2024","12/30/2024","31/25/2024","01/01/2024","01/02/2024","01/03/2024","01/04/2024","01/05/2024"}))</f>
        <v>#VALUE!</v>
      </c>
      <c r="N136" s="1">
        <f>0</f>
        <v>0</v>
      </c>
      <c r="O136" s="1">
        <f>0</f>
        <v>0</v>
      </c>
      <c r="P136" s="1"/>
      <c r="Q136" s="1">
        <v>0</v>
      </c>
      <c r="R136" s="1">
        <v>0</v>
      </c>
      <c r="S136" s="1">
        <f>0</f>
        <v>0</v>
      </c>
      <c r="T136" s="1">
        <f>0</f>
        <v>0</v>
      </c>
      <c r="U136" s="1"/>
      <c r="V136" s="1">
        <v>0</v>
      </c>
      <c r="W136" s="1">
        <v>0</v>
      </c>
      <c r="X136" s="1">
        <f>0</f>
        <v>0</v>
      </c>
      <c r="Y136" s="1">
        <f>0</f>
        <v>0</v>
      </c>
      <c r="Z136" s="1">
        <f>0</f>
        <v>0</v>
      </c>
      <c r="AA136" s="1"/>
      <c r="AB136" s="5"/>
      <c r="AC136" s="5"/>
      <c r="AD136" s="1" t="e">
        <f>ABS(NETWORKDAYS.INTL("07/12/2024", "06/17/24", 1, {"01/01/2024","01/15/2024","02/19/2024","05/27/2024","07/04/2024","09/02/2024","10/14/2024","11/11/2024","11/28/2024","12/25/2024","12/25/2024","12/26/2024","12/27/2024","12/28/2024","12/29/2024","12/30/2024","31/25/2024","01/01/2024","01/02/2024","01/03/2024","01/04/2024","01/05/2024"}))</f>
        <v>#VALUE!</v>
      </c>
      <c r="AE136" s="1">
        <f>0</f>
        <v>0</v>
      </c>
      <c r="AF136" s="1">
        <f>0</f>
        <v>0</v>
      </c>
      <c r="AG136" s="1">
        <f>0</f>
        <v>0</v>
      </c>
      <c r="AH136" s="1">
        <f>0</f>
        <v>0</v>
      </c>
      <c r="AI136" s="1">
        <f>0</f>
        <v>0</v>
      </c>
      <c r="AJ136" s="1" t="b">
        <v>1</v>
      </c>
      <c r="AK136" s="1"/>
      <c r="AL136" s="1"/>
      <c r="AM136" s="1"/>
      <c r="AN136" s="1"/>
      <c r="AO136" s="1"/>
      <c r="AP136" s="1"/>
      <c r="AQ136" s="1"/>
      <c r="AR136" s="1"/>
      <c r="AS136" s="1"/>
      <c r="AT136" s="1"/>
      <c r="AU136" s="1"/>
      <c r="AV136" s="1"/>
      <c r="AW136" s="1"/>
      <c r="AX136" s="1"/>
      <c r="AY136" s="1"/>
      <c r="AZ136" s="1"/>
    </row>
    <row r="137" spans="1:52" ht="15" customHeight="1" x14ac:dyDescent="0.35">
      <c r="A137" s="1" t="s">
        <v>958</v>
      </c>
      <c r="B137" s="1" t="s">
        <v>959</v>
      </c>
      <c r="C137" s="1" t="s">
        <v>629</v>
      </c>
      <c r="D137" s="1" t="s">
        <v>937</v>
      </c>
      <c r="E137" s="1" t="s">
        <v>630</v>
      </c>
      <c r="F137" s="9" t="s">
        <v>960</v>
      </c>
      <c r="G137" s="1" t="s">
        <v>406</v>
      </c>
      <c r="H1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7" s="11" t="e">
        <f>ABS(NETWORKDAYS.INTL("03/27/24", "07/01/24", 1, {"01/01/2024","01/15/2024","02/19/2024","05/27/2024","07/04/2024","09/02/2024","10/14/2024","11/11/2024","11/28/2024","12/25/2024","12/25/2024","12/26/2024","12/27/2024","12/28/2024","12/29/2024","12/30/2024","31/25/2024","01/01/2024","01/02/2024","01/03/2024","01/04/2024","01/05/2024"}))</f>
        <v>#VALUE!</v>
      </c>
      <c r="J137" s="1">
        <f>0</f>
        <v>0</v>
      </c>
      <c r="K137" s="1"/>
      <c r="L137" s="1">
        <v>1</v>
      </c>
      <c r="M137" s="1" t="e">
        <f>ABS(NETWORKDAYS.INTL("07/15/2024", "07/16/2024", 1, {"01/01/2024","01/15/2024","02/19/2024","05/27/2024","07/04/2024","09/02/2024","10/14/2024","11/11/2024","11/28/2024","12/25/2024","12/25/2024","12/26/2024","12/27/2024","12/28/2024","12/29/2024","12/30/2024","31/25/2024","01/01/2024","01/02/2024","01/03/2024","01/04/2024","01/05/2024"}))</f>
        <v>#VALUE!</v>
      </c>
      <c r="N137" s="1">
        <f>0</f>
        <v>0</v>
      </c>
      <c r="O137" s="1">
        <f>0</f>
        <v>0</v>
      </c>
      <c r="P137" s="1"/>
      <c r="Q137" s="1">
        <v>1</v>
      </c>
      <c r="R137" s="1">
        <v>1</v>
      </c>
      <c r="S137" s="1" t="e">
        <f>ABS(NETWORKDAYS.INTL("07/18/2024", "07/19/2024", 1, {"01/01/2024","01/15/2024","02/19/2024","05/27/2024","07/04/2024","09/02/2024","10/14/2024","11/11/2024","11/28/2024","12/25/2024","12/25/2024","12/26/2024","12/27/2024","12/28/2024","12/29/2024","12/30/2024","31/25/2024","01/01/2024","01/02/2024","01/03/2024","01/04/2024","01/05/2024"}))</f>
        <v>#VALUE!</v>
      </c>
      <c r="T137" s="1">
        <f>0</f>
        <v>0</v>
      </c>
      <c r="U137" s="1"/>
      <c r="V137" s="1">
        <v>1</v>
      </c>
      <c r="W137" s="1">
        <v>0</v>
      </c>
      <c r="X137" s="1">
        <f>0</f>
        <v>0</v>
      </c>
      <c r="Y137" s="1">
        <f>0</f>
        <v>0</v>
      </c>
      <c r="Z137" s="1">
        <f>0</f>
        <v>0</v>
      </c>
      <c r="AA137" s="1"/>
      <c r="AB137" s="5"/>
      <c r="AC137" s="5"/>
      <c r="AD137" s="1" t="e">
        <f>ABS(NETWORKDAYS.INTL("07/15/2024", "07/01/24", 1, {"01/01/2024","01/15/2024","02/19/2024","05/27/2024","07/04/2024","09/02/2024","10/14/2024","11/11/2024","11/28/2024","12/25/2024","12/25/2024","12/26/2024","12/27/2024","12/28/2024","12/29/2024","12/30/2024","31/25/2024","01/01/2024","01/02/2024","01/03/2024","01/04/2024","01/05/2024"}))</f>
        <v>#VALUE!</v>
      </c>
      <c r="AE137" s="1">
        <f>0</f>
        <v>0</v>
      </c>
      <c r="AF137" s="1" t="e">
        <f>ABS(NETWORKDAYS.INTL("07/18/2024", "07/16/2024", 1, {"01/01/2024","01/15/2024","02/19/2024","05/27/2024","07/04/2024","09/02/2024","10/14/2024","11/11/2024","11/28/2024","12/25/2024","12/25/2024","12/26/2024","12/27/2024","12/28/2024","12/29/2024","12/30/2024","31/25/2024","01/01/2024","01/02/2024","01/03/2024","01/04/2024","01/05/2024"}))</f>
        <v>#VALUE!</v>
      </c>
      <c r="AG137" s="1" t="e">
        <f>ABS(NETWORKDAYS.INTL("07/19/2024", "07/18/2024", 1, {"01/01/2024","01/15/2024","02/19/2024","05/27/2024","07/04/2024","09/02/2024","10/14/2024","11/11/2024","11/28/2024","12/25/2024","12/25/2024","12/26/2024","12/27/2024","12/28/2024","12/29/2024","12/30/2024","31/25/2024","01/01/2024","01/02/2024","01/03/2024","01/04/2024","01/05/2024"}))</f>
        <v>#VALUE!</v>
      </c>
      <c r="AH137" s="1">
        <f>0</f>
        <v>0</v>
      </c>
      <c r="AI137" s="1">
        <f>0</f>
        <v>0</v>
      </c>
      <c r="AJ137" s="1" t="b">
        <v>1</v>
      </c>
      <c r="AK137" s="1"/>
      <c r="AL137" s="1"/>
      <c r="AM137" s="1"/>
      <c r="AN137" s="1"/>
      <c r="AO137" s="1"/>
      <c r="AP137" s="1"/>
      <c r="AQ137" s="1"/>
      <c r="AR137" s="1"/>
      <c r="AS137" s="1"/>
      <c r="AT137" s="1"/>
      <c r="AU137" s="1"/>
      <c r="AV137" s="1"/>
      <c r="AW137" s="1" t="b">
        <v>1</v>
      </c>
      <c r="AX137" s="1"/>
      <c r="AY137" s="1"/>
      <c r="AZ137" s="1"/>
    </row>
    <row r="138" spans="1:52" ht="15" customHeight="1" x14ac:dyDescent="0.35">
      <c r="A138" s="1" t="s">
        <v>961</v>
      </c>
      <c r="B138" s="1" t="s">
        <v>418</v>
      </c>
      <c r="C138" s="1" t="s">
        <v>601</v>
      </c>
      <c r="D138" s="1" t="s">
        <v>962</v>
      </c>
      <c r="E138" s="1" t="s">
        <v>626</v>
      </c>
      <c r="F138" s="9" t="s">
        <v>963</v>
      </c>
      <c r="G138" s="1" t="s">
        <v>406</v>
      </c>
      <c r="H1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38" s="11" t="e">
        <f>ABS(NETWORKDAYS.INTL("03/27/24", "08/05/24", 1, {"01/01/2024","01/15/2024","02/19/2024","05/27/2024","07/04/2024","09/02/2024","10/14/2024","11/11/2024","11/28/2024","12/25/2024","12/25/2024","12/26/2024","12/27/2024","12/28/2024","12/29/2024","12/30/2024","31/25/2024","01/01/2024","01/02/2024","01/03/2024","01/04/2024","01/05/2024"}))</f>
        <v>#VALUE!</v>
      </c>
      <c r="J138" s="1">
        <f>0</f>
        <v>0</v>
      </c>
      <c r="K138" s="1"/>
      <c r="L138" s="1">
        <v>0</v>
      </c>
      <c r="M138" s="1">
        <f>0</f>
        <v>0</v>
      </c>
      <c r="N138" s="1">
        <f>0</f>
        <v>0</v>
      </c>
      <c r="O138" s="1">
        <f>0</f>
        <v>0</v>
      </c>
      <c r="P138" s="1"/>
      <c r="Q138" s="1">
        <v>0</v>
      </c>
      <c r="R138" s="1">
        <v>0</v>
      </c>
      <c r="S138" s="1">
        <f>0</f>
        <v>0</v>
      </c>
      <c r="T138" s="1">
        <f>0</f>
        <v>0</v>
      </c>
      <c r="U138" s="1"/>
      <c r="V138" s="1">
        <v>0</v>
      </c>
      <c r="W138" s="1">
        <v>0</v>
      </c>
      <c r="X138" s="1">
        <f>0</f>
        <v>0</v>
      </c>
      <c r="Y138" s="1">
        <f>0</f>
        <v>0</v>
      </c>
      <c r="Z138" s="1">
        <f>0</f>
        <v>0</v>
      </c>
      <c r="AA138" s="1"/>
      <c r="AB138" s="5"/>
      <c r="AC138" s="5"/>
      <c r="AD138" s="1">
        <f>0</f>
        <v>0</v>
      </c>
      <c r="AE138" s="1">
        <f>0</f>
        <v>0</v>
      </c>
      <c r="AF138" s="1">
        <f>0</f>
        <v>0</v>
      </c>
      <c r="AG138" s="1">
        <f>0</f>
        <v>0</v>
      </c>
      <c r="AH138" s="1">
        <f>0</f>
        <v>0</v>
      </c>
      <c r="AI138" s="1">
        <f>0</f>
        <v>0</v>
      </c>
      <c r="AJ138" s="1" t="b">
        <v>1</v>
      </c>
      <c r="AK138" s="1"/>
      <c r="AL138" s="1"/>
      <c r="AM138" s="1"/>
      <c r="AN138" s="1"/>
      <c r="AO138" s="1"/>
      <c r="AP138" s="1"/>
      <c r="AQ138" s="1"/>
      <c r="AR138" s="1"/>
      <c r="AS138" s="1"/>
      <c r="AT138" s="1"/>
      <c r="AU138" s="1"/>
      <c r="AV138" s="1"/>
      <c r="AW138" s="1"/>
      <c r="AX138" s="1"/>
      <c r="AY138" s="1"/>
      <c r="AZ138" s="1"/>
    </row>
    <row r="139" spans="1:52" ht="15" customHeight="1" x14ac:dyDescent="0.35">
      <c r="A139" s="1" t="s">
        <v>964</v>
      </c>
      <c r="B139" s="1" t="s">
        <v>965</v>
      </c>
      <c r="C139" s="1" t="s">
        <v>629</v>
      </c>
      <c r="D139" s="1" t="s">
        <v>966</v>
      </c>
      <c r="E139" s="1" t="s">
        <v>967</v>
      </c>
      <c r="F139" s="9" t="s">
        <v>968</v>
      </c>
      <c r="G139" s="1" t="s">
        <v>406</v>
      </c>
      <c r="H1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39" s="11" t="e">
        <f>ABS(NETWORKDAYS.INTL("06/05/24", "06/07/24", 1, {"01/01/2024","01/15/2024","02/19/2024","05/27/2024","07/04/2024","09/02/2024","10/14/2024","11/11/2024","11/28/2024","12/25/2024","12/25/2024","12/26/2024","12/27/2024","12/28/2024","12/29/2024","12/30/2024","31/25/2024","01/01/2024","01/02/2024","01/03/2024","01/04/2024","01/05/2024"}))</f>
        <v>#VALUE!</v>
      </c>
      <c r="J139" s="1">
        <f>0</f>
        <v>0</v>
      </c>
      <c r="K139" s="1"/>
      <c r="L139" s="1">
        <v>1</v>
      </c>
      <c r="M139" s="1" t="e">
        <f>ABS(NETWORKDAYS.INTL("07/15/2024", "07/15/2024", 1, {"01/01/2024","01/15/2024","02/19/2024","05/27/2024","07/04/2024","09/02/2024","10/14/2024","11/11/2024","11/28/2024","12/25/2024","12/25/2024","12/26/2024","12/27/2024","12/28/2024","12/29/2024","12/30/2024","31/25/2024","01/01/2024","01/02/2024","01/03/2024","01/04/2024","01/05/2024"}))</f>
        <v>#VALUE!</v>
      </c>
      <c r="N139" s="1">
        <f>0</f>
        <v>0</v>
      </c>
      <c r="O139" s="1">
        <f>0</f>
        <v>0</v>
      </c>
      <c r="P139" s="1"/>
      <c r="Q139" s="1">
        <v>1</v>
      </c>
      <c r="R139" s="1">
        <v>0</v>
      </c>
      <c r="S139" s="1">
        <f>0</f>
        <v>0</v>
      </c>
      <c r="T139" s="1">
        <f>0</f>
        <v>0</v>
      </c>
      <c r="U139" s="1"/>
      <c r="V139" s="1">
        <v>1</v>
      </c>
      <c r="W139" s="1">
        <v>0</v>
      </c>
      <c r="X139" s="1">
        <f>0</f>
        <v>0</v>
      </c>
      <c r="Y139" s="1">
        <f>0</f>
        <v>0</v>
      </c>
      <c r="Z139" s="1">
        <f>0</f>
        <v>0</v>
      </c>
      <c r="AA139" s="1"/>
      <c r="AB139" s="5"/>
      <c r="AC139" s="5"/>
      <c r="AD139" s="1" t="e">
        <f>ABS(NETWORKDAYS.INTL("07/15/2024", "06/07/24", 1, {"01/01/2024","01/15/2024","02/19/2024","05/27/2024","07/04/2024","09/02/2024","10/14/2024","11/11/2024","11/28/2024","12/25/2024","12/25/2024","12/26/2024","12/27/2024","12/28/2024","12/29/2024","12/30/2024","31/25/2024","01/01/2024","01/02/2024","01/03/2024","01/04/2024","01/05/2024"}))</f>
        <v>#VALUE!</v>
      </c>
      <c r="AE139" s="1">
        <f>0</f>
        <v>0</v>
      </c>
      <c r="AF139" s="1">
        <f>0</f>
        <v>0</v>
      </c>
      <c r="AG139" s="1" t="e">
        <f>ABS(NETWORKDAYS.INTL("07/16/2024", "08/05/24", 1, {"01/01/2024","01/15/2024","02/19/2024","05/27/2024","07/04/2024","09/02/2024","10/14/2024","11/11/2024","11/28/2024","12/25/2024","12/25/2024","12/26/2024","12/27/2024","12/28/2024","12/29/2024","12/30/2024","31/25/2024","01/01/2024","01/02/2024","01/03/2024","01/04/2024","01/05/2024"}))</f>
        <v>#VALUE!</v>
      </c>
      <c r="AH139" s="1">
        <f>0</f>
        <v>0</v>
      </c>
      <c r="AI139" s="1">
        <f>0</f>
        <v>0</v>
      </c>
      <c r="AJ139" s="1"/>
      <c r="AK139" s="1"/>
      <c r="AL139" s="1" t="b">
        <v>1</v>
      </c>
      <c r="AM139" s="1"/>
      <c r="AN139" s="1"/>
      <c r="AO139" s="1"/>
      <c r="AP139" s="1"/>
      <c r="AQ139" s="1"/>
      <c r="AR139" s="1"/>
      <c r="AS139" s="1"/>
      <c r="AT139" s="1"/>
      <c r="AU139" s="1"/>
      <c r="AV139" s="1"/>
      <c r="AW139" s="1"/>
      <c r="AX139" s="1"/>
      <c r="AY139" s="1"/>
      <c r="AZ139" s="1"/>
    </row>
    <row r="140" spans="1:52" ht="15" customHeight="1" x14ac:dyDescent="0.35">
      <c r="A140" s="1" t="s">
        <v>969</v>
      </c>
      <c r="B140" s="1" t="s">
        <v>419</v>
      </c>
      <c r="C140" s="1" t="s">
        <v>624</v>
      </c>
      <c r="D140" s="1" t="s">
        <v>905</v>
      </c>
      <c r="E140" s="1" t="s">
        <v>614</v>
      </c>
      <c r="F140" s="9" t="s">
        <v>970</v>
      </c>
      <c r="G140" s="1" t="s">
        <v>406</v>
      </c>
      <c r="H1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0" s="11" t="e">
        <f>ABS(NETWORKDAYS.INTL("06/25/24", "06/28/24", 1, {"01/01/2024","01/15/2024","02/19/2024","05/27/2024","07/04/2024","09/02/2024","10/14/2024","11/11/2024","11/28/2024","12/25/2024","12/25/2024","12/26/2024","12/27/2024","12/28/2024","12/29/2024","12/30/2024","31/25/2024","01/01/2024","01/02/2024","01/03/2024","01/04/2024","01/05/2024"}))</f>
        <v>#VALUE!</v>
      </c>
      <c r="J140" s="1">
        <f>0</f>
        <v>0</v>
      </c>
      <c r="K140" s="1"/>
      <c r="L140" s="1">
        <v>0</v>
      </c>
      <c r="M140" s="1">
        <f>0</f>
        <v>0</v>
      </c>
      <c r="N140" s="1">
        <f>0</f>
        <v>0</v>
      </c>
      <c r="O140" s="1">
        <f>0</f>
        <v>0</v>
      </c>
      <c r="P140" s="1"/>
      <c r="Q140" s="1">
        <v>0</v>
      </c>
      <c r="R140" s="1">
        <v>0</v>
      </c>
      <c r="S140" s="1">
        <f>0</f>
        <v>0</v>
      </c>
      <c r="T140" s="1">
        <f>0</f>
        <v>0</v>
      </c>
      <c r="U140" s="1"/>
      <c r="V140" s="1">
        <v>1</v>
      </c>
      <c r="W140" s="1">
        <v>1</v>
      </c>
      <c r="X140" s="1" t="e">
        <f>ABS(NETWORKDAYS.INTL("07/08/24", "07/08/24", 1, {"01/01/2024","01/15/2024","02/19/2024","05/27/2024","07/04/2024","09/02/2024","10/14/2024","11/11/2024","11/28/2024","12/25/2024","12/25/2024","12/26/2024","12/27/2024","12/28/2024","12/29/2024","12/30/2024","31/25/2024","01/01/2024","01/02/2024","01/03/2024","01/04/2024","01/05/2024"}))</f>
        <v>#VALUE!</v>
      </c>
      <c r="Y140" s="1">
        <f>0</f>
        <v>0</v>
      </c>
      <c r="Z140" s="1">
        <f>0</f>
        <v>0</v>
      </c>
      <c r="AA140" s="1"/>
      <c r="AB140" s="5">
        <v>45483</v>
      </c>
      <c r="AC140" s="5">
        <v>45498</v>
      </c>
      <c r="AD140" s="1">
        <f>0</f>
        <v>0</v>
      </c>
      <c r="AE140" s="1">
        <f>0</f>
        <v>0</v>
      </c>
      <c r="AF140" s="1">
        <f>0</f>
        <v>0</v>
      </c>
      <c r="AG140" s="1" t="e">
        <f>ABS(NETWORKDAYS.INTL("06/28/24", "08/05/24", 1, {"01/01/2024","01/15/2024","02/19/2024","05/27/2024","07/04/2024","09/02/2024","10/14/2024","11/11/2024","11/28/2024","12/25/2024","12/25/2024","12/26/2024","12/27/2024","12/28/2024","12/29/2024","12/30/2024","31/25/2024","01/01/2024","01/02/2024","01/03/2024","01/04/2024","01/05/2024"}))</f>
        <v>#VALUE!</v>
      </c>
      <c r="AH140" s="1" t="e">
        <f>ABS(NETWORKDAYS.INTL("07/08/24", "06/28/24", 1, {"01/01/2024","01/15/2024","02/19/2024","05/27/2024","07/04/2024","09/02/2024","10/14/2024","11/11/2024","11/28/2024","12/25/2024","12/25/2024","12/26/2024","12/27/2024","12/28/2024","12/29/2024","12/30/2024","31/25/2024","01/01/2024","01/02/2024","01/03/2024","01/04/2024","01/05/2024"}))</f>
        <v>#VALUE!</v>
      </c>
      <c r="AI140" s="1" t="e">
        <f>ABS(NETWORKDAYS.INTL("07/25/2024", "07/10/24", 1, {"01/01/2024","01/15/2024","02/19/2024","05/27/2024","07/04/2024","09/02/2024","10/14/2024","11/11/2024","11/28/2024","12/25/2024","12/25/2024","12/26/2024","12/27/2024","12/28/2024","12/29/2024","12/30/2024","31/25/2024","01/01/2024","01/02/2024","01/03/2024","01/04/2024","01/05/2024"}))</f>
        <v>#VALUE!</v>
      </c>
      <c r="AJ140" s="1"/>
      <c r="AK140" s="1" t="b">
        <v>1</v>
      </c>
      <c r="AL140" s="1"/>
      <c r="AM140" s="1"/>
      <c r="AN140" s="1"/>
      <c r="AO140" s="1"/>
      <c r="AP140" s="1"/>
      <c r="AQ140" s="1"/>
      <c r="AR140" s="1"/>
      <c r="AS140" s="1"/>
      <c r="AT140" s="1"/>
      <c r="AU140" s="1"/>
      <c r="AV140" s="1"/>
      <c r="AW140" s="1"/>
      <c r="AX140" s="1"/>
      <c r="AY140" s="1"/>
      <c r="AZ140" s="1"/>
    </row>
    <row r="141" spans="1:52" ht="15" customHeight="1" x14ac:dyDescent="0.35">
      <c r="A141" s="1" t="s">
        <v>971</v>
      </c>
      <c r="B141" s="1" t="s">
        <v>420</v>
      </c>
      <c r="C141" s="1" t="s">
        <v>624</v>
      </c>
      <c r="D141" s="1" t="s">
        <v>905</v>
      </c>
      <c r="E141" s="1" t="s">
        <v>614</v>
      </c>
      <c r="F141" s="9" t="s">
        <v>972</v>
      </c>
      <c r="G141" s="1" t="s">
        <v>406</v>
      </c>
      <c r="H1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1" s="11" t="e">
        <f>ABS(NETWORKDAYS.INTL("06/25/24", "06/28/24", 1, {"01/01/2024","01/15/2024","02/19/2024","05/27/2024","07/04/2024","09/02/2024","10/14/2024","11/11/2024","11/28/2024","12/25/2024","12/25/2024","12/26/2024","12/27/2024","12/28/2024","12/29/2024","12/30/2024","31/25/2024","01/01/2024","01/02/2024","01/03/2024","01/04/2024","01/05/2024"}))</f>
        <v>#VALUE!</v>
      </c>
      <c r="J141" s="1">
        <f>0</f>
        <v>0</v>
      </c>
      <c r="K141" s="1"/>
      <c r="L141" s="1">
        <v>0</v>
      </c>
      <c r="M141" s="1">
        <f>0</f>
        <v>0</v>
      </c>
      <c r="N141" s="1">
        <f>0</f>
        <v>0</v>
      </c>
      <c r="O141" s="1">
        <f>0</f>
        <v>0</v>
      </c>
      <c r="P141" s="1"/>
      <c r="Q141" s="1">
        <v>0</v>
      </c>
      <c r="R141" s="1">
        <v>0</v>
      </c>
      <c r="S141" s="1">
        <f>0</f>
        <v>0</v>
      </c>
      <c r="T141" s="1">
        <f>0</f>
        <v>0</v>
      </c>
      <c r="U141" s="1"/>
      <c r="V141" s="1">
        <v>1</v>
      </c>
      <c r="W141" s="1">
        <v>0</v>
      </c>
      <c r="X141" s="1">
        <f>0</f>
        <v>0</v>
      </c>
      <c r="Y141" s="1">
        <f>0</f>
        <v>0</v>
      </c>
      <c r="Z141" s="1">
        <f>0</f>
        <v>0</v>
      </c>
      <c r="AA141" s="1"/>
      <c r="AB141" s="5">
        <v>45483</v>
      </c>
      <c r="AC141" s="5">
        <v>45498</v>
      </c>
      <c r="AD141" s="1">
        <f>0</f>
        <v>0</v>
      </c>
      <c r="AE141" s="1">
        <f>0</f>
        <v>0</v>
      </c>
      <c r="AF141" s="1">
        <f>0</f>
        <v>0</v>
      </c>
      <c r="AG141" s="1" t="e">
        <f>ABS(NETWORKDAYS.INTL("06/28/2024", "08/05/24", 1, {"01/01/2024","01/15/2024","02/19/2024","05/27/2024","07/04/2024","09/02/2024","10/14/2024","11/11/2024","11/28/2024","12/25/2024","12/25/2024","12/26/2024","12/27/2024","12/28/2024","12/29/2024","12/30/2024","31/25/2024","01/01/2024","01/02/2024","01/03/2024","01/04/2024","01/05/2024"}))</f>
        <v>#VALUE!</v>
      </c>
      <c r="AH141" s="1">
        <f>0</f>
        <v>0</v>
      </c>
      <c r="AI141" s="1" t="e">
        <f>ABS(NETWORKDAYS.INTL("07/25/2024", "07/10/24", 1, {"01/01/2024","01/15/2024","02/19/2024","05/27/2024","07/04/2024","09/02/2024","10/14/2024","11/11/2024","11/28/2024","12/25/2024","12/25/2024","12/26/2024","12/27/2024","12/28/2024","12/29/2024","12/30/2024","31/25/2024","01/01/2024","01/02/2024","01/03/2024","01/04/2024","01/05/2024"}))</f>
        <v>#VALUE!</v>
      </c>
      <c r="AJ141" s="1"/>
      <c r="AK141" s="1" t="b">
        <v>1</v>
      </c>
      <c r="AL141" s="1"/>
      <c r="AM141" s="1"/>
      <c r="AN141" s="1"/>
      <c r="AO141" s="1"/>
      <c r="AP141" s="1"/>
      <c r="AQ141" s="1"/>
      <c r="AR141" s="1"/>
      <c r="AS141" s="1"/>
      <c r="AT141" s="1"/>
      <c r="AU141" s="1"/>
      <c r="AV141" s="1"/>
      <c r="AW141" s="1"/>
      <c r="AX141" s="1"/>
      <c r="AY141" s="1"/>
      <c r="AZ141" s="1"/>
    </row>
    <row r="142" spans="1:52" ht="15" customHeight="1" x14ac:dyDescent="0.35">
      <c r="A142" s="1" t="s">
        <v>973</v>
      </c>
      <c r="B142" s="1" t="s">
        <v>421</v>
      </c>
      <c r="C142" s="1" t="s">
        <v>601</v>
      </c>
      <c r="D142" s="1" t="s">
        <v>974</v>
      </c>
      <c r="E142" s="1" t="s">
        <v>603</v>
      </c>
      <c r="F142" s="9" t="s">
        <v>975</v>
      </c>
      <c r="G142" s="1" t="s">
        <v>406</v>
      </c>
      <c r="H1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2" s="11">
        <f>0</f>
        <v>0</v>
      </c>
      <c r="J142" s="1">
        <f>0</f>
        <v>0</v>
      </c>
      <c r="K142" s="1"/>
      <c r="L142" s="1">
        <v>0</v>
      </c>
      <c r="M142" s="1">
        <f>0</f>
        <v>0</v>
      </c>
      <c r="N142" s="1">
        <f>0</f>
        <v>0</v>
      </c>
      <c r="O142" s="1">
        <f>0</f>
        <v>0</v>
      </c>
      <c r="P142" s="1"/>
      <c r="Q142" s="1">
        <v>0</v>
      </c>
      <c r="R142" s="1">
        <v>0</v>
      </c>
      <c r="S142" s="1">
        <f>0</f>
        <v>0</v>
      </c>
      <c r="T142" s="1">
        <f>0</f>
        <v>0</v>
      </c>
      <c r="U142" s="1"/>
      <c r="V142" s="1">
        <v>1</v>
      </c>
      <c r="W142" s="1">
        <v>0</v>
      </c>
      <c r="X142" s="1">
        <f>0</f>
        <v>0</v>
      </c>
      <c r="Y142" s="1">
        <f>0</f>
        <v>0</v>
      </c>
      <c r="Z142" s="1">
        <f>0</f>
        <v>0</v>
      </c>
      <c r="AA142" s="1"/>
      <c r="AB142" s="5"/>
      <c r="AC142" s="5"/>
      <c r="AD142" s="1">
        <f>0</f>
        <v>0</v>
      </c>
      <c r="AE142" s="1">
        <f>0</f>
        <v>0</v>
      </c>
      <c r="AF142" s="1">
        <f>0</f>
        <v>0</v>
      </c>
      <c r="AG142" s="1" t="e">
        <f>ABS(NETWORKDAYS.INTL("06/06/24", "08/05/24", 1, {"01/01/2024","01/15/2024","02/19/2024","05/27/2024","07/04/2024","09/02/2024","10/14/2024","11/11/2024","11/28/2024","12/25/2024","12/25/2024","12/26/2024","12/27/2024","12/28/2024","12/29/2024","12/30/2024","31/25/2024","01/01/2024","01/02/2024","01/03/2024","01/04/2024","01/05/2024"}))</f>
        <v>#VALUE!</v>
      </c>
      <c r="AH142" s="1">
        <f>0</f>
        <v>0</v>
      </c>
      <c r="AI142" s="1">
        <f>0</f>
        <v>0</v>
      </c>
      <c r="AJ142" s="1"/>
      <c r="AK142" s="1"/>
      <c r="AL142" s="1"/>
      <c r="AM142" s="1"/>
      <c r="AN142" s="1"/>
      <c r="AO142" s="1"/>
      <c r="AP142" s="1"/>
      <c r="AQ142" s="1"/>
      <c r="AR142" s="1"/>
      <c r="AS142" s="1"/>
      <c r="AT142" s="1"/>
      <c r="AU142" s="1"/>
      <c r="AV142" s="1"/>
      <c r="AW142" s="1"/>
      <c r="AX142" s="1"/>
      <c r="AY142" s="1"/>
      <c r="AZ142" s="1"/>
    </row>
    <row r="143" spans="1:52" ht="15" customHeight="1" x14ac:dyDescent="0.35">
      <c r="A143" s="1" t="s">
        <v>976</v>
      </c>
      <c r="B143" s="1" t="s">
        <v>422</v>
      </c>
      <c r="C143" s="1" t="s">
        <v>601</v>
      </c>
      <c r="D143" s="1" t="s">
        <v>977</v>
      </c>
      <c r="E143" s="1" t="s">
        <v>978</v>
      </c>
      <c r="F143" s="9" t="s">
        <v>979</v>
      </c>
      <c r="G143" s="1" t="s">
        <v>406</v>
      </c>
      <c r="H1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43" s="11" t="e">
        <f>ABS(NETWORKDAYS.INTL("05/15/24", "05/16/24", 1, {"01/01/2024","01/15/2024","02/19/2024","05/27/2024","07/04/2024","09/02/2024","10/14/2024","11/11/2024","11/28/2024","12/25/2024","12/25/2024","12/26/2024","12/27/2024","12/28/2024","12/29/2024","12/30/2024","31/25/2024","01/01/2024","01/02/2024","01/03/2024","01/04/2024","01/05/2024"}))</f>
        <v>#VALUE!</v>
      </c>
      <c r="J143" s="1">
        <f>0</f>
        <v>0</v>
      </c>
      <c r="K143" s="1"/>
      <c r="L143" s="1">
        <v>0</v>
      </c>
      <c r="M143" s="1">
        <f>0</f>
        <v>0</v>
      </c>
      <c r="N143" s="1">
        <f>0</f>
        <v>0</v>
      </c>
      <c r="O143" s="1">
        <f>0</f>
        <v>0</v>
      </c>
      <c r="P143" s="1"/>
      <c r="Q143" s="1">
        <v>1</v>
      </c>
      <c r="R143" s="1">
        <v>1</v>
      </c>
      <c r="S143" s="1">
        <f>0</f>
        <v>0</v>
      </c>
      <c r="T143" s="1">
        <f>0</f>
        <v>0</v>
      </c>
      <c r="U143" s="1"/>
      <c r="V143" s="1">
        <v>0</v>
      </c>
      <c r="W143" s="1">
        <v>0</v>
      </c>
      <c r="X143" s="1">
        <f>0</f>
        <v>0</v>
      </c>
      <c r="Y143" s="1">
        <f>0</f>
        <v>0</v>
      </c>
      <c r="Z143" s="1">
        <f>0</f>
        <v>0</v>
      </c>
      <c r="AA143" s="1"/>
      <c r="AB143" s="5"/>
      <c r="AC143" s="5"/>
      <c r="AD143" s="1">
        <f>0</f>
        <v>0</v>
      </c>
      <c r="AE143" s="1">
        <f>0</f>
        <v>0</v>
      </c>
      <c r="AF143" s="1" t="e">
        <f>ABS(NETWORKDAYS.INTL("05/17/24", "05/16/24", 1, {"01/01/2024","01/15/2024","02/19/2024","05/27/2024","07/04/2024","09/02/2024","10/14/2024","11/11/2024","11/28/2024","12/25/2024","12/25/2024","12/26/2024","12/27/2024","12/28/2024","12/29/2024","12/30/2024","31/25/2024","01/01/2024","01/02/2024","01/03/2024","01/04/2024","01/05/2024"}))</f>
        <v>#VALUE!</v>
      </c>
      <c r="AG143" s="1">
        <f>0</f>
        <v>0</v>
      </c>
      <c r="AH143" s="1">
        <f>0</f>
        <v>0</v>
      </c>
      <c r="AI143" s="1">
        <f>0</f>
        <v>0</v>
      </c>
      <c r="AJ143" s="1" t="b">
        <v>1</v>
      </c>
      <c r="AK143" s="1"/>
      <c r="AL143" s="1"/>
      <c r="AM143" s="1"/>
      <c r="AN143" s="1"/>
      <c r="AO143" s="1"/>
      <c r="AP143" s="1"/>
      <c r="AQ143" s="1"/>
      <c r="AR143" s="1"/>
      <c r="AS143" s="1"/>
      <c r="AT143" s="1"/>
      <c r="AU143" s="1"/>
      <c r="AV143" s="1"/>
      <c r="AW143" s="1"/>
      <c r="AX143" s="1"/>
      <c r="AY143" s="1"/>
      <c r="AZ143" s="1"/>
    </row>
    <row r="144" spans="1:52" ht="15" customHeight="1" x14ac:dyDescent="0.35">
      <c r="A144" s="1" t="s">
        <v>980</v>
      </c>
      <c r="B144" s="1" t="s">
        <v>981</v>
      </c>
      <c r="C144" s="1" t="s">
        <v>624</v>
      </c>
      <c r="D144" s="1" t="s">
        <v>982</v>
      </c>
      <c r="E144" s="1" t="s">
        <v>626</v>
      </c>
      <c r="F144" s="9" t="s">
        <v>983</v>
      </c>
      <c r="G144" s="1" t="s">
        <v>406</v>
      </c>
      <c r="H1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4" s="11" t="e">
        <f>ABS(NETWORKDAYS.INTL("05/09/24", "05/17/24", 1, {"01/01/2024","01/15/2024","02/19/2024","05/27/2024","07/04/2024","09/02/2024","10/14/2024","11/11/2024","11/28/2024","12/25/2024","12/25/2024","12/26/2024","12/27/2024","12/28/2024","12/29/2024","12/30/2024","31/25/2024","01/01/2024","01/02/2024","01/03/2024","01/04/2024","01/05/2024"}))</f>
        <v>#VALUE!</v>
      </c>
      <c r="J144" s="1">
        <f>0</f>
        <v>0</v>
      </c>
      <c r="K144" s="1"/>
      <c r="L144" s="1">
        <v>0</v>
      </c>
      <c r="M144" s="1">
        <f>0</f>
        <v>0</v>
      </c>
      <c r="N144" s="1">
        <f>0</f>
        <v>0</v>
      </c>
      <c r="O144" s="1">
        <f>0</f>
        <v>0</v>
      </c>
      <c r="P144" s="1"/>
      <c r="Q144" s="1">
        <v>4</v>
      </c>
      <c r="R144" s="1">
        <v>5</v>
      </c>
      <c r="S144" s="1" t="e">
        <f>ABS(NETWORKDAYS.INTL("06/23/2024", "06/24/24",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T144" s="1">
        <f>0</f>
        <v>0</v>
      </c>
      <c r="U144" s="1"/>
      <c r="V144" s="1">
        <v>1</v>
      </c>
      <c r="W144" s="1">
        <v>0</v>
      </c>
      <c r="X144" s="1">
        <f>0</f>
        <v>0</v>
      </c>
      <c r="Y144" s="1">
        <f>0</f>
        <v>0</v>
      </c>
      <c r="Z144" s="1">
        <f>0</f>
        <v>0</v>
      </c>
      <c r="AA144" s="1"/>
      <c r="AB144" s="5">
        <v>45498</v>
      </c>
      <c r="AC144" s="5">
        <v>45498</v>
      </c>
      <c r="AD144" s="1">
        <f>0</f>
        <v>0</v>
      </c>
      <c r="AE144" s="1">
        <f>0</f>
        <v>0</v>
      </c>
      <c r="AF144" s="1" t="e">
        <f>ABS(NETWORKDAYS.INTL("05/17/24", "05/17/24", 1, {"01/01/2024","01/15/2024","02/19/2024","05/27/2024","07/04/2024","09/02/2024","10/14/2024","11/11/2024","11/28/2024","12/25/2024","12/25/2024","12/26/2024","12/27/2024","12/28/2024","12/29/2024","12/30/2024","31/25/2024","01/01/2024","01/02/2024","01/03/2024","01/04/2024","01/05/2024"}))</f>
        <v>#VALUE!</v>
      </c>
      <c r="AG144" s="1" t="e">
        <f>ABS(NETWORKDAYS.INTL("07/12/2024", "05/17/24", 1, {"01/01/2024","01/15/2024","02/19/2024","05/27/2024","07/04/2024","09/02/2024","10/14/2024","11/11/2024","11/28/2024","12/25/2024","12/25/2024","12/26/2024","12/27/2024","12/28/2024","12/29/2024","12/30/2024","31/25/2024","01/01/2024","01/02/2024","01/03/2024","01/04/2024","01/05/2024"}))</f>
        <v>#VALUE!</v>
      </c>
      <c r="AH144" s="1">
        <f>0</f>
        <v>0</v>
      </c>
      <c r="AI144" s="1" t="e">
        <f>ABS(NETWORKDAYS.INTL("07/25/2024", "07/25/2024", 1, {"01/01/2024","01/15/2024","02/19/2024","05/27/2024","07/04/2024","09/02/2024","10/14/2024","11/11/2024","11/28/2024","12/25/2024","12/25/2024","12/26/2024","12/27/2024","12/28/2024","12/29/2024","12/30/2024","31/25/2024","01/01/2024","01/02/2024","01/03/2024","01/04/2024","01/05/2024"}))</f>
        <v>#VALUE!</v>
      </c>
      <c r="AJ144" s="1" t="b">
        <v>1</v>
      </c>
      <c r="AK144" s="1"/>
      <c r="AL144" s="1"/>
      <c r="AM144" s="1"/>
      <c r="AN144" s="1"/>
      <c r="AO144" s="1"/>
      <c r="AP144" s="1"/>
      <c r="AQ144" s="1"/>
      <c r="AR144" s="1"/>
      <c r="AS144" s="1"/>
      <c r="AT144" s="1"/>
      <c r="AU144" s="1"/>
      <c r="AV144" s="1"/>
      <c r="AW144" s="1"/>
      <c r="AX144" s="1"/>
      <c r="AY144" s="1"/>
      <c r="AZ144" s="1"/>
    </row>
    <row r="145" spans="1:52" ht="15" customHeight="1" x14ac:dyDescent="0.35">
      <c r="A145" s="1" t="s">
        <v>984</v>
      </c>
      <c r="B145" s="1" t="s">
        <v>985</v>
      </c>
      <c r="C145" s="1" t="s">
        <v>624</v>
      </c>
      <c r="D145" s="1" t="s">
        <v>942</v>
      </c>
      <c r="E145" s="1" t="s">
        <v>626</v>
      </c>
      <c r="F145" s="9" t="s">
        <v>986</v>
      </c>
      <c r="G145" s="1" t="s">
        <v>406</v>
      </c>
      <c r="H1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5" s="11" t="e">
        <f>ABS(NETWORKDAYS.INTL("05/09/24", "05/16/24", 1, {"01/01/2024","01/15/2024","02/19/2024","05/27/2024","07/04/2024","09/02/2024","10/14/2024","11/11/2024","11/28/2024","12/25/2024","12/25/2024","12/26/2024","12/27/2024","12/28/2024","12/29/2024","12/30/2024","31/25/2024","01/01/2024","01/02/2024","01/03/2024","01/04/2024","01/05/2024"}))</f>
        <v>#VALUE!</v>
      </c>
      <c r="J145" s="1">
        <f>0</f>
        <v>0</v>
      </c>
      <c r="K145" s="1"/>
      <c r="L145" s="1">
        <v>0</v>
      </c>
      <c r="M145" s="1">
        <f>0</f>
        <v>0</v>
      </c>
      <c r="N145" s="1">
        <f>0</f>
        <v>0</v>
      </c>
      <c r="O145" s="1">
        <f>0</f>
        <v>0</v>
      </c>
      <c r="P145" s="1"/>
      <c r="Q145" s="1">
        <v>3</v>
      </c>
      <c r="R145" s="1">
        <v>3</v>
      </c>
      <c r="S145" s="1" t="e">
        <f>ABS(NETWORKDAYS.INTL("06/02/24", "06/02/24", 1, {"01/01/2024","01/15/2024","02/19/2024","05/27/2024","07/04/2024","09/02/2024","10/14/2024","11/11/2024","11/28/2024","12/25/2024","12/25/2024","12/26/2024","12/27/2024","12/28/2024","12/29/2024","12/30/2024","31/25/2024","01/01/2024","01/02/2024","01/03/2024","01/04/2024","01/05/2024"})+NETWORKDAYS.INTL("06/23/24", "06/23/24", 1, {"01/01/2024","01/15/2024","02/19/2024","05/27/2024","07/04/2024","09/02/2024","10/14/2024","11/11/2024","11/28/2024","12/25/2024","12/25/2024","12/26/2024","12/27/2024","12/28/2024","12/29/2024","12/30/2024","31/25/2024","01/01/2024","01/02/2024","01/03/2024","01/04/2024","01/05/2024"})+NETWORKDAYS.INTL("06/28/24", "06/28/24", 1, {"01/01/2024","01/15/2024","02/19/2024","05/27/2024","07/04/2024","09/02/2024","10/14/2024","11/11/2024","11/28/2024","12/25/2024","12/25/2024","12/26/2024","12/27/2024","12/28/2024","12/29/2024","12/30/2024","31/25/2024","01/01/2024","01/02/2024","01/03/2024","01/04/2024","01/05/2024"}))</f>
        <v>#VALUE!</v>
      </c>
      <c r="T145" s="1">
        <f>0</f>
        <v>0</v>
      </c>
      <c r="U145" s="1"/>
      <c r="V145" s="1">
        <v>2</v>
      </c>
      <c r="W145" s="1">
        <v>1</v>
      </c>
      <c r="X145" s="1" t="e">
        <f>ABS(NETWORKDAYS.INTL("07/22/2024", "07/22/2024", 1, {"01/01/2024","01/15/2024","02/19/2024","05/27/2024","07/04/2024","09/02/2024","10/14/2024","11/11/2024","11/28/2024","12/25/2024","12/25/2024","12/26/2024","12/27/2024","12/28/2024","12/29/2024","12/30/2024","31/25/2024","01/01/2024","01/02/2024","01/03/2024","01/04/2024","01/05/2024"}))</f>
        <v>#VALUE!</v>
      </c>
      <c r="Y145" s="1" t="e">
        <f>ABS(NETWORKDAYS.INTL("07/23/2024", "07/23/2024", 1, {"01/01/2024","01/15/2024","02/19/2024","05/27/2024","07/04/2024","09/02/2024","10/14/2024","11/11/2024","11/28/2024","12/25/2024","12/25/2024","12/26/2024","12/27/2024","12/28/2024","12/29/2024","12/30/2024","31/25/2024","01/01/2024","01/02/2024","01/03/2024","01/04/2024","01/05/2024"}))</f>
        <v>#VALUE!</v>
      </c>
      <c r="Z145" s="1">
        <f>0</f>
        <v>0</v>
      </c>
      <c r="AA145" s="1"/>
      <c r="AB145" s="5">
        <v>45498</v>
      </c>
      <c r="AC145" s="5">
        <v>45498</v>
      </c>
      <c r="AD145" s="1">
        <f>0</f>
        <v>0</v>
      </c>
      <c r="AE145" s="1">
        <f>0</f>
        <v>0</v>
      </c>
      <c r="AF145" s="1" t="e">
        <f>ABS(NETWORKDAYS.INTL("05/17/24", "05/16/24", 1, {"01/01/2024","01/15/2024","02/19/2024","05/27/2024","07/04/2024","09/02/2024","10/14/2024","11/11/2024","11/28/2024","12/25/2024","12/25/2024","12/26/2024","12/27/2024","12/28/2024","12/29/2024","12/30/2024","31/25/2024","01/01/2024","01/02/2024","01/03/2024","01/04/2024","01/05/2024"}))</f>
        <v>#VALUE!</v>
      </c>
      <c r="AG145" s="1" t="e">
        <f>ABS(NETWORKDAYS.INTL("07/09/2024", "05/17/24", 1, {"01/01/2024","01/15/2024","02/19/2024","05/27/2024","07/04/2024","09/02/2024","10/14/2024","11/11/2024","11/28/2024","12/25/2024","12/25/2024","12/26/2024","12/27/2024","12/28/2024","12/29/2024","12/30/2024","31/25/2024","01/01/2024","01/02/2024","01/03/2024","01/04/2024","01/05/2024"}))</f>
        <v>#VALUE!</v>
      </c>
      <c r="AH145" s="1" t="e">
        <f>ABS(NETWORKDAYS.INTL("07/22/2024", "07/09/2024", 1, {"01/01/2024","01/15/2024","02/19/2024","05/27/2024","07/04/2024","09/02/2024","10/14/2024","11/11/2024","11/28/2024","12/25/2024","12/25/2024","12/26/2024","12/27/2024","12/28/2024","12/29/2024","12/30/2024","31/25/2024","01/01/2024","01/02/2024","01/03/2024","01/04/2024","01/05/2024"}))</f>
        <v>#VALUE!</v>
      </c>
      <c r="AI145" s="1" t="e">
        <f>ABS(NETWORKDAYS.INTL("07/25/2024", "07/25/2024", 1, {"01/01/2024","01/15/2024","02/19/2024","05/27/2024","07/04/2024","09/02/2024","10/14/2024","11/11/2024","11/28/2024","12/25/2024","12/25/2024","12/26/2024","12/27/2024","12/28/2024","12/29/2024","12/30/2024","31/25/2024","01/01/2024","01/02/2024","01/03/2024","01/04/2024","01/05/2024"}))</f>
        <v>#VALUE!</v>
      </c>
      <c r="AJ145" s="1" t="b">
        <v>1</v>
      </c>
      <c r="AK145" s="1"/>
      <c r="AL145" s="1"/>
      <c r="AM145" s="1"/>
      <c r="AN145" s="1"/>
      <c r="AO145" s="1"/>
      <c r="AP145" s="1"/>
      <c r="AQ145" s="1"/>
      <c r="AR145" s="1"/>
      <c r="AS145" s="1"/>
      <c r="AT145" s="1"/>
      <c r="AU145" s="1"/>
      <c r="AV145" s="1"/>
      <c r="AW145" s="1"/>
      <c r="AX145" s="1"/>
      <c r="AY145" s="1"/>
      <c r="AZ145" s="1"/>
    </row>
    <row r="146" spans="1:52" ht="15" customHeight="1" x14ac:dyDescent="0.35">
      <c r="A146" s="1" t="s">
        <v>987</v>
      </c>
      <c r="B146" s="1" t="s">
        <v>423</v>
      </c>
      <c r="C146" s="1" t="s">
        <v>988</v>
      </c>
      <c r="D146" s="1" t="s">
        <v>989</v>
      </c>
      <c r="E146" s="1" t="s">
        <v>990</v>
      </c>
      <c r="F146" s="9" t="s">
        <v>991</v>
      </c>
      <c r="G146" s="1" t="s">
        <v>406</v>
      </c>
      <c r="H1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6" s="11" t="e">
        <f>ABS(NETWORKDAYS.INTL("05/13/24", "05/13/24", 1, {"01/01/2024","01/15/2024","02/19/2024","05/27/2024","07/04/2024","09/02/2024","10/14/2024","11/11/2024","11/28/2024","12/25/2024","12/25/2024","12/26/2024","12/27/2024","12/28/2024","12/29/2024","12/30/2024","31/25/2024","01/01/2024","01/02/2024","01/03/2024","01/04/2024","01/05/2024"}))</f>
        <v>#VALUE!</v>
      </c>
      <c r="J146" s="1">
        <f>0</f>
        <v>0</v>
      </c>
      <c r="K146" s="1"/>
      <c r="L146" s="1">
        <v>0</v>
      </c>
      <c r="M146" s="1">
        <f>0</f>
        <v>0</v>
      </c>
      <c r="N146" s="1">
        <f>0</f>
        <v>0</v>
      </c>
      <c r="O146" s="1">
        <f>0</f>
        <v>0</v>
      </c>
      <c r="P146" s="1"/>
      <c r="Q146" s="1">
        <v>0</v>
      </c>
      <c r="R146" s="1">
        <v>0</v>
      </c>
      <c r="S146" s="1">
        <f>0</f>
        <v>0</v>
      </c>
      <c r="T146" s="1">
        <f>0</f>
        <v>0</v>
      </c>
      <c r="U146" s="1"/>
      <c r="V146" s="1">
        <v>0</v>
      </c>
      <c r="W146" s="1">
        <v>0</v>
      </c>
      <c r="X146" s="1">
        <f>0</f>
        <v>0</v>
      </c>
      <c r="Y146" s="1">
        <f>0</f>
        <v>0</v>
      </c>
      <c r="Z146" s="1">
        <f>0</f>
        <v>0</v>
      </c>
      <c r="AA146" s="1"/>
      <c r="AB146" s="5"/>
      <c r="AC146" s="5"/>
      <c r="AD146" s="1">
        <f>0</f>
        <v>0</v>
      </c>
      <c r="AE146" s="1">
        <f>0</f>
        <v>0</v>
      </c>
      <c r="AF146" s="1">
        <f>0</f>
        <v>0</v>
      </c>
      <c r="AG146" s="1">
        <f>0</f>
        <v>0</v>
      </c>
      <c r="AH146" s="1">
        <f>0</f>
        <v>0</v>
      </c>
      <c r="AI146" s="1">
        <f>0</f>
        <v>0</v>
      </c>
      <c r="AJ146" s="1"/>
      <c r="AK146" s="1"/>
      <c r="AL146" s="1"/>
      <c r="AM146" s="1"/>
      <c r="AN146" s="1"/>
      <c r="AO146" s="1"/>
      <c r="AP146" s="1"/>
      <c r="AQ146" s="1"/>
      <c r="AR146" s="1"/>
      <c r="AS146" s="1"/>
      <c r="AT146" s="1"/>
      <c r="AU146" s="1"/>
      <c r="AV146" s="1"/>
      <c r="AW146" s="1"/>
      <c r="AX146" s="1"/>
      <c r="AY146" s="1"/>
      <c r="AZ146" s="1"/>
    </row>
    <row r="147" spans="1:52" ht="15" customHeight="1" x14ac:dyDescent="0.35">
      <c r="A147" s="1" t="s">
        <v>992</v>
      </c>
      <c r="B147" s="1" t="s">
        <v>424</v>
      </c>
      <c r="C147" s="1" t="s">
        <v>988</v>
      </c>
      <c r="D147" s="1" t="s">
        <v>989</v>
      </c>
      <c r="E147" s="1" t="s">
        <v>990</v>
      </c>
      <c r="F147" s="9" t="s">
        <v>991</v>
      </c>
      <c r="G147" s="1" t="s">
        <v>406</v>
      </c>
      <c r="H1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7" s="11" t="e">
        <f>ABS(NETWORKDAYS.INTL("05/13/24", "05/13/24", 1, {"01/01/2024","01/15/2024","02/19/2024","05/27/2024","07/04/2024","09/02/2024","10/14/2024","11/11/2024","11/28/2024","12/25/2024","12/25/2024","12/26/2024","12/27/2024","12/28/2024","12/29/2024","12/30/2024","31/25/2024","01/01/2024","01/02/2024","01/03/2024","01/04/2024","01/05/2024"}))</f>
        <v>#VALUE!</v>
      </c>
      <c r="J147" s="1">
        <f>0</f>
        <v>0</v>
      </c>
      <c r="K147" s="1"/>
      <c r="L147" s="1">
        <v>0</v>
      </c>
      <c r="M147" s="1">
        <f>0</f>
        <v>0</v>
      </c>
      <c r="N147" s="1">
        <f>0</f>
        <v>0</v>
      </c>
      <c r="O147" s="1">
        <f>0</f>
        <v>0</v>
      </c>
      <c r="P147" s="1"/>
      <c r="Q147" s="1">
        <v>0</v>
      </c>
      <c r="R147" s="1">
        <v>0</v>
      </c>
      <c r="S147" s="1">
        <f>0</f>
        <v>0</v>
      </c>
      <c r="T147" s="1">
        <f>0</f>
        <v>0</v>
      </c>
      <c r="U147" s="1"/>
      <c r="V147" s="1">
        <v>0</v>
      </c>
      <c r="W147" s="1">
        <v>0</v>
      </c>
      <c r="X147" s="1">
        <f>0</f>
        <v>0</v>
      </c>
      <c r="Y147" s="1">
        <f>0</f>
        <v>0</v>
      </c>
      <c r="Z147" s="1">
        <f>0</f>
        <v>0</v>
      </c>
      <c r="AA147" s="1"/>
      <c r="AB147" s="5"/>
      <c r="AC147" s="5"/>
      <c r="AD147" s="1">
        <f>0</f>
        <v>0</v>
      </c>
      <c r="AE147" s="1">
        <f>0</f>
        <v>0</v>
      </c>
      <c r="AF147" s="1">
        <f>0</f>
        <v>0</v>
      </c>
      <c r="AG147" s="1">
        <f>0</f>
        <v>0</v>
      </c>
      <c r="AH147" s="1">
        <f>0</f>
        <v>0</v>
      </c>
      <c r="AI147" s="1">
        <f>0</f>
        <v>0</v>
      </c>
      <c r="AJ147" s="1"/>
      <c r="AK147" s="1"/>
      <c r="AL147" s="1"/>
      <c r="AM147" s="1"/>
      <c r="AN147" s="1"/>
      <c r="AO147" s="1"/>
      <c r="AP147" s="1"/>
      <c r="AQ147" s="1"/>
      <c r="AR147" s="1"/>
      <c r="AS147" s="1"/>
      <c r="AT147" s="1"/>
      <c r="AU147" s="1"/>
      <c r="AV147" s="1"/>
      <c r="AW147" s="1"/>
      <c r="AX147" s="1"/>
      <c r="AY147" s="1"/>
      <c r="AZ147" s="1"/>
    </row>
    <row r="148" spans="1:52" ht="15" customHeight="1" x14ac:dyDescent="0.35">
      <c r="A148" s="1" t="s">
        <v>993</v>
      </c>
      <c r="B148" s="1" t="s">
        <v>425</v>
      </c>
      <c r="C148" s="1" t="s">
        <v>988</v>
      </c>
      <c r="D148" s="1" t="s">
        <v>989</v>
      </c>
      <c r="E148" s="1" t="s">
        <v>990</v>
      </c>
      <c r="F148" s="9" t="s">
        <v>994</v>
      </c>
      <c r="G148" s="1" t="s">
        <v>406</v>
      </c>
      <c r="H1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8" s="11" t="e">
        <f>ABS(NETWORKDAYS.INTL("05/13/24", "05/13/24", 1, {"01/01/2024","01/15/2024","02/19/2024","05/27/2024","07/04/2024","09/02/2024","10/14/2024","11/11/2024","11/28/2024","12/25/2024","12/25/2024","12/26/2024","12/27/2024","12/28/2024","12/29/2024","12/30/2024","31/25/2024","01/01/2024","01/02/2024","01/03/2024","01/04/2024","01/05/2024"}))</f>
        <v>#VALUE!</v>
      </c>
      <c r="J148" s="1">
        <f>0</f>
        <v>0</v>
      </c>
      <c r="K148" s="1"/>
      <c r="L148" s="1">
        <v>0</v>
      </c>
      <c r="M148" s="1">
        <f>0</f>
        <v>0</v>
      </c>
      <c r="N148" s="1">
        <f>0</f>
        <v>0</v>
      </c>
      <c r="O148" s="1">
        <f>0</f>
        <v>0</v>
      </c>
      <c r="P148" s="1"/>
      <c r="Q148" s="1">
        <v>0</v>
      </c>
      <c r="R148" s="1">
        <v>0</v>
      </c>
      <c r="S148" s="1">
        <f>0</f>
        <v>0</v>
      </c>
      <c r="T148" s="1">
        <f>0</f>
        <v>0</v>
      </c>
      <c r="U148" s="1"/>
      <c r="V148" s="1">
        <v>0</v>
      </c>
      <c r="W148" s="1">
        <v>0</v>
      </c>
      <c r="X148" s="1">
        <f>0</f>
        <v>0</v>
      </c>
      <c r="Y148" s="1">
        <f>0</f>
        <v>0</v>
      </c>
      <c r="Z148" s="1">
        <f>0</f>
        <v>0</v>
      </c>
      <c r="AA148" s="1"/>
      <c r="AB148" s="5"/>
      <c r="AC148" s="5"/>
      <c r="AD148" s="1">
        <f>0</f>
        <v>0</v>
      </c>
      <c r="AE148" s="1">
        <f>0</f>
        <v>0</v>
      </c>
      <c r="AF148" s="1">
        <f>0</f>
        <v>0</v>
      </c>
      <c r="AG148" s="1">
        <f>0</f>
        <v>0</v>
      </c>
      <c r="AH148" s="1">
        <f>0</f>
        <v>0</v>
      </c>
      <c r="AI148" s="1">
        <f>0</f>
        <v>0</v>
      </c>
      <c r="AJ148" s="1"/>
      <c r="AK148" s="1"/>
      <c r="AL148" s="1"/>
      <c r="AM148" s="1"/>
      <c r="AN148" s="1"/>
      <c r="AO148" s="1"/>
      <c r="AP148" s="1"/>
      <c r="AQ148" s="1"/>
      <c r="AR148" s="1"/>
      <c r="AS148" s="1"/>
      <c r="AT148" s="1"/>
      <c r="AU148" s="1"/>
      <c r="AV148" s="1"/>
      <c r="AW148" s="1"/>
      <c r="AX148" s="1"/>
      <c r="AY148" s="1"/>
      <c r="AZ148" s="1"/>
    </row>
    <row r="149" spans="1:52" ht="15" customHeight="1" x14ac:dyDescent="0.35">
      <c r="A149" s="1" t="s">
        <v>995</v>
      </c>
      <c r="B149" s="1" t="s">
        <v>426</v>
      </c>
      <c r="C149" s="1" t="s">
        <v>988</v>
      </c>
      <c r="D149" s="1" t="s">
        <v>989</v>
      </c>
      <c r="E149" s="1" t="s">
        <v>990</v>
      </c>
      <c r="F149" s="9" t="s">
        <v>996</v>
      </c>
      <c r="G149" s="1" t="s">
        <v>406</v>
      </c>
      <c r="H1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49" s="11" t="e">
        <f>ABS(NETWORKDAYS.INTL("05/13/24", "05/13/24", 1, {"01/01/2024","01/15/2024","02/19/2024","05/27/2024","07/04/2024","09/02/2024","10/14/2024","11/11/2024","11/28/2024","12/25/2024","12/25/2024","12/26/2024","12/27/2024","12/28/2024","12/29/2024","12/30/2024","31/25/2024","01/01/2024","01/02/2024","01/03/2024","01/04/2024","01/05/2024"}))</f>
        <v>#VALUE!</v>
      </c>
      <c r="J149" s="1">
        <f>0</f>
        <v>0</v>
      </c>
      <c r="K149" s="1"/>
      <c r="L149" s="1">
        <v>0</v>
      </c>
      <c r="M149" s="1">
        <f>0</f>
        <v>0</v>
      </c>
      <c r="N149" s="1">
        <f>0</f>
        <v>0</v>
      </c>
      <c r="O149" s="1">
        <f>0</f>
        <v>0</v>
      </c>
      <c r="P149" s="1"/>
      <c r="Q149" s="1">
        <v>0</v>
      </c>
      <c r="R149" s="1">
        <v>0</v>
      </c>
      <c r="S149" s="1">
        <f>0</f>
        <v>0</v>
      </c>
      <c r="T149" s="1">
        <f>0</f>
        <v>0</v>
      </c>
      <c r="U149" s="1"/>
      <c r="V149" s="1">
        <v>0</v>
      </c>
      <c r="W149" s="1">
        <v>0</v>
      </c>
      <c r="X149" s="1">
        <f>0</f>
        <v>0</v>
      </c>
      <c r="Y149" s="1">
        <f>0</f>
        <v>0</v>
      </c>
      <c r="Z149" s="1">
        <f>0</f>
        <v>0</v>
      </c>
      <c r="AA149" s="1"/>
      <c r="AB149" s="5"/>
      <c r="AC149" s="5"/>
      <c r="AD149" s="1">
        <f>0</f>
        <v>0</v>
      </c>
      <c r="AE149" s="1">
        <f>0</f>
        <v>0</v>
      </c>
      <c r="AF149" s="1">
        <f>0</f>
        <v>0</v>
      </c>
      <c r="AG149" s="1">
        <f>0</f>
        <v>0</v>
      </c>
      <c r="AH149" s="1">
        <f>0</f>
        <v>0</v>
      </c>
      <c r="AI149" s="1">
        <f>0</f>
        <v>0</v>
      </c>
      <c r="AJ149" s="1"/>
      <c r="AK149" s="1"/>
      <c r="AL149" s="1"/>
      <c r="AM149" s="1"/>
      <c r="AN149" s="1"/>
      <c r="AO149" s="1"/>
      <c r="AP149" s="1"/>
      <c r="AQ149" s="1"/>
      <c r="AR149" s="1"/>
      <c r="AS149" s="1"/>
      <c r="AT149" s="1"/>
      <c r="AU149" s="1"/>
      <c r="AV149" s="1"/>
      <c r="AW149" s="1"/>
      <c r="AX149" s="1"/>
      <c r="AY149" s="1"/>
      <c r="AZ149" s="1"/>
    </row>
    <row r="150" spans="1:52" ht="15" customHeight="1" x14ac:dyDescent="0.35">
      <c r="A150" s="1" t="s">
        <v>997</v>
      </c>
      <c r="B150" s="1" t="s">
        <v>427</v>
      </c>
      <c r="C150" s="1" t="s">
        <v>988</v>
      </c>
      <c r="D150" s="1" t="s">
        <v>989</v>
      </c>
      <c r="E150" s="1" t="s">
        <v>990</v>
      </c>
      <c r="F150" s="9" t="s">
        <v>998</v>
      </c>
      <c r="G150" s="1" t="s">
        <v>406</v>
      </c>
      <c r="H1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0" s="11" t="e">
        <f>ABS(NETWORKDAYS.INTL("05/13/24", "05/13/24", 1, {"01/01/2024","01/15/2024","02/19/2024","05/27/2024","07/04/2024","09/02/2024","10/14/2024","11/11/2024","11/28/2024","12/25/2024","12/25/2024","12/26/2024","12/27/2024","12/28/2024","12/29/2024","12/30/2024","31/25/2024","01/01/2024","01/02/2024","01/03/2024","01/04/2024","01/05/2024"}))</f>
        <v>#VALUE!</v>
      </c>
      <c r="J150" s="1">
        <f>0</f>
        <v>0</v>
      </c>
      <c r="K150" s="1"/>
      <c r="L150" s="1">
        <v>0</v>
      </c>
      <c r="M150" s="1">
        <f>0</f>
        <v>0</v>
      </c>
      <c r="N150" s="1">
        <f>0</f>
        <v>0</v>
      </c>
      <c r="O150" s="1">
        <f>0</f>
        <v>0</v>
      </c>
      <c r="P150" s="1"/>
      <c r="Q150" s="1">
        <v>0</v>
      </c>
      <c r="R150" s="1">
        <v>0</v>
      </c>
      <c r="S150" s="1">
        <f>0</f>
        <v>0</v>
      </c>
      <c r="T150" s="1">
        <f>0</f>
        <v>0</v>
      </c>
      <c r="U150" s="1"/>
      <c r="V150" s="1">
        <v>0</v>
      </c>
      <c r="W150" s="1">
        <v>0</v>
      </c>
      <c r="X150" s="1">
        <f>0</f>
        <v>0</v>
      </c>
      <c r="Y150" s="1">
        <f>0</f>
        <v>0</v>
      </c>
      <c r="Z150" s="1">
        <f>0</f>
        <v>0</v>
      </c>
      <c r="AA150" s="1"/>
      <c r="AB150" s="5"/>
      <c r="AC150" s="5"/>
      <c r="AD150" s="1">
        <f>0</f>
        <v>0</v>
      </c>
      <c r="AE150" s="1">
        <f>0</f>
        <v>0</v>
      </c>
      <c r="AF150" s="1">
        <f>0</f>
        <v>0</v>
      </c>
      <c r="AG150" s="1">
        <f>0</f>
        <v>0</v>
      </c>
      <c r="AH150" s="1">
        <f>0</f>
        <v>0</v>
      </c>
      <c r="AI150" s="1">
        <f>0</f>
        <v>0</v>
      </c>
      <c r="AJ150" s="1"/>
      <c r="AK150" s="1"/>
      <c r="AL150" s="1"/>
      <c r="AM150" s="1"/>
      <c r="AN150" s="1"/>
      <c r="AO150" s="1"/>
      <c r="AP150" s="1"/>
      <c r="AQ150" s="1"/>
      <c r="AR150" s="1"/>
      <c r="AS150" s="1"/>
      <c r="AT150" s="1"/>
      <c r="AU150" s="1"/>
      <c r="AV150" s="1"/>
      <c r="AW150" s="1"/>
      <c r="AX150" s="1"/>
      <c r="AY150" s="1"/>
      <c r="AZ150" s="1"/>
    </row>
    <row r="151" spans="1:52" ht="15" customHeight="1" x14ac:dyDescent="0.35">
      <c r="A151" s="1" t="s">
        <v>999</v>
      </c>
      <c r="B151" s="1" t="s">
        <v>428</v>
      </c>
      <c r="C151" s="1" t="s">
        <v>988</v>
      </c>
      <c r="D151" s="1" t="s">
        <v>989</v>
      </c>
      <c r="E151" s="1" t="s">
        <v>1000</v>
      </c>
      <c r="F151" s="9" t="s">
        <v>1001</v>
      </c>
      <c r="G151" s="1" t="s">
        <v>406</v>
      </c>
      <c r="H1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1" s="11" t="e">
        <f>ABS(NETWORKDAYS.INTL("05/13/24", "05/13/24", 1, {"01/01/2024","01/15/2024","02/19/2024","05/27/2024","07/04/2024","09/02/2024","10/14/2024","11/11/2024","11/28/2024","12/25/2024","12/25/2024","12/26/2024","12/27/2024","12/28/2024","12/29/2024","12/30/2024","31/25/2024","01/01/2024","01/02/2024","01/03/2024","01/04/2024","01/05/2024"}))</f>
        <v>#VALUE!</v>
      </c>
      <c r="J151" s="1">
        <f>0</f>
        <v>0</v>
      </c>
      <c r="K151" s="1"/>
      <c r="L151" s="1">
        <v>0</v>
      </c>
      <c r="M151" s="1">
        <f>0</f>
        <v>0</v>
      </c>
      <c r="N151" s="1">
        <f>0</f>
        <v>0</v>
      </c>
      <c r="O151" s="1">
        <f>0</f>
        <v>0</v>
      </c>
      <c r="P151" s="1"/>
      <c r="Q151" s="1">
        <v>0</v>
      </c>
      <c r="R151" s="1">
        <v>0</v>
      </c>
      <c r="S151" s="1">
        <f>0</f>
        <v>0</v>
      </c>
      <c r="T151" s="1">
        <f>0</f>
        <v>0</v>
      </c>
      <c r="U151" s="1"/>
      <c r="V151" s="1">
        <v>0</v>
      </c>
      <c r="W151" s="1">
        <v>0</v>
      </c>
      <c r="X151" s="1">
        <f>0</f>
        <v>0</v>
      </c>
      <c r="Y151" s="1">
        <f>0</f>
        <v>0</v>
      </c>
      <c r="Z151" s="1">
        <f>0</f>
        <v>0</v>
      </c>
      <c r="AA151" s="1"/>
      <c r="AB151" s="5"/>
      <c r="AC151" s="5"/>
      <c r="AD151" s="1">
        <f>0</f>
        <v>0</v>
      </c>
      <c r="AE151" s="1">
        <f>0</f>
        <v>0</v>
      </c>
      <c r="AF151" s="1">
        <f>0</f>
        <v>0</v>
      </c>
      <c r="AG151" s="1">
        <f>0</f>
        <v>0</v>
      </c>
      <c r="AH151" s="1">
        <f>0</f>
        <v>0</v>
      </c>
      <c r="AI151" s="1">
        <f>0</f>
        <v>0</v>
      </c>
      <c r="AJ151" s="1"/>
      <c r="AK151" s="1"/>
      <c r="AL151" s="1"/>
      <c r="AM151" s="1"/>
      <c r="AN151" s="1"/>
      <c r="AO151" s="1"/>
      <c r="AP151" s="1"/>
      <c r="AQ151" s="1"/>
      <c r="AR151" s="1"/>
      <c r="AS151" s="1"/>
      <c r="AT151" s="1"/>
      <c r="AU151" s="1"/>
      <c r="AV151" s="1"/>
      <c r="AW151" s="1"/>
      <c r="AX151" s="1"/>
      <c r="AY151" s="1"/>
      <c r="AZ151" s="1"/>
    </row>
    <row r="152" spans="1:52" ht="15" customHeight="1" x14ac:dyDescent="0.35">
      <c r="A152" s="1" t="s">
        <v>1002</v>
      </c>
      <c r="B152" s="1" t="s">
        <v>429</v>
      </c>
      <c r="C152" s="1" t="s">
        <v>988</v>
      </c>
      <c r="D152" s="1" t="s">
        <v>989</v>
      </c>
      <c r="E152" s="1" t="s">
        <v>1000</v>
      </c>
      <c r="F152" s="9" t="s">
        <v>1003</v>
      </c>
      <c r="G152" s="1" t="s">
        <v>406</v>
      </c>
      <c r="H1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2" s="11" t="e">
        <f>ABS(NETWORKDAYS.INTL("05/13/2024", "05/13/2024", 1, {"01/01/2024","01/15/2024","02/19/2024","05/27/2024","07/04/2024","09/02/2024","10/14/2024","11/11/2024","11/28/2024","12/25/2024","12/25/2024","12/26/2024","12/27/2024","12/28/2024","12/29/2024","12/30/2024","31/25/2024","01/01/2024","01/02/2024","01/03/2024","01/04/2024","01/05/2024"}))</f>
        <v>#VALUE!</v>
      </c>
      <c r="J152" s="1">
        <f>0</f>
        <v>0</v>
      </c>
      <c r="K152" s="1"/>
      <c r="L152" s="1">
        <v>0</v>
      </c>
      <c r="M152" s="1">
        <f>0</f>
        <v>0</v>
      </c>
      <c r="N152" s="1">
        <f>0</f>
        <v>0</v>
      </c>
      <c r="O152" s="1">
        <f>0</f>
        <v>0</v>
      </c>
      <c r="P152" s="1"/>
      <c r="Q152" s="1">
        <v>0</v>
      </c>
      <c r="R152" s="1">
        <v>0</v>
      </c>
      <c r="S152" s="1">
        <f>0</f>
        <v>0</v>
      </c>
      <c r="T152" s="1">
        <f>0</f>
        <v>0</v>
      </c>
      <c r="U152" s="1"/>
      <c r="V152" s="1">
        <v>0</v>
      </c>
      <c r="W152" s="1">
        <v>0</v>
      </c>
      <c r="X152" s="1">
        <f>0</f>
        <v>0</v>
      </c>
      <c r="Y152" s="1">
        <f>0</f>
        <v>0</v>
      </c>
      <c r="Z152" s="1">
        <f>0</f>
        <v>0</v>
      </c>
      <c r="AA152" s="1"/>
      <c r="AB152" s="5"/>
      <c r="AC152" s="5"/>
      <c r="AD152" s="1">
        <f>0</f>
        <v>0</v>
      </c>
      <c r="AE152" s="1">
        <f>0</f>
        <v>0</v>
      </c>
      <c r="AF152" s="1">
        <f>0</f>
        <v>0</v>
      </c>
      <c r="AG152" s="1">
        <f>0</f>
        <v>0</v>
      </c>
      <c r="AH152" s="1">
        <f>0</f>
        <v>0</v>
      </c>
      <c r="AI152" s="1">
        <f>0</f>
        <v>0</v>
      </c>
      <c r="AJ152" s="1"/>
      <c r="AK152" s="1"/>
      <c r="AL152" s="1"/>
      <c r="AM152" s="1"/>
      <c r="AN152" s="1"/>
      <c r="AO152" s="1"/>
      <c r="AP152" s="1"/>
      <c r="AQ152" s="1"/>
      <c r="AR152" s="1"/>
      <c r="AS152" s="1"/>
      <c r="AT152" s="1"/>
      <c r="AU152" s="1"/>
      <c r="AV152" s="1"/>
      <c r="AW152" s="1"/>
      <c r="AX152" s="1"/>
      <c r="AY152" s="1"/>
      <c r="AZ152" s="1"/>
    </row>
    <row r="153" spans="1:52" ht="15" customHeight="1" x14ac:dyDescent="0.35">
      <c r="A153" s="1" t="s">
        <v>1004</v>
      </c>
      <c r="B153" s="1" t="s">
        <v>430</v>
      </c>
      <c r="C153" s="1" t="s">
        <v>988</v>
      </c>
      <c r="D153" s="1" t="s">
        <v>989</v>
      </c>
      <c r="E153" s="1" t="s">
        <v>1000</v>
      </c>
      <c r="F153" s="9" t="s">
        <v>1005</v>
      </c>
      <c r="G153" s="1" t="s">
        <v>406</v>
      </c>
      <c r="H1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3" s="11" t="e">
        <f>ABS(NETWORKDAYS.INTL("05/13/2024", "05/13/2024", 1, {"01/01/2024","01/15/2024","02/19/2024","05/27/2024","07/04/2024","09/02/2024","10/14/2024","11/11/2024","11/28/2024","12/25/2024","12/25/2024","12/26/2024","12/27/2024","12/28/2024","12/29/2024","12/30/2024","31/25/2024","01/01/2024","01/02/2024","01/03/2024","01/04/2024","01/05/2024"}))</f>
        <v>#VALUE!</v>
      </c>
      <c r="J153" s="1">
        <f>0</f>
        <v>0</v>
      </c>
      <c r="K153" s="1"/>
      <c r="L153" s="1">
        <v>0</v>
      </c>
      <c r="M153" s="1">
        <f>0</f>
        <v>0</v>
      </c>
      <c r="N153" s="1">
        <f>0</f>
        <v>0</v>
      </c>
      <c r="O153" s="1">
        <f>0</f>
        <v>0</v>
      </c>
      <c r="P153" s="1"/>
      <c r="Q153" s="1">
        <v>0</v>
      </c>
      <c r="R153" s="1">
        <v>0</v>
      </c>
      <c r="S153" s="1">
        <f>0</f>
        <v>0</v>
      </c>
      <c r="T153" s="1">
        <f>0</f>
        <v>0</v>
      </c>
      <c r="U153" s="1"/>
      <c r="V153" s="1">
        <v>0</v>
      </c>
      <c r="W153" s="1">
        <v>0</v>
      </c>
      <c r="X153" s="1">
        <f>0</f>
        <v>0</v>
      </c>
      <c r="Y153" s="1">
        <f>0</f>
        <v>0</v>
      </c>
      <c r="Z153" s="1">
        <f>0</f>
        <v>0</v>
      </c>
      <c r="AA153" s="1"/>
      <c r="AB153" s="5"/>
      <c r="AC153" s="5"/>
      <c r="AD153" s="1">
        <f>0</f>
        <v>0</v>
      </c>
      <c r="AE153" s="1">
        <f>0</f>
        <v>0</v>
      </c>
      <c r="AF153" s="1">
        <f>0</f>
        <v>0</v>
      </c>
      <c r="AG153" s="1">
        <f>0</f>
        <v>0</v>
      </c>
      <c r="AH153" s="1">
        <f>0</f>
        <v>0</v>
      </c>
      <c r="AI153" s="1">
        <f>0</f>
        <v>0</v>
      </c>
      <c r="AJ153" s="1"/>
      <c r="AK153" s="1"/>
      <c r="AL153" s="1"/>
      <c r="AM153" s="1"/>
      <c r="AN153" s="1"/>
      <c r="AO153" s="1"/>
      <c r="AP153" s="1"/>
      <c r="AQ153" s="1"/>
      <c r="AR153" s="1"/>
      <c r="AS153" s="1"/>
      <c r="AT153" s="1"/>
      <c r="AU153" s="1"/>
      <c r="AV153" s="1"/>
      <c r="AW153" s="1"/>
      <c r="AX153" s="1"/>
      <c r="AY153" s="1"/>
      <c r="AZ153" s="1"/>
    </row>
    <row r="154" spans="1:52" ht="15" customHeight="1" x14ac:dyDescent="0.35">
      <c r="A154" s="1" t="s">
        <v>1006</v>
      </c>
      <c r="B154" s="1" t="s">
        <v>431</v>
      </c>
      <c r="C154" s="1" t="s">
        <v>988</v>
      </c>
      <c r="D154" s="1" t="s">
        <v>989</v>
      </c>
      <c r="E154" s="1" t="s">
        <v>1000</v>
      </c>
      <c r="F154" s="9" t="s">
        <v>1007</v>
      </c>
      <c r="G154" s="1" t="s">
        <v>406</v>
      </c>
      <c r="H1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4" s="11" t="e">
        <f>ABS(NETWORKDAYS.INTL("05/13/2024", "05/13/2024", 1, {"01/01/2024","01/15/2024","02/19/2024","05/27/2024","07/04/2024","09/02/2024","10/14/2024","11/11/2024","11/28/2024","12/25/2024","12/25/2024","12/26/2024","12/27/2024","12/28/2024","12/29/2024","12/30/2024","31/25/2024","01/01/2024","01/02/2024","01/03/2024","01/04/2024","01/05/2024"}))</f>
        <v>#VALUE!</v>
      </c>
      <c r="J154" s="1">
        <f>0</f>
        <v>0</v>
      </c>
      <c r="K154" s="1"/>
      <c r="L154" s="1">
        <v>0</v>
      </c>
      <c r="M154" s="1">
        <f>0</f>
        <v>0</v>
      </c>
      <c r="N154" s="1">
        <f>0</f>
        <v>0</v>
      </c>
      <c r="O154" s="1">
        <f>0</f>
        <v>0</v>
      </c>
      <c r="P154" s="1"/>
      <c r="Q154" s="1">
        <v>0</v>
      </c>
      <c r="R154" s="1">
        <v>0</v>
      </c>
      <c r="S154" s="1">
        <f>0</f>
        <v>0</v>
      </c>
      <c r="T154" s="1">
        <f>0</f>
        <v>0</v>
      </c>
      <c r="U154" s="1"/>
      <c r="V154" s="1">
        <v>0</v>
      </c>
      <c r="W154" s="1">
        <v>0</v>
      </c>
      <c r="X154" s="1">
        <f>0</f>
        <v>0</v>
      </c>
      <c r="Y154" s="1">
        <f>0</f>
        <v>0</v>
      </c>
      <c r="Z154" s="1">
        <f>0</f>
        <v>0</v>
      </c>
      <c r="AA154" s="1"/>
      <c r="AB154" s="5"/>
      <c r="AC154" s="5"/>
      <c r="AD154" s="1">
        <f>0</f>
        <v>0</v>
      </c>
      <c r="AE154" s="1">
        <f>0</f>
        <v>0</v>
      </c>
      <c r="AF154" s="1">
        <f>0</f>
        <v>0</v>
      </c>
      <c r="AG154" s="1">
        <f>0</f>
        <v>0</v>
      </c>
      <c r="AH154" s="1">
        <f>0</f>
        <v>0</v>
      </c>
      <c r="AI154" s="1">
        <f>0</f>
        <v>0</v>
      </c>
      <c r="AJ154" s="1"/>
      <c r="AK154" s="1"/>
      <c r="AL154" s="1"/>
      <c r="AM154" s="1"/>
      <c r="AN154" s="1"/>
      <c r="AO154" s="1"/>
      <c r="AP154" s="1"/>
      <c r="AQ154" s="1"/>
      <c r="AR154" s="1"/>
      <c r="AS154" s="1"/>
      <c r="AT154" s="1"/>
      <c r="AU154" s="1"/>
      <c r="AV154" s="1"/>
      <c r="AW154" s="1"/>
      <c r="AX154" s="1"/>
      <c r="AY154" s="1"/>
      <c r="AZ154" s="1"/>
    </row>
    <row r="155" spans="1:52" ht="15" customHeight="1" x14ac:dyDescent="0.35">
      <c r="A155" s="1" t="s">
        <v>1008</v>
      </c>
      <c r="B155" s="1" t="s">
        <v>431</v>
      </c>
      <c r="C155" s="1" t="s">
        <v>988</v>
      </c>
      <c r="D155" s="1" t="s">
        <v>989</v>
      </c>
      <c r="E155" s="1" t="s">
        <v>990</v>
      </c>
      <c r="F155" s="9" t="s">
        <v>1005</v>
      </c>
      <c r="G155" s="1" t="s">
        <v>406</v>
      </c>
      <c r="H1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5" s="11" t="e">
        <f>ABS(NETWORKDAYS.INTL("05/13/2024", "05/13/2024", 1, {"01/01/2024","01/15/2024","02/19/2024","05/27/2024","07/04/2024","09/02/2024","10/14/2024","11/11/2024","11/28/2024","12/25/2024","12/25/2024","12/26/2024","12/27/2024","12/28/2024","12/29/2024","12/30/2024","31/25/2024","01/01/2024","01/02/2024","01/03/2024","01/04/2024","01/05/2024"}))</f>
        <v>#VALUE!</v>
      </c>
      <c r="J155" s="1">
        <f>0</f>
        <v>0</v>
      </c>
      <c r="K155" s="1"/>
      <c r="L155" s="1">
        <v>0</v>
      </c>
      <c r="M155" s="1">
        <f>0</f>
        <v>0</v>
      </c>
      <c r="N155" s="1">
        <f>0</f>
        <v>0</v>
      </c>
      <c r="O155" s="1">
        <f>0</f>
        <v>0</v>
      </c>
      <c r="P155" s="1"/>
      <c r="Q155" s="1">
        <v>0</v>
      </c>
      <c r="R155" s="1">
        <v>0</v>
      </c>
      <c r="S155" s="1">
        <f>0</f>
        <v>0</v>
      </c>
      <c r="T155" s="1">
        <f>0</f>
        <v>0</v>
      </c>
      <c r="U155" s="1"/>
      <c r="V155" s="1">
        <v>0</v>
      </c>
      <c r="W155" s="1">
        <v>0</v>
      </c>
      <c r="X155" s="1">
        <f>0</f>
        <v>0</v>
      </c>
      <c r="Y155" s="1">
        <f>0</f>
        <v>0</v>
      </c>
      <c r="Z155" s="1">
        <f>0</f>
        <v>0</v>
      </c>
      <c r="AA155" s="1"/>
      <c r="AB155" s="5"/>
      <c r="AC155" s="5"/>
      <c r="AD155" s="1">
        <f>0</f>
        <v>0</v>
      </c>
      <c r="AE155" s="1">
        <f>0</f>
        <v>0</v>
      </c>
      <c r="AF155" s="1">
        <f>0</f>
        <v>0</v>
      </c>
      <c r="AG155" s="1">
        <f>0</f>
        <v>0</v>
      </c>
      <c r="AH155" s="1">
        <f>0</f>
        <v>0</v>
      </c>
      <c r="AI155" s="1">
        <f>0</f>
        <v>0</v>
      </c>
      <c r="AJ155" s="1"/>
      <c r="AK155" s="1"/>
      <c r="AL155" s="1"/>
      <c r="AM155" s="1"/>
      <c r="AN155" s="1"/>
      <c r="AO155" s="1"/>
      <c r="AP155" s="1"/>
      <c r="AQ155" s="1"/>
      <c r="AR155" s="1"/>
      <c r="AS155" s="1"/>
      <c r="AT155" s="1"/>
      <c r="AU155" s="1"/>
      <c r="AV155" s="1"/>
      <c r="AW155" s="1"/>
      <c r="AX155" s="1"/>
      <c r="AY155" s="1"/>
      <c r="AZ155" s="1"/>
    </row>
    <row r="156" spans="1:52" ht="15" customHeight="1" x14ac:dyDescent="0.35">
      <c r="A156" s="1" t="s">
        <v>1009</v>
      </c>
      <c r="B156" s="1" t="s">
        <v>432</v>
      </c>
      <c r="C156" s="1" t="s">
        <v>988</v>
      </c>
      <c r="D156" s="1" t="s">
        <v>989</v>
      </c>
      <c r="E156" s="1" t="s">
        <v>990</v>
      </c>
      <c r="F156" s="9" t="s">
        <v>1007</v>
      </c>
      <c r="G156" s="1" t="s">
        <v>406</v>
      </c>
      <c r="H1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6" s="11" t="e">
        <f>ABS(NETWORKDAYS.INTL("05/13/2024", "05/13/2024", 1, {"01/01/2024","01/15/2024","02/19/2024","05/27/2024","07/04/2024","09/02/2024","10/14/2024","11/11/2024","11/28/2024","12/25/2024","12/25/2024","12/26/2024","12/27/2024","12/28/2024","12/29/2024","12/30/2024","31/25/2024","01/01/2024","01/02/2024","01/03/2024","01/04/2024","01/05/2024"}))</f>
        <v>#VALUE!</v>
      </c>
      <c r="J156" s="1">
        <f>0</f>
        <v>0</v>
      </c>
      <c r="K156" s="1"/>
      <c r="L156" s="1">
        <v>0</v>
      </c>
      <c r="M156" s="1">
        <f>0</f>
        <v>0</v>
      </c>
      <c r="N156" s="1">
        <f>0</f>
        <v>0</v>
      </c>
      <c r="O156" s="1">
        <f>0</f>
        <v>0</v>
      </c>
      <c r="P156" s="1"/>
      <c r="Q156" s="1">
        <v>0</v>
      </c>
      <c r="R156" s="1">
        <v>0</v>
      </c>
      <c r="S156" s="1">
        <f>0</f>
        <v>0</v>
      </c>
      <c r="T156" s="1">
        <f>0</f>
        <v>0</v>
      </c>
      <c r="U156" s="1"/>
      <c r="V156" s="1">
        <v>0</v>
      </c>
      <c r="W156" s="1">
        <v>0</v>
      </c>
      <c r="X156" s="1">
        <f>0</f>
        <v>0</v>
      </c>
      <c r="Y156" s="1">
        <f>0</f>
        <v>0</v>
      </c>
      <c r="Z156" s="1">
        <f>0</f>
        <v>0</v>
      </c>
      <c r="AA156" s="1"/>
      <c r="AB156" s="5"/>
      <c r="AC156" s="5"/>
      <c r="AD156" s="1">
        <f>0</f>
        <v>0</v>
      </c>
      <c r="AE156" s="1">
        <f>0</f>
        <v>0</v>
      </c>
      <c r="AF156" s="1">
        <f>0</f>
        <v>0</v>
      </c>
      <c r="AG156" s="1">
        <f>0</f>
        <v>0</v>
      </c>
      <c r="AH156" s="1">
        <f>0</f>
        <v>0</v>
      </c>
      <c r="AI156" s="1">
        <f>0</f>
        <v>0</v>
      </c>
      <c r="AJ156" s="1"/>
      <c r="AK156" s="1"/>
      <c r="AL156" s="1"/>
      <c r="AM156" s="1"/>
      <c r="AN156" s="1"/>
      <c r="AO156" s="1"/>
      <c r="AP156" s="1"/>
      <c r="AQ156" s="1"/>
      <c r="AR156" s="1"/>
      <c r="AS156" s="1"/>
      <c r="AT156" s="1"/>
      <c r="AU156" s="1"/>
      <c r="AV156" s="1"/>
      <c r="AW156" s="1"/>
      <c r="AX156" s="1"/>
      <c r="AY156" s="1"/>
      <c r="AZ156" s="1"/>
    </row>
    <row r="157" spans="1:52" ht="15" customHeight="1" x14ac:dyDescent="0.35">
      <c r="A157" s="1" t="s">
        <v>1010</v>
      </c>
      <c r="B157" s="1" t="s">
        <v>433</v>
      </c>
      <c r="C157" s="1" t="s">
        <v>988</v>
      </c>
      <c r="D157" s="1" t="s">
        <v>1011</v>
      </c>
      <c r="E157" s="1" t="s">
        <v>990</v>
      </c>
      <c r="F157" s="9" t="s">
        <v>1012</v>
      </c>
      <c r="G157" s="1" t="s">
        <v>406</v>
      </c>
      <c r="H1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7" s="11" t="e">
        <f>ABS(NETWORKDAYS.INTL("05/10/2024", "05/11/2024", 1, {"01/01/2024","01/15/2024","02/19/2024","05/27/2024","07/04/2024","09/02/2024","10/14/2024","11/11/2024","11/28/2024","12/25/2024","12/25/2024","12/26/2024","12/27/2024","12/28/2024","12/29/2024","12/30/2024","31/25/2024","01/01/2024","01/02/2024","01/03/2024","01/04/2024","01/05/2024"}))</f>
        <v>#VALUE!</v>
      </c>
      <c r="J157" s="1">
        <f>0</f>
        <v>0</v>
      </c>
      <c r="K157" s="1"/>
      <c r="L157" s="1">
        <v>0</v>
      </c>
      <c r="M157" s="1">
        <f>0</f>
        <v>0</v>
      </c>
      <c r="N157" s="1">
        <f>0</f>
        <v>0</v>
      </c>
      <c r="O157" s="1">
        <f>0</f>
        <v>0</v>
      </c>
      <c r="P157" s="1"/>
      <c r="Q157" s="1">
        <v>0</v>
      </c>
      <c r="R157" s="1">
        <v>0</v>
      </c>
      <c r="S157" s="1">
        <f>0</f>
        <v>0</v>
      </c>
      <c r="T157" s="1">
        <f>0</f>
        <v>0</v>
      </c>
      <c r="U157" s="1"/>
      <c r="V157" s="1">
        <v>0</v>
      </c>
      <c r="W157" s="1">
        <v>0</v>
      </c>
      <c r="X157" s="1">
        <f>0</f>
        <v>0</v>
      </c>
      <c r="Y157" s="1">
        <f>0</f>
        <v>0</v>
      </c>
      <c r="Z157" s="1">
        <f>0</f>
        <v>0</v>
      </c>
      <c r="AA157" s="1"/>
      <c r="AB157" s="5"/>
      <c r="AC157" s="5"/>
      <c r="AD157" s="1">
        <f>0</f>
        <v>0</v>
      </c>
      <c r="AE157" s="1">
        <f>0</f>
        <v>0</v>
      </c>
      <c r="AF157" s="1">
        <f>0</f>
        <v>0</v>
      </c>
      <c r="AG157" s="1">
        <f>0</f>
        <v>0</v>
      </c>
      <c r="AH157" s="1">
        <f>0</f>
        <v>0</v>
      </c>
      <c r="AI157" s="1">
        <f>0</f>
        <v>0</v>
      </c>
      <c r="AJ157" s="1"/>
      <c r="AK157" s="1"/>
      <c r="AL157" s="1"/>
      <c r="AM157" s="1"/>
      <c r="AN157" s="1"/>
      <c r="AO157" s="1"/>
      <c r="AP157" s="1"/>
      <c r="AQ157" s="1"/>
      <c r="AR157" s="1"/>
      <c r="AS157" s="1"/>
      <c r="AT157" s="1"/>
      <c r="AU157" s="1"/>
      <c r="AV157" s="1"/>
      <c r="AW157" s="1"/>
      <c r="AX157" s="1"/>
      <c r="AY157" s="1"/>
      <c r="AZ157" s="1"/>
    </row>
    <row r="158" spans="1:52" ht="15" customHeight="1" x14ac:dyDescent="0.35">
      <c r="A158" s="1" t="s">
        <v>1013</v>
      </c>
      <c r="B158" s="1" t="s">
        <v>434</v>
      </c>
      <c r="C158" s="1" t="s">
        <v>988</v>
      </c>
      <c r="D158" s="1" t="s">
        <v>1011</v>
      </c>
      <c r="E158" s="1" t="s">
        <v>990</v>
      </c>
      <c r="F158" s="9" t="s">
        <v>1012</v>
      </c>
      <c r="G158" s="1" t="s">
        <v>406</v>
      </c>
      <c r="H1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8" s="11" t="e">
        <f>ABS(NETWORKDAYS.INTL("05/10/2024", "05/11/2024", 1, {"01/01/2024","01/15/2024","02/19/2024","05/27/2024","07/04/2024","09/02/2024","10/14/2024","11/11/2024","11/28/2024","12/25/2024","12/25/2024","12/26/2024","12/27/2024","12/28/2024","12/29/2024","12/30/2024","31/25/2024","01/01/2024","01/02/2024","01/03/2024","01/04/2024","01/05/2024"}))</f>
        <v>#VALUE!</v>
      </c>
      <c r="J158" s="1">
        <f>0</f>
        <v>0</v>
      </c>
      <c r="K158" s="1"/>
      <c r="L158" s="1">
        <v>0</v>
      </c>
      <c r="M158" s="1">
        <f>0</f>
        <v>0</v>
      </c>
      <c r="N158" s="1">
        <f>0</f>
        <v>0</v>
      </c>
      <c r="O158" s="1">
        <f>0</f>
        <v>0</v>
      </c>
      <c r="P158" s="1"/>
      <c r="Q158" s="1">
        <v>0</v>
      </c>
      <c r="R158" s="1">
        <v>0</v>
      </c>
      <c r="S158" s="1">
        <f>0</f>
        <v>0</v>
      </c>
      <c r="T158" s="1">
        <f>0</f>
        <v>0</v>
      </c>
      <c r="U158" s="1"/>
      <c r="V158" s="1">
        <v>0</v>
      </c>
      <c r="W158" s="1">
        <v>0</v>
      </c>
      <c r="X158" s="1">
        <f>0</f>
        <v>0</v>
      </c>
      <c r="Y158" s="1">
        <f>0</f>
        <v>0</v>
      </c>
      <c r="Z158" s="1">
        <f>0</f>
        <v>0</v>
      </c>
      <c r="AA158" s="1"/>
      <c r="AB158" s="5"/>
      <c r="AC158" s="5"/>
      <c r="AD158" s="1">
        <f>0</f>
        <v>0</v>
      </c>
      <c r="AE158" s="1">
        <f>0</f>
        <v>0</v>
      </c>
      <c r="AF158" s="1">
        <f>0</f>
        <v>0</v>
      </c>
      <c r="AG158" s="1">
        <f>0</f>
        <v>0</v>
      </c>
      <c r="AH158" s="1">
        <f>0</f>
        <v>0</v>
      </c>
      <c r="AI158" s="1">
        <f>0</f>
        <v>0</v>
      </c>
      <c r="AJ158" s="1"/>
      <c r="AK158" s="1"/>
      <c r="AL158" s="1"/>
      <c r="AM158" s="1"/>
      <c r="AN158" s="1"/>
      <c r="AO158" s="1"/>
      <c r="AP158" s="1"/>
      <c r="AQ158" s="1"/>
      <c r="AR158" s="1"/>
      <c r="AS158" s="1"/>
      <c r="AT158" s="1"/>
      <c r="AU158" s="1"/>
      <c r="AV158" s="1"/>
      <c r="AW158" s="1"/>
      <c r="AX158" s="1"/>
      <c r="AY158" s="1"/>
      <c r="AZ158" s="1"/>
    </row>
    <row r="159" spans="1:52" ht="15" customHeight="1" x14ac:dyDescent="0.35">
      <c r="A159" s="1" t="s">
        <v>1014</v>
      </c>
      <c r="B159" s="1" t="s">
        <v>435</v>
      </c>
      <c r="C159" s="1" t="s">
        <v>988</v>
      </c>
      <c r="D159" s="1" t="s">
        <v>1011</v>
      </c>
      <c r="E159" s="1" t="s">
        <v>990</v>
      </c>
      <c r="F159" s="9" t="s">
        <v>1012</v>
      </c>
      <c r="G159" s="1" t="s">
        <v>406</v>
      </c>
      <c r="H1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59" s="11" t="e">
        <f>ABS(NETWORKDAYS.INTL("05/10/2024", "05/11/2024", 1, {"01/01/2024","01/15/2024","02/19/2024","05/27/2024","07/04/2024","09/02/2024","10/14/2024","11/11/2024","11/28/2024","12/25/2024","12/25/2024","12/26/2024","12/27/2024","12/28/2024","12/29/2024","12/30/2024","31/25/2024","01/01/2024","01/02/2024","01/03/2024","01/04/2024","01/05/2024"}))</f>
        <v>#VALUE!</v>
      </c>
      <c r="J159" s="1">
        <f>0</f>
        <v>0</v>
      </c>
      <c r="K159" s="1"/>
      <c r="L159" s="1">
        <v>0</v>
      </c>
      <c r="M159" s="1">
        <f>0</f>
        <v>0</v>
      </c>
      <c r="N159" s="1">
        <f>0</f>
        <v>0</v>
      </c>
      <c r="O159" s="1">
        <f>0</f>
        <v>0</v>
      </c>
      <c r="P159" s="1"/>
      <c r="Q159" s="1">
        <v>0</v>
      </c>
      <c r="R159" s="1">
        <v>0</v>
      </c>
      <c r="S159" s="1">
        <f>0</f>
        <v>0</v>
      </c>
      <c r="T159" s="1">
        <f>0</f>
        <v>0</v>
      </c>
      <c r="U159" s="1"/>
      <c r="V159" s="1">
        <v>0</v>
      </c>
      <c r="W159" s="1">
        <v>0</v>
      </c>
      <c r="X159" s="1">
        <f>0</f>
        <v>0</v>
      </c>
      <c r="Y159" s="1">
        <f>0</f>
        <v>0</v>
      </c>
      <c r="Z159" s="1">
        <f>0</f>
        <v>0</v>
      </c>
      <c r="AA159" s="1"/>
      <c r="AB159" s="5"/>
      <c r="AC159" s="5"/>
      <c r="AD159" s="1">
        <f>0</f>
        <v>0</v>
      </c>
      <c r="AE159" s="1">
        <f>0</f>
        <v>0</v>
      </c>
      <c r="AF159" s="1">
        <f>0</f>
        <v>0</v>
      </c>
      <c r="AG159" s="1">
        <f>0</f>
        <v>0</v>
      </c>
      <c r="AH159" s="1">
        <f>0</f>
        <v>0</v>
      </c>
      <c r="AI159" s="1">
        <f>0</f>
        <v>0</v>
      </c>
      <c r="AJ159" s="1"/>
      <c r="AK159" s="1"/>
      <c r="AL159" s="1"/>
      <c r="AM159" s="1"/>
      <c r="AN159" s="1"/>
      <c r="AO159" s="1"/>
      <c r="AP159" s="1"/>
      <c r="AQ159" s="1"/>
      <c r="AR159" s="1"/>
      <c r="AS159" s="1"/>
      <c r="AT159" s="1"/>
      <c r="AU159" s="1"/>
      <c r="AV159" s="1"/>
      <c r="AW159" s="1"/>
      <c r="AX159" s="1"/>
      <c r="AY159" s="1"/>
      <c r="AZ159" s="1"/>
    </row>
    <row r="160" spans="1:52" ht="15" customHeight="1" x14ac:dyDescent="0.35">
      <c r="A160" s="1" t="s">
        <v>1015</v>
      </c>
      <c r="B160" s="1" t="s">
        <v>436</v>
      </c>
      <c r="C160" s="1" t="s">
        <v>988</v>
      </c>
      <c r="D160" s="1" t="s">
        <v>1016</v>
      </c>
      <c r="E160" s="1" t="s">
        <v>990</v>
      </c>
      <c r="F160" s="9" t="s">
        <v>1012</v>
      </c>
      <c r="G160" s="1" t="s">
        <v>406</v>
      </c>
      <c r="H1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0" s="11" t="e">
        <f>ABS(NETWORKDAYS.INTL("05/10/2024", "05/11/2024", 1, {"01/01/2024","01/15/2024","02/19/2024","05/27/2024","07/04/2024","09/02/2024","10/14/2024","11/11/2024","11/28/2024","12/25/2024","12/25/2024","12/26/2024","12/27/2024","12/28/2024","12/29/2024","12/30/2024","31/25/2024","01/01/2024","01/02/2024","01/03/2024","01/04/2024","01/05/2024"}))</f>
        <v>#VALUE!</v>
      </c>
      <c r="J160" s="1">
        <f>0</f>
        <v>0</v>
      </c>
      <c r="K160" s="1"/>
      <c r="L160" s="1">
        <v>0</v>
      </c>
      <c r="M160" s="1">
        <f>0</f>
        <v>0</v>
      </c>
      <c r="N160" s="1">
        <f>0</f>
        <v>0</v>
      </c>
      <c r="O160" s="1">
        <f>0</f>
        <v>0</v>
      </c>
      <c r="P160" s="1"/>
      <c r="Q160" s="1">
        <v>0</v>
      </c>
      <c r="R160" s="1">
        <v>0</v>
      </c>
      <c r="S160" s="1">
        <f>0</f>
        <v>0</v>
      </c>
      <c r="T160" s="1">
        <f>0</f>
        <v>0</v>
      </c>
      <c r="U160" s="1"/>
      <c r="V160" s="1">
        <v>0</v>
      </c>
      <c r="W160" s="1">
        <v>0</v>
      </c>
      <c r="X160" s="1">
        <f>0</f>
        <v>0</v>
      </c>
      <c r="Y160" s="1">
        <f>0</f>
        <v>0</v>
      </c>
      <c r="Z160" s="1">
        <f>0</f>
        <v>0</v>
      </c>
      <c r="AA160" s="1"/>
      <c r="AB160" s="5"/>
      <c r="AC160" s="5"/>
      <c r="AD160" s="1">
        <f>0</f>
        <v>0</v>
      </c>
      <c r="AE160" s="1">
        <f>0</f>
        <v>0</v>
      </c>
      <c r="AF160" s="1">
        <f>0</f>
        <v>0</v>
      </c>
      <c r="AG160" s="1">
        <f>0</f>
        <v>0</v>
      </c>
      <c r="AH160" s="1">
        <f>0</f>
        <v>0</v>
      </c>
      <c r="AI160" s="1">
        <f>0</f>
        <v>0</v>
      </c>
      <c r="AJ160" s="1"/>
      <c r="AK160" s="1"/>
      <c r="AL160" s="1"/>
      <c r="AM160" s="1"/>
      <c r="AN160" s="1"/>
      <c r="AO160" s="1"/>
      <c r="AP160" s="1"/>
      <c r="AQ160" s="1"/>
      <c r="AR160" s="1"/>
      <c r="AS160" s="1"/>
      <c r="AT160" s="1"/>
      <c r="AU160" s="1"/>
      <c r="AV160" s="1"/>
      <c r="AW160" s="1"/>
      <c r="AX160" s="1"/>
      <c r="AY160" s="1"/>
      <c r="AZ160" s="1"/>
    </row>
    <row r="161" spans="1:52" ht="15" customHeight="1" x14ac:dyDescent="0.35">
      <c r="A161" s="1" t="s">
        <v>1017</v>
      </c>
      <c r="B161" s="1" t="s">
        <v>437</v>
      </c>
      <c r="C161" s="1" t="s">
        <v>988</v>
      </c>
      <c r="D161" s="1" t="s">
        <v>1011</v>
      </c>
      <c r="E161" s="1" t="s">
        <v>990</v>
      </c>
      <c r="F161" s="9" t="s">
        <v>1018</v>
      </c>
      <c r="G161" s="1" t="s">
        <v>406</v>
      </c>
      <c r="H1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1" s="11" t="e">
        <f>ABS(NETWORKDAYS.INTL("05/10/2024", "05/11/2024", 1, {"01/01/2024","01/15/2024","02/19/2024","05/27/2024","07/04/2024","09/02/2024","10/14/2024","11/11/2024","11/28/2024","12/25/2024","12/25/2024","12/26/2024","12/27/2024","12/28/2024","12/29/2024","12/30/2024","31/25/2024","01/01/2024","01/02/2024","01/03/2024","01/04/2024","01/05/2024"}))</f>
        <v>#VALUE!</v>
      </c>
      <c r="J161" s="1">
        <f>0</f>
        <v>0</v>
      </c>
      <c r="K161" s="1"/>
      <c r="L161" s="1">
        <v>0</v>
      </c>
      <c r="M161" s="1">
        <f>0</f>
        <v>0</v>
      </c>
      <c r="N161" s="1">
        <f>0</f>
        <v>0</v>
      </c>
      <c r="O161" s="1">
        <f>0</f>
        <v>0</v>
      </c>
      <c r="P161" s="1"/>
      <c r="Q161" s="1">
        <v>0</v>
      </c>
      <c r="R161" s="1">
        <v>0</v>
      </c>
      <c r="S161" s="1">
        <f>0</f>
        <v>0</v>
      </c>
      <c r="T161" s="1">
        <f>0</f>
        <v>0</v>
      </c>
      <c r="U161" s="1"/>
      <c r="V161" s="1">
        <v>0</v>
      </c>
      <c r="W161" s="1">
        <v>0</v>
      </c>
      <c r="X161" s="1">
        <f>0</f>
        <v>0</v>
      </c>
      <c r="Y161" s="1">
        <f>0</f>
        <v>0</v>
      </c>
      <c r="Z161" s="1">
        <f>0</f>
        <v>0</v>
      </c>
      <c r="AA161" s="1"/>
      <c r="AB161" s="5"/>
      <c r="AC161" s="5"/>
      <c r="AD161" s="1">
        <f>0</f>
        <v>0</v>
      </c>
      <c r="AE161" s="1">
        <f>0</f>
        <v>0</v>
      </c>
      <c r="AF161" s="1">
        <f>0</f>
        <v>0</v>
      </c>
      <c r="AG161" s="1">
        <f>0</f>
        <v>0</v>
      </c>
      <c r="AH161" s="1">
        <f>0</f>
        <v>0</v>
      </c>
      <c r="AI161" s="1">
        <f>0</f>
        <v>0</v>
      </c>
      <c r="AJ161" s="1"/>
      <c r="AK161" s="1"/>
      <c r="AL161" s="1"/>
      <c r="AM161" s="1"/>
      <c r="AN161" s="1"/>
      <c r="AO161" s="1"/>
      <c r="AP161" s="1"/>
      <c r="AQ161" s="1"/>
      <c r="AR161" s="1"/>
      <c r="AS161" s="1"/>
      <c r="AT161" s="1"/>
      <c r="AU161" s="1"/>
      <c r="AV161" s="1"/>
      <c r="AW161" s="1"/>
      <c r="AX161" s="1"/>
      <c r="AY161" s="1"/>
      <c r="AZ161" s="1"/>
    </row>
    <row r="162" spans="1:52" ht="15" customHeight="1" x14ac:dyDescent="0.35">
      <c r="A162" s="1" t="s">
        <v>1019</v>
      </c>
      <c r="B162" s="1" t="s">
        <v>438</v>
      </c>
      <c r="C162" s="1" t="s">
        <v>988</v>
      </c>
      <c r="D162" s="1" t="s">
        <v>1016</v>
      </c>
      <c r="E162" s="1" t="s">
        <v>990</v>
      </c>
      <c r="F162" s="9" t="s">
        <v>1018</v>
      </c>
      <c r="G162" s="1" t="s">
        <v>406</v>
      </c>
      <c r="H1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2" s="11" t="e">
        <f>ABS(NETWORKDAYS.INTL("05/10/2024", "05/11/2024", 1, {"01/01/2024","01/15/2024","02/19/2024","05/27/2024","07/04/2024","09/02/2024","10/14/2024","11/11/2024","11/28/2024","12/25/2024","12/25/2024","12/26/2024","12/27/2024","12/28/2024","12/29/2024","12/30/2024","31/25/2024","01/01/2024","01/02/2024","01/03/2024","01/04/2024","01/05/2024"}))</f>
        <v>#VALUE!</v>
      </c>
      <c r="J162" s="1">
        <f>0</f>
        <v>0</v>
      </c>
      <c r="K162" s="1"/>
      <c r="L162" s="1">
        <v>0</v>
      </c>
      <c r="M162" s="1">
        <f>0</f>
        <v>0</v>
      </c>
      <c r="N162" s="1">
        <f>0</f>
        <v>0</v>
      </c>
      <c r="O162" s="1">
        <f>0</f>
        <v>0</v>
      </c>
      <c r="P162" s="1"/>
      <c r="Q162" s="1">
        <v>0</v>
      </c>
      <c r="R162" s="1">
        <v>0</v>
      </c>
      <c r="S162" s="1">
        <f>0</f>
        <v>0</v>
      </c>
      <c r="T162" s="1">
        <f>0</f>
        <v>0</v>
      </c>
      <c r="U162" s="1"/>
      <c r="V162" s="1">
        <v>0</v>
      </c>
      <c r="W162" s="1">
        <v>0</v>
      </c>
      <c r="X162" s="1">
        <f>0</f>
        <v>0</v>
      </c>
      <c r="Y162" s="1">
        <f>0</f>
        <v>0</v>
      </c>
      <c r="Z162" s="1">
        <f>0</f>
        <v>0</v>
      </c>
      <c r="AA162" s="1"/>
      <c r="AB162" s="5"/>
      <c r="AC162" s="5"/>
      <c r="AD162" s="1">
        <f>0</f>
        <v>0</v>
      </c>
      <c r="AE162" s="1">
        <f>0</f>
        <v>0</v>
      </c>
      <c r="AF162" s="1">
        <f>0</f>
        <v>0</v>
      </c>
      <c r="AG162" s="1">
        <f>0</f>
        <v>0</v>
      </c>
      <c r="AH162" s="1">
        <f>0</f>
        <v>0</v>
      </c>
      <c r="AI162" s="1">
        <f>0</f>
        <v>0</v>
      </c>
      <c r="AJ162" s="1"/>
      <c r="AK162" s="1"/>
      <c r="AL162" s="1"/>
      <c r="AM162" s="1"/>
      <c r="AN162" s="1"/>
      <c r="AO162" s="1"/>
      <c r="AP162" s="1"/>
      <c r="AQ162" s="1"/>
      <c r="AR162" s="1"/>
      <c r="AS162" s="1"/>
      <c r="AT162" s="1"/>
      <c r="AU162" s="1"/>
      <c r="AV162" s="1"/>
      <c r="AW162" s="1"/>
      <c r="AX162" s="1"/>
      <c r="AY162" s="1"/>
      <c r="AZ162" s="1"/>
    </row>
    <row r="163" spans="1:52" ht="15" customHeight="1" x14ac:dyDescent="0.35">
      <c r="A163" s="1" t="s">
        <v>1020</v>
      </c>
      <c r="B163" s="1" t="s">
        <v>439</v>
      </c>
      <c r="C163" s="1" t="s">
        <v>988</v>
      </c>
      <c r="D163" s="1" t="s">
        <v>1021</v>
      </c>
      <c r="E163" s="1" t="s">
        <v>1000</v>
      </c>
      <c r="F163" s="9" t="s">
        <v>1012</v>
      </c>
      <c r="G163" s="1" t="s">
        <v>406</v>
      </c>
      <c r="H1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3" s="11" t="e">
        <f>ABS(NETWORKDAYS.INTL("05/10/2024", "05/11/2024", 1, {"01/01/2024","01/15/2024","02/19/2024","05/27/2024","07/04/2024","09/02/2024","10/14/2024","11/11/2024","11/28/2024","12/25/2024","12/25/2024","12/26/2024","12/27/2024","12/28/2024","12/29/2024","12/30/2024","31/25/2024","01/01/2024","01/02/2024","01/03/2024","01/04/2024","01/05/2024"}))</f>
        <v>#VALUE!</v>
      </c>
      <c r="J163" s="1">
        <f>0</f>
        <v>0</v>
      </c>
      <c r="K163" s="1"/>
      <c r="L163" s="1">
        <v>0</v>
      </c>
      <c r="M163" s="1">
        <f>0</f>
        <v>0</v>
      </c>
      <c r="N163" s="1">
        <f>0</f>
        <v>0</v>
      </c>
      <c r="O163" s="1">
        <f>0</f>
        <v>0</v>
      </c>
      <c r="P163" s="1"/>
      <c r="Q163" s="1">
        <v>0</v>
      </c>
      <c r="R163" s="1">
        <v>0</v>
      </c>
      <c r="S163" s="1">
        <f>0</f>
        <v>0</v>
      </c>
      <c r="T163" s="1">
        <f>0</f>
        <v>0</v>
      </c>
      <c r="U163" s="1"/>
      <c r="V163" s="1">
        <v>0</v>
      </c>
      <c r="W163" s="1">
        <v>0</v>
      </c>
      <c r="X163" s="1">
        <f>0</f>
        <v>0</v>
      </c>
      <c r="Y163" s="1">
        <f>0</f>
        <v>0</v>
      </c>
      <c r="Z163" s="1">
        <f>0</f>
        <v>0</v>
      </c>
      <c r="AA163" s="1"/>
      <c r="AB163" s="5"/>
      <c r="AC163" s="5"/>
      <c r="AD163" s="1">
        <f>0</f>
        <v>0</v>
      </c>
      <c r="AE163" s="1">
        <f>0</f>
        <v>0</v>
      </c>
      <c r="AF163" s="1">
        <f>0</f>
        <v>0</v>
      </c>
      <c r="AG163" s="1">
        <f>0</f>
        <v>0</v>
      </c>
      <c r="AH163" s="1">
        <f>0</f>
        <v>0</v>
      </c>
      <c r="AI163" s="1">
        <f>0</f>
        <v>0</v>
      </c>
      <c r="AJ163" s="1"/>
      <c r="AK163" s="1"/>
      <c r="AL163" s="1"/>
      <c r="AM163" s="1"/>
      <c r="AN163" s="1"/>
      <c r="AO163" s="1"/>
      <c r="AP163" s="1"/>
      <c r="AQ163" s="1"/>
      <c r="AR163" s="1"/>
      <c r="AS163" s="1"/>
      <c r="AT163" s="1"/>
      <c r="AU163" s="1"/>
      <c r="AV163" s="1"/>
      <c r="AW163" s="1"/>
      <c r="AX163" s="1"/>
      <c r="AY163" s="1"/>
      <c r="AZ163" s="1"/>
    </row>
    <row r="164" spans="1:52" ht="15" customHeight="1" x14ac:dyDescent="0.35">
      <c r="A164" s="1" t="s">
        <v>1022</v>
      </c>
      <c r="B164" s="1" t="s">
        <v>440</v>
      </c>
      <c r="C164" s="1" t="s">
        <v>988</v>
      </c>
      <c r="D164" s="1" t="s">
        <v>1016</v>
      </c>
      <c r="E164" s="1" t="s">
        <v>990</v>
      </c>
      <c r="F164" s="9" t="s">
        <v>1018</v>
      </c>
      <c r="G164" s="1" t="s">
        <v>406</v>
      </c>
      <c r="H1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4" s="11" t="e">
        <f>ABS(NETWORKDAYS.INTL("05/10/2024", "05/11/2024", 1, {"01/01/2024","01/15/2024","02/19/2024","05/27/2024","07/04/2024","09/02/2024","10/14/2024","11/11/2024","11/28/2024","12/25/2024","12/25/2024","12/26/2024","12/27/2024","12/28/2024","12/29/2024","12/30/2024","31/25/2024","01/01/2024","01/02/2024","01/03/2024","01/04/2024","01/05/2024"}))</f>
        <v>#VALUE!</v>
      </c>
      <c r="J164" s="1">
        <f>0</f>
        <v>0</v>
      </c>
      <c r="K164" s="1"/>
      <c r="L164" s="1">
        <v>0</v>
      </c>
      <c r="M164" s="1">
        <f>0</f>
        <v>0</v>
      </c>
      <c r="N164" s="1">
        <f>0</f>
        <v>0</v>
      </c>
      <c r="O164" s="1">
        <f>0</f>
        <v>0</v>
      </c>
      <c r="P164" s="1"/>
      <c r="Q164" s="1">
        <v>0</v>
      </c>
      <c r="R164" s="1">
        <v>0</v>
      </c>
      <c r="S164" s="1">
        <f>0</f>
        <v>0</v>
      </c>
      <c r="T164" s="1">
        <f>0</f>
        <v>0</v>
      </c>
      <c r="U164" s="1"/>
      <c r="V164" s="1">
        <v>0</v>
      </c>
      <c r="W164" s="1">
        <v>0</v>
      </c>
      <c r="X164" s="1">
        <f>0</f>
        <v>0</v>
      </c>
      <c r="Y164" s="1">
        <f>0</f>
        <v>0</v>
      </c>
      <c r="Z164" s="1">
        <f>0</f>
        <v>0</v>
      </c>
      <c r="AA164" s="1"/>
      <c r="AB164" s="5"/>
      <c r="AC164" s="5"/>
      <c r="AD164" s="1">
        <f>0</f>
        <v>0</v>
      </c>
      <c r="AE164" s="1">
        <f>0</f>
        <v>0</v>
      </c>
      <c r="AF164" s="1">
        <f>0</f>
        <v>0</v>
      </c>
      <c r="AG164" s="1">
        <f>0</f>
        <v>0</v>
      </c>
      <c r="AH164" s="1">
        <f>0</f>
        <v>0</v>
      </c>
      <c r="AI164" s="1">
        <f>0</f>
        <v>0</v>
      </c>
      <c r="AJ164" s="1"/>
      <c r="AK164" s="1"/>
      <c r="AL164" s="1"/>
      <c r="AM164" s="1"/>
      <c r="AN164" s="1"/>
      <c r="AO164" s="1"/>
      <c r="AP164" s="1"/>
      <c r="AQ164" s="1"/>
      <c r="AR164" s="1"/>
      <c r="AS164" s="1"/>
      <c r="AT164" s="1"/>
      <c r="AU164" s="1"/>
      <c r="AV164" s="1"/>
      <c r="AW164" s="1"/>
      <c r="AX164" s="1"/>
      <c r="AY164" s="1"/>
      <c r="AZ164" s="1"/>
    </row>
    <row r="165" spans="1:52" ht="15" customHeight="1" x14ac:dyDescent="0.35">
      <c r="A165" s="1" t="s">
        <v>1023</v>
      </c>
      <c r="B165" s="1" t="s">
        <v>441</v>
      </c>
      <c r="C165" s="1" t="s">
        <v>988</v>
      </c>
      <c r="D165" s="1" t="s">
        <v>1011</v>
      </c>
      <c r="E165" s="1" t="s">
        <v>990</v>
      </c>
      <c r="F165" s="9" t="s">
        <v>1012</v>
      </c>
      <c r="G165" s="1" t="s">
        <v>406</v>
      </c>
      <c r="H1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5" s="11" t="e">
        <f>ABS(NETWORKDAYS.INTL("05/10/2024", "05/11/2024", 1, {"01/01/2024","01/15/2024","02/19/2024","05/27/2024","07/04/2024","09/02/2024","10/14/2024","11/11/2024","11/28/2024","12/25/2024","12/25/2024","12/26/2024","12/27/2024","12/28/2024","12/29/2024","12/30/2024","31/25/2024","01/01/2024","01/02/2024","01/03/2024","01/04/2024","01/05/2024"}))</f>
        <v>#VALUE!</v>
      </c>
      <c r="J165" s="1">
        <f>0</f>
        <v>0</v>
      </c>
      <c r="K165" s="1"/>
      <c r="L165" s="1">
        <v>0</v>
      </c>
      <c r="M165" s="1">
        <f>0</f>
        <v>0</v>
      </c>
      <c r="N165" s="1">
        <f>0</f>
        <v>0</v>
      </c>
      <c r="O165" s="1">
        <f>0</f>
        <v>0</v>
      </c>
      <c r="P165" s="1"/>
      <c r="Q165" s="1">
        <v>0</v>
      </c>
      <c r="R165" s="1">
        <v>0</v>
      </c>
      <c r="S165" s="1">
        <f>0</f>
        <v>0</v>
      </c>
      <c r="T165" s="1">
        <f>0</f>
        <v>0</v>
      </c>
      <c r="U165" s="1"/>
      <c r="V165" s="1">
        <v>0</v>
      </c>
      <c r="W165" s="1">
        <v>0</v>
      </c>
      <c r="X165" s="1">
        <f>0</f>
        <v>0</v>
      </c>
      <c r="Y165" s="1">
        <f>0</f>
        <v>0</v>
      </c>
      <c r="Z165" s="1">
        <f>0</f>
        <v>0</v>
      </c>
      <c r="AA165" s="1"/>
      <c r="AB165" s="5"/>
      <c r="AC165" s="5"/>
      <c r="AD165" s="1">
        <f>0</f>
        <v>0</v>
      </c>
      <c r="AE165" s="1">
        <f>0</f>
        <v>0</v>
      </c>
      <c r="AF165" s="1">
        <f>0</f>
        <v>0</v>
      </c>
      <c r="AG165" s="1">
        <f>0</f>
        <v>0</v>
      </c>
      <c r="AH165" s="1">
        <f>0</f>
        <v>0</v>
      </c>
      <c r="AI165" s="1">
        <f>0</f>
        <v>0</v>
      </c>
      <c r="AJ165" s="1"/>
      <c r="AK165" s="1"/>
      <c r="AL165" s="1"/>
      <c r="AM165" s="1"/>
      <c r="AN165" s="1"/>
      <c r="AO165" s="1"/>
      <c r="AP165" s="1"/>
      <c r="AQ165" s="1"/>
      <c r="AR165" s="1"/>
      <c r="AS165" s="1"/>
      <c r="AT165" s="1"/>
      <c r="AU165" s="1"/>
      <c r="AV165" s="1"/>
      <c r="AW165" s="1"/>
      <c r="AX165" s="1"/>
      <c r="AY165" s="1"/>
      <c r="AZ165" s="1"/>
    </row>
    <row r="166" spans="1:52" ht="15" customHeight="1" x14ac:dyDescent="0.35">
      <c r="A166" s="1" t="s">
        <v>1024</v>
      </c>
      <c r="B166" s="1" t="s">
        <v>442</v>
      </c>
      <c r="C166" s="1" t="s">
        <v>988</v>
      </c>
      <c r="D166" s="1" t="s">
        <v>1011</v>
      </c>
      <c r="E166" s="1" t="s">
        <v>990</v>
      </c>
      <c r="F166" s="9" t="s">
        <v>1012</v>
      </c>
      <c r="G166" s="1" t="s">
        <v>406</v>
      </c>
      <c r="H1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6" s="11" t="e">
        <f>ABS(NETWORKDAYS.INTL("05/10/2024", "05/11/2024", 1, {"01/01/2024","01/15/2024","02/19/2024","05/27/2024","07/04/2024","09/02/2024","10/14/2024","11/11/2024","11/28/2024","12/25/2024","12/25/2024","12/26/2024","12/27/2024","12/28/2024","12/29/2024","12/30/2024","31/25/2024","01/01/2024","01/02/2024","01/03/2024","01/04/2024","01/05/2024"}))</f>
        <v>#VALUE!</v>
      </c>
      <c r="J166" s="1">
        <f>0</f>
        <v>0</v>
      </c>
      <c r="K166" s="1"/>
      <c r="L166" s="1">
        <v>0</v>
      </c>
      <c r="M166" s="1">
        <f>0</f>
        <v>0</v>
      </c>
      <c r="N166" s="1">
        <f>0</f>
        <v>0</v>
      </c>
      <c r="O166" s="1">
        <f>0</f>
        <v>0</v>
      </c>
      <c r="P166" s="1"/>
      <c r="Q166" s="1">
        <v>0</v>
      </c>
      <c r="R166" s="1">
        <v>0</v>
      </c>
      <c r="S166" s="1">
        <f>0</f>
        <v>0</v>
      </c>
      <c r="T166" s="1">
        <f>0</f>
        <v>0</v>
      </c>
      <c r="U166" s="1"/>
      <c r="V166" s="1">
        <v>0</v>
      </c>
      <c r="W166" s="1">
        <v>0</v>
      </c>
      <c r="X166" s="1">
        <f>0</f>
        <v>0</v>
      </c>
      <c r="Y166" s="1">
        <f>0</f>
        <v>0</v>
      </c>
      <c r="Z166" s="1">
        <f>0</f>
        <v>0</v>
      </c>
      <c r="AA166" s="1"/>
      <c r="AB166" s="5"/>
      <c r="AC166" s="5"/>
      <c r="AD166" s="1">
        <f>0</f>
        <v>0</v>
      </c>
      <c r="AE166" s="1">
        <f>0</f>
        <v>0</v>
      </c>
      <c r="AF166" s="1">
        <f>0</f>
        <v>0</v>
      </c>
      <c r="AG166" s="1">
        <f>0</f>
        <v>0</v>
      </c>
      <c r="AH166" s="1">
        <f>0</f>
        <v>0</v>
      </c>
      <c r="AI166" s="1">
        <f>0</f>
        <v>0</v>
      </c>
      <c r="AJ166" s="1"/>
      <c r="AK166" s="1"/>
      <c r="AL166" s="1"/>
      <c r="AM166" s="1"/>
      <c r="AN166" s="1"/>
      <c r="AO166" s="1"/>
      <c r="AP166" s="1"/>
      <c r="AQ166" s="1"/>
      <c r="AR166" s="1"/>
      <c r="AS166" s="1"/>
      <c r="AT166" s="1"/>
      <c r="AU166" s="1"/>
      <c r="AV166" s="1"/>
      <c r="AW166" s="1"/>
      <c r="AX166" s="1"/>
      <c r="AY166" s="1"/>
      <c r="AZ166" s="1"/>
    </row>
    <row r="167" spans="1:52" ht="15" customHeight="1" x14ac:dyDescent="0.35">
      <c r="A167" s="1" t="s">
        <v>1025</v>
      </c>
      <c r="B167" s="1" t="s">
        <v>443</v>
      </c>
      <c r="C167" s="1" t="s">
        <v>988</v>
      </c>
      <c r="D167" s="1" t="s">
        <v>1011</v>
      </c>
      <c r="E167" s="1" t="s">
        <v>990</v>
      </c>
      <c r="F167" s="9" t="s">
        <v>1026</v>
      </c>
      <c r="G167" s="1" t="s">
        <v>406</v>
      </c>
      <c r="H1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67" s="11" t="e">
        <f>ABS(NETWORKDAYS.INTL("05/10/2024", "05/11/2024", 1, {"01/01/2024","01/15/2024","02/19/2024","05/27/2024","07/04/2024","09/02/2024","10/14/2024","11/11/2024","11/28/2024","12/25/2024","12/25/2024","12/26/2024","12/27/2024","12/28/2024","12/29/2024","12/30/2024","31/25/2024","01/01/2024","01/02/2024","01/03/2024","01/04/2024","01/05/2024"}))</f>
        <v>#VALUE!</v>
      </c>
      <c r="J167" s="1">
        <f>0</f>
        <v>0</v>
      </c>
      <c r="K167" s="1"/>
      <c r="L167" s="1">
        <v>0</v>
      </c>
      <c r="M167" s="1">
        <f>0</f>
        <v>0</v>
      </c>
      <c r="N167" s="1">
        <f>0</f>
        <v>0</v>
      </c>
      <c r="O167" s="1">
        <f>0</f>
        <v>0</v>
      </c>
      <c r="P167" s="1"/>
      <c r="Q167" s="1">
        <v>0</v>
      </c>
      <c r="R167" s="1">
        <v>0</v>
      </c>
      <c r="S167" s="1">
        <f>0</f>
        <v>0</v>
      </c>
      <c r="T167" s="1">
        <f>0</f>
        <v>0</v>
      </c>
      <c r="U167" s="1"/>
      <c r="V167" s="1">
        <v>0</v>
      </c>
      <c r="W167" s="1">
        <v>0</v>
      </c>
      <c r="X167" s="1">
        <f>0</f>
        <v>0</v>
      </c>
      <c r="Y167" s="1">
        <f>0</f>
        <v>0</v>
      </c>
      <c r="Z167" s="1">
        <f>0</f>
        <v>0</v>
      </c>
      <c r="AA167" s="1"/>
      <c r="AB167" s="5"/>
      <c r="AC167" s="5"/>
      <c r="AD167" s="1">
        <f>0</f>
        <v>0</v>
      </c>
      <c r="AE167" s="1">
        <f>0</f>
        <v>0</v>
      </c>
      <c r="AF167" s="1">
        <f>0</f>
        <v>0</v>
      </c>
      <c r="AG167" s="1">
        <f>0</f>
        <v>0</v>
      </c>
      <c r="AH167" s="1">
        <f>0</f>
        <v>0</v>
      </c>
      <c r="AI167" s="1">
        <f>0</f>
        <v>0</v>
      </c>
      <c r="AJ167" s="1"/>
      <c r="AK167" s="1"/>
      <c r="AL167" s="1"/>
      <c r="AM167" s="1"/>
      <c r="AN167" s="1"/>
      <c r="AO167" s="1"/>
      <c r="AP167" s="1"/>
      <c r="AQ167" s="1"/>
      <c r="AR167" s="1"/>
      <c r="AS167" s="1"/>
      <c r="AT167" s="1"/>
      <c r="AU167" s="1"/>
      <c r="AV167" s="1"/>
      <c r="AW167" s="1"/>
      <c r="AX167" s="1"/>
      <c r="AY167" s="1"/>
      <c r="AZ167" s="1"/>
    </row>
    <row r="168" spans="1:52" ht="15" customHeight="1" x14ac:dyDescent="0.35">
      <c r="A168" s="1" t="s">
        <v>1027</v>
      </c>
      <c r="B168" s="1" t="s">
        <v>444</v>
      </c>
      <c r="C168" s="1" t="s">
        <v>629</v>
      </c>
      <c r="D168" s="1" t="s">
        <v>966</v>
      </c>
      <c r="E168" s="1" t="s">
        <v>967</v>
      </c>
      <c r="F168" s="9" t="s">
        <v>1028</v>
      </c>
      <c r="G168" s="1" t="s">
        <v>406</v>
      </c>
      <c r="H1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68" s="11" t="e">
        <f>ABS(NETWORKDAYS.INTL("06/05/2024", "06/07/2024", 1, {"01/01/2024","01/15/2024","02/19/2024","05/27/2024","07/04/2024","09/02/2024","10/14/2024","11/11/2024","11/28/2024","12/25/2024","12/25/2024","12/26/2024","12/27/2024","12/28/2024","12/29/2024","12/30/2024","31/25/2024","01/01/2024","01/02/2024","01/03/2024","01/04/2024","01/05/2024"}))</f>
        <v>#VALUE!</v>
      </c>
      <c r="J168" s="1">
        <f>0</f>
        <v>0</v>
      </c>
      <c r="K168" s="1"/>
      <c r="L168" s="1">
        <v>1</v>
      </c>
      <c r="M168" s="1" t="e">
        <f>ABS(NETWORKDAYS.INTL("07/15/2024", "07/15/2024", 1, {"01/01/2024","01/15/2024","02/19/2024","05/27/2024","07/04/2024","09/02/2024","10/14/2024","11/11/2024","11/28/2024","12/25/2024","12/25/2024","12/26/2024","12/27/2024","12/28/2024","12/29/2024","12/30/2024","31/25/2024","01/01/2024","01/02/2024","01/03/2024","01/04/2024","01/05/2024"}))</f>
        <v>#VALUE!</v>
      </c>
      <c r="N168" s="1">
        <f>0</f>
        <v>0</v>
      </c>
      <c r="O168" s="1">
        <f>0</f>
        <v>0</v>
      </c>
      <c r="P168" s="1"/>
      <c r="Q168" s="1">
        <v>1</v>
      </c>
      <c r="R168" s="1">
        <v>0</v>
      </c>
      <c r="S168" s="1">
        <f>0</f>
        <v>0</v>
      </c>
      <c r="T168" s="1">
        <f>0</f>
        <v>0</v>
      </c>
      <c r="U168" s="1"/>
      <c r="V168" s="1">
        <v>1</v>
      </c>
      <c r="W168" s="1">
        <v>0</v>
      </c>
      <c r="X168" s="1">
        <f>0</f>
        <v>0</v>
      </c>
      <c r="Y168" s="1">
        <f>0</f>
        <v>0</v>
      </c>
      <c r="Z168" s="1">
        <f>0</f>
        <v>0</v>
      </c>
      <c r="AA168" s="1"/>
      <c r="AB168" s="5"/>
      <c r="AC168" s="5"/>
      <c r="AD168" s="1" t="e">
        <f>ABS(NETWORKDAYS.INTL("07/15/2024", "06/07/2024", 1, {"01/01/2024","01/15/2024","02/19/2024","05/27/2024","07/04/2024","09/02/2024","10/14/2024","11/11/2024","11/28/2024","12/25/2024","12/25/2024","12/26/2024","12/27/2024","12/28/2024","12/29/2024","12/30/2024","31/25/2024","01/01/2024","01/02/2024","01/03/2024","01/04/2024","01/05/2024"}))</f>
        <v>#VALUE!</v>
      </c>
      <c r="AE168" s="1">
        <f>0</f>
        <v>0</v>
      </c>
      <c r="AF168" s="1">
        <f>0</f>
        <v>0</v>
      </c>
      <c r="AG168" s="1" t="e">
        <f>ABS(NETWORKDAYS.INTL("07/16/2024", "08/05/24", 1, {"01/01/2024","01/15/2024","02/19/2024","05/27/2024","07/04/2024","09/02/2024","10/14/2024","11/11/2024","11/28/2024","12/25/2024","12/25/2024","12/26/2024","12/27/2024","12/28/2024","12/29/2024","12/30/2024","31/25/2024","01/01/2024","01/02/2024","01/03/2024","01/04/2024","01/05/2024"}))</f>
        <v>#VALUE!</v>
      </c>
      <c r="AH168" s="1">
        <f>0</f>
        <v>0</v>
      </c>
      <c r="AI168" s="1">
        <f>0</f>
        <v>0</v>
      </c>
      <c r="AJ168" s="1"/>
      <c r="AK168" s="1"/>
      <c r="AL168" s="1" t="b">
        <v>1</v>
      </c>
      <c r="AM168" s="1"/>
      <c r="AN168" s="1"/>
      <c r="AO168" s="1"/>
      <c r="AP168" s="1"/>
      <c r="AQ168" s="1"/>
      <c r="AR168" s="1"/>
      <c r="AS168" s="1"/>
      <c r="AT168" s="1"/>
      <c r="AU168" s="1"/>
      <c r="AV168" s="1"/>
      <c r="AW168" s="1"/>
      <c r="AX168" s="1"/>
      <c r="AY168" s="1"/>
      <c r="AZ168" s="1"/>
    </row>
    <row r="169" spans="1:52" ht="15" customHeight="1" x14ac:dyDescent="0.35">
      <c r="A169" s="1" t="s">
        <v>1029</v>
      </c>
      <c r="B169" s="1" t="s">
        <v>445</v>
      </c>
      <c r="C169" s="1" t="s">
        <v>601</v>
      </c>
      <c r="D169" s="1" t="s">
        <v>1030</v>
      </c>
      <c r="E169" s="1" t="s">
        <v>1031</v>
      </c>
      <c r="F169" s="9" t="s">
        <v>1032</v>
      </c>
      <c r="G169" s="1" t="s">
        <v>406</v>
      </c>
      <c r="H1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69" s="11" t="e">
        <f>ABS(NETWORKDAYS.INTL("04/30/2024", "05/07/2024", 1, {"01/01/2024","01/15/2024","02/19/2024","05/27/2024","07/04/2024","09/02/2024","10/14/2024","11/11/2024","11/28/2024","12/25/2024","12/25/2024","12/26/2024","12/27/2024","12/28/2024","12/29/2024","12/30/2024","31/25/2024","01/01/2024","01/02/2024","01/03/2024","01/04/2024","01/05/2024"}))</f>
        <v>#VALUE!</v>
      </c>
      <c r="J169" s="1">
        <f>0</f>
        <v>0</v>
      </c>
      <c r="K169" s="1"/>
      <c r="L169" s="1">
        <v>1</v>
      </c>
      <c r="M169" s="1" t="e">
        <f>ABS(NETWORKDAYS.INTL("05/08/2024", "05/08/2024", 1, {"01/01/2024","01/15/2024","02/19/2024","05/27/2024","07/04/2024","09/02/2024","10/14/2024","11/11/2024","11/28/2024","12/25/2024","12/25/2024","12/26/2024","12/27/2024","12/28/2024","12/29/2024","12/30/2024","31/25/2024","01/01/2024","01/02/2024","01/03/2024","01/04/2024","01/05/2024"}))</f>
        <v>#VALUE!</v>
      </c>
      <c r="N169" s="1">
        <f>0</f>
        <v>0</v>
      </c>
      <c r="O169" s="1">
        <f>0</f>
        <v>0</v>
      </c>
      <c r="P169" s="1"/>
      <c r="Q169" s="1">
        <v>0</v>
      </c>
      <c r="R169" s="1">
        <v>1</v>
      </c>
      <c r="S169" s="1" t="e">
        <f>ABS(NETWORKDAYS.INTL("05/17/2024", "05/17/2024", 1, {"01/01/2024","01/15/2024","02/19/2024","05/27/2024","07/04/2024","09/02/2024","10/14/2024","11/11/2024","11/28/2024","12/25/2024","12/25/2024","12/26/2024","12/27/2024","12/28/2024","12/29/2024","12/30/2024","31/25/2024","01/01/2024","01/02/2024","01/03/2024","01/04/2024","01/05/2024"}))</f>
        <v>#VALUE!</v>
      </c>
      <c r="T169" s="1">
        <f>0</f>
        <v>0</v>
      </c>
      <c r="U169" s="1"/>
      <c r="V169" s="1">
        <v>0</v>
      </c>
      <c r="W169" s="1">
        <v>0</v>
      </c>
      <c r="X169" s="1">
        <f>0</f>
        <v>0</v>
      </c>
      <c r="Y169" s="1">
        <f>0</f>
        <v>0</v>
      </c>
      <c r="Z169" s="1">
        <f>0</f>
        <v>0</v>
      </c>
      <c r="AA169" s="1"/>
      <c r="AB169" s="5"/>
      <c r="AC169" s="5"/>
      <c r="AD169" s="1" t="e">
        <f>ABS(NETWORKDAYS.INTL("05/08/2024", "05/07/2024", 1, {"01/01/2024","01/15/2024","02/19/2024","05/27/2024","07/04/2024","09/02/2024","10/14/2024","11/11/2024","11/28/2024","12/25/2024","12/25/2024","12/26/2024","12/27/2024","12/28/2024","12/29/2024","12/30/2024","31/25/2024","01/01/2024","01/02/2024","01/03/2024","01/04/2024","01/05/2024"}))</f>
        <v>#VALUE!</v>
      </c>
      <c r="AE169" s="1">
        <f>0</f>
        <v>0</v>
      </c>
      <c r="AF169" s="1" t="e">
        <f>ABS(NETWORKDAYS.INTL("05/17/2024", "08/05/24", 1, {"01/01/2024","01/15/2024","02/19/2024","05/27/2024","07/04/2024","09/02/2024","10/14/2024","11/11/2024","11/28/2024","12/25/2024","12/25/2024","12/26/2024","12/27/2024","12/28/2024","12/29/2024","12/30/2024","31/25/2024","01/01/2024","01/02/2024","01/03/2024","01/04/2024","01/05/2024"}))</f>
        <v>#VALUE!</v>
      </c>
      <c r="AG169" s="1">
        <f>0</f>
        <v>0</v>
      </c>
      <c r="AH169" s="1">
        <f>0</f>
        <v>0</v>
      </c>
      <c r="AI169" s="1">
        <f>0</f>
        <v>0</v>
      </c>
      <c r="AJ169" s="1"/>
      <c r="AK169" s="1"/>
      <c r="AL169" s="1" t="b">
        <v>1</v>
      </c>
      <c r="AM169" s="1"/>
      <c r="AN169" s="1"/>
      <c r="AO169" s="1"/>
      <c r="AP169" s="1"/>
      <c r="AQ169" s="1"/>
      <c r="AR169" s="1"/>
      <c r="AS169" s="1"/>
      <c r="AT169" s="1"/>
      <c r="AU169" s="1"/>
      <c r="AV169" s="1"/>
      <c r="AW169" s="1"/>
      <c r="AX169" s="1"/>
      <c r="AY169" s="1"/>
      <c r="AZ169" s="1"/>
    </row>
    <row r="170" spans="1:52" ht="15" customHeight="1" x14ac:dyDescent="0.35">
      <c r="A170" s="1" t="s">
        <v>1033</v>
      </c>
      <c r="B170" s="1" t="s">
        <v>446</v>
      </c>
      <c r="C170" s="1" t="s">
        <v>988</v>
      </c>
      <c r="D170" s="1" t="s">
        <v>1034</v>
      </c>
      <c r="E170" s="1" t="s">
        <v>1031</v>
      </c>
      <c r="F170" s="9" t="s">
        <v>1035</v>
      </c>
      <c r="G170" s="1" t="s">
        <v>406</v>
      </c>
      <c r="H1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0" s="11">
        <f>0</f>
        <v>0</v>
      </c>
      <c r="J170" s="1">
        <f>0</f>
        <v>0</v>
      </c>
      <c r="K170" s="1"/>
      <c r="L170" s="1">
        <v>0</v>
      </c>
      <c r="M170" s="1">
        <f>0</f>
        <v>0</v>
      </c>
      <c r="N170" s="1">
        <f>0</f>
        <v>0</v>
      </c>
      <c r="O170" s="1">
        <f>0</f>
        <v>0</v>
      </c>
      <c r="P170" s="1"/>
      <c r="Q170" s="1">
        <v>0</v>
      </c>
      <c r="R170" s="1">
        <v>0</v>
      </c>
      <c r="S170" s="1">
        <f>0</f>
        <v>0</v>
      </c>
      <c r="T170" s="1">
        <f>0</f>
        <v>0</v>
      </c>
      <c r="U170" s="1"/>
      <c r="V170" s="1">
        <v>0</v>
      </c>
      <c r="W170" s="1">
        <v>1</v>
      </c>
      <c r="X170" s="1" t="e">
        <f>ABS(NETWORKDAYS.INTL("04/28/2024", "04/28/2024", 1, {"01/01/2024","01/15/2024","02/19/2024","05/27/2024","07/04/2024","09/02/2024","10/14/2024","11/11/2024","11/28/2024","12/25/2024","12/25/2024","12/26/2024","12/27/2024","12/28/2024","12/29/2024","12/30/2024","31/25/2024","01/01/2024","01/02/2024","01/03/2024","01/04/2024","01/05/2024"}))</f>
        <v>#VALUE!</v>
      </c>
      <c r="Y170" s="1">
        <f>0</f>
        <v>0</v>
      </c>
      <c r="Z170" s="1">
        <f>0</f>
        <v>0</v>
      </c>
      <c r="AA170" s="1"/>
      <c r="AB170" s="5">
        <v>45410</v>
      </c>
      <c r="AC170" s="5"/>
      <c r="AD170" s="1">
        <f>0</f>
        <v>0</v>
      </c>
      <c r="AE170" s="1">
        <f>0</f>
        <v>0</v>
      </c>
      <c r="AF170" s="1">
        <f>0</f>
        <v>0</v>
      </c>
      <c r="AG170" s="1">
        <f>0</f>
        <v>0</v>
      </c>
      <c r="AH170" s="1" t="e">
        <f>ABS(NETWORKDAYS.INTL("04/28/2024", "08/05/24", 1, {"01/01/2024","01/15/2024","02/19/2024","05/27/2024","07/04/2024","09/02/2024","10/14/2024","11/11/2024","11/28/2024","12/25/2024","12/25/2024","12/26/2024","12/27/2024","12/28/2024","12/29/2024","12/30/2024","31/25/2024","01/01/2024","01/02/2024","01/03/2024","01/04/2024","01/05/2024"}))</f>
        <v>#VALUE!</v>
      </c>
      <c r="AI170" s="1">
        <f>0</f>
        <v>0</v>
      </c>
      <c r="AJ170" s="1"/>
      <c r="AK170" s="1"/>
      <c r="AL170" s="1" t="b">
        <v>1</v>
      </c>
      <c r="AM170" s="1"/>
      <c r="AN170" s="1"/>
      <c r="AO170" s="1"/>
      <c r="AP170" s="1"/>
      <c r="AQ170" s="1"/>
      <c r="AR170" s="1"/>
      <c r="AS170" s="1"/>
      <c r="AT170" s="1"/>
      <c r="AU170" s="1"/>
      <c r="AV170" s="1"/>
      <c r="AW170" s="1"/>
      <c r="AX170" s="1"/>
      <c r="AY170" s="1"/>
      <c r="AZ170" s="1"/>
    </row>
    <row r="171" spans="1:52" ht="15" customHeight="1" x14ac:dyDescent="0.35">
      <c r="A171" s="1" t="s">
        <v>1036</v>
      </c>
      <c r="B171" s="1" t="s">
        <v>447</v>
      </c>
      <c r="C171" s="1" t="s">
        <v>629</v>
      </c>
      <c r="D171" s="1" t="s">
        <v>966</v>
      </c>
      <c r="E171" s="1" t="s">
        <v>967</v>
      </c>
      <c r="F171" s="9" t="s">
        <v>1037</v>
      </c>
      <c r="G171" s="1" t="s">
        <v>406</v>
      </c>
      <c r="H1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71" s="11" t="e">
        <f>ABS(NETWORKDAYS.INTL("04/18/2024", "04/29/2024", 1, {"01/01/2024","01/15/2024","02/19/2024","05/27/2024","07/04/2024","09/02/2024","10/14/2024","11/11/2024","11/28/2024","12/25/2024","12/25/2024","12/26/2024","12/27/2024","12/28/2024","12/29/2024","12/30/2024","31/25/2024","01/01/2024","01/02/2024","01/03/2024","01/04/2024","01/05/2024"}))</f>
        <v>#VALUE!</v>
      </c>
      <c r="J171" s="1">
        <f>0</f>
        <v>0</v>
      </c>
      <c r="K171" s="1"/>
      <c r="L171" s="1">
        <v>1</v>
      </c>
      <c r="M171" s="1" t="e">
        <f>ABS(NETWORKDAYS.INTL("05/01/2024", "05/01/2024", 1, {"01/01/2024","01/15/2024","02/19/2024","05/27/2024","07/04/2024","09/02/2024","10/14/2024","11/11/2024","11/28/2024","12/25/2024","12/25/2024","12/26/2024","12/27/2024","12/28/2024","12/29/2024","12/30/2024","31/25/2024","01/01/2024","01/02/2024","01/03/2024","01/04/2024","01/05/2024"}))</f>
        <v>#VALUE!</v>
      </c>
      <c r="N171" s="1">
        <f>0</f>
        <v>0</v>
      </c>
      <c r="O171" s="1">
        <f>0</f>
        <v>0</v>
      </c>
      <c r="P171" s="1"/>
      <c r="Q171" s="1">
        <v>1</v>
      </c>
      <c r="R171" s="1">
        <v>1</v>
      </c>
      <c r="S171" s="1">
        <f>0</f>
        <v>0</v>
      </c>
      <c r="T171" s="1">
        <f>0</f>
        <v>0</v>
      </c>
      <c r="U171" s="1"/>
      <c r="V171" s="1">
        <v>1</v>
      </c>
      <c r="W171" s="1">
        <v>0</v>
      </c>
      <c r="X171" s="1">
        <f>0</f>
        <v>0</v>
      </c>
      <c r="Y171" s="1">
        <f>0</f>
        <v>0</v>
      </c>
      <c r="Z171" s="1">
        <f>0</f>
        <v>0</v>
      </c>
      <c r="AA171" s="1"/>
      <c r="AB171" s="5"/>
      <c r="AC171" s="5"/>
      <c r="AD171" s="1" t="e">
        <f>ABS(NETWORKDAYS.INTL("05/01/2024", "04/29/2024", 1, {"01/01/2024","01/15/2024","02/19/2024","05/27/2024","07/04/2024","09/02/2024","10/14/2024","11/11/2024","11/28/2024","12/25/2024","12/25/2024","12/26/2024","12/27/2024","12/28/2024","12/29/2024","12/30/2024","31/25/2024","01/01/2024","01/02/2024","01/03/2024","01/04/2024","01/05/2024"}))</f>
        <v>#VALUE!</v>
      </c>
      <c r="AE171" s="1">
        <f>0</f>
        <v>0</v>
      </c>
      <c r="AF171" s="1" t="e">
        <f>ABS(NETWORKDAYS.INTL("05/17/2024", "07/15/2024", 1, {"01/01/2024","01/15/2024","02/19/2024","05/27/2024","07/04/2024","09/02/2024","10/14/2024","11/11/2024","11/28/2024","12/25/2024","12/25/2024","12/26/2024","12/27/2024","12/28/2024","12/29/2024","12/30/2024","31/25/2024","01/01/2024","01/02/2024","01/03/2024","01/04/2024","01/05/2024"}))</f>
        <v>#VALUE!</v>
      </c>
      <c r="AG171" s="1" t="e">
        <f>ABS(NETWORKDAYS.INTL("07/16/2024", "05/17/2024", 1, {"01/01/2024","01/15/2024","02/19/2024","05/27/2024","07/04/2024","09/02/2024","10/14/2024","11/11/2024","11/28/2024","12/25/2024","12/25/2024","12/26/2024","12/27/2024","12/28/2024","12/29/2024","12/30/2024","31/25/2024","01/01/2024","01/02/2024","01/03/2024","01/04/2024","01/05/2024"}))</f>
        <v>#VALUE!</v>
      </c>
      <c r="AH171" s="1">
        <f>0</f>
        <v>0</v>
      </c>
      <c r="AI171" s="1">
        <f>0</f>
        <v>0</v>
      </c>
      <c r="AJ171" s="1"/>
      <c r="AK171" s="1"/>
      <c r="AL171" s="1" t="b">
        <v>1</v>
      </c>
      <c r="AM171" s="1"/>
      <c r="AN171" s="1"/>
      <c r="AO171" s="1"/>
      <c r="AP171" s="1"/>
      <c r="AQ171" s="1"/>
      <c r="AR171" s="1"/>
      <c r="AS171" s="1"/>
      <c r="AT171" s="1"/>
      <c r="AU171" s="1"/>
      <c r="AV171" s="1"/>
      <c r="AW171" s="1"/>
      <c r="AX171" s="1"/>
      <c r="AY171" s="1"/>
      <c r="AZ171" s="1"/>
    </row>
    <row r="172" spans="1:52" ht="15" customHeight="1" x14ac:dyDescent="0.35">
      <c r="A172" s="1" t="s">
        <v>1038</v>
      </c>
      <c r="B172" s="1" t="s">
        <v>448</v>
      </c>
      <c r="C172" s="1" t="s">
        <v>1039</v>
      </c>
      <c r="D172" s="1" t="s">
        <v>1040</v>
      </c>
      <c r="E172" s="1" t="s">
        <v>967</v>
      </c>
      <c r="F172" s="9" t="s">
        <v>1041</v>
      </c>
      <c r="G172" s="1" t="s">
        <v>406</v>
      </c>
      <c r="H1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172" s="11" t="e">
        <f>ABS(NETWORKDAYS.INTL("5/06/2024", "05/22/2024", 1, {"01/01/2024","01/15/2024","02/19/2024","05/27/2024","07/04/2024","09/02/2024","10/14/2024","11/11/2024","11/28/2024","12/25/2024","12/25/2024","12/26/2024","12/27/2024","12/28/2024","12/29/2024","12/30/2024","31/25/2024","01/01/2024","01/02/2024","01/03/2024","01/04/2024","01/05/2024"}))</f>
        <v>#VALUE!</v>
      </c>
      <c r="J172" s="1">
        <f>0</f>
        <v>0</v>
      </c>
      <c r="K172" s="1"/>
      <c r="L172" s="1">
        <v>1</v>
      </c>
      <c r="M172" s="1" t="e">
        <f>ABS(NETWORKDAYS.INTL("05/22/2024", "05/22/2024", 1, {"01/01/2024","01/15/2024","02/19/2024","05/27/2024","07/04/2024","09/02/2024","10/14/2024","11/11/2024","11/28/2024","12/25/2024","12/25/2024","12/26/2024","12/27/2024","12/28/2024","12/29/2024","12/30/2024","31/25/2024","01/01/2024","01/02/2024","01/03/2024","01/04/2024","01/05/2024"}))</f>
        <v>#VALUE!</v>
      </c>
      <c r="N172" s="1">
        <f>0</f>
        <v>0</v>
      </c>
      <c r="O172" s="1">
        <f>0</f>
        <v>0</v>
      </c>
      <c r="P172" s="1"/>
      <c r="Q172" s="1">
        <v>0</v>
      </c>
      <c r="R172" s="1">
        <v>1</v>
      </c>
      <c r="S172" s="1">
        <f>0</f>
        <v>0</v>
      </c>
      <c r="T172" s="1">
        <f>0</f>
        <v>0</v>
      </c>
      <c r="U172" s="1"/>
      <c r="V172" s="1">
        <v>0</v>
      </c>
      <c r="W172" s="1">
        <v>0</v>
      </c>
      <c r="X172" s="1">
        <f>0</f>
        <v>0</v>
      </c>
      <c r="Y172" s="1">
        <f>0</f>
        <v>0</v>
      </c>
      <c r="Z172" s="1">
        <f>0</f>
        <v>0</v>
      </c>
      <c r="AA172" s="1"/>
      <c r="AB172" s="5">
        <v>45483</v>
      </c>
      <c r="AC172" s="5"/>
      <c r="AD172" s="1" t="e">
        <f>ABS(NETWORKDAYS.INTL("05/22/2024", "05/22/2024", 1, {"01/01/2024","01/15/2024","02/19/2024","05/27/2024","07/04/2024","09/02/2024","10/14/2024","11/11/2024","11/28/2024","12/25/2024","12/25/2024","12/26/2024","12/27/2024","12/28/2024","12/29/2024","12/30/2024","31/25/2024","01/01/2024","01/02/2024","01/03/2024","01/04/2024","01/05/2024"}))</f>
        <v>#VALUE!</v>
      </c>
      <c r="AE172" s="1">
        <f>0</f>
        <v>0</v>
      </c>
      <c r="AF172" s="1" t="e">
        <f>ABS(NETWORKDAYS.INTL("05/23/2024", "08/05/24", 1, {"01/01/2024","01/15/2024","02/19/2024","05/27/2024","07/04/2024","09/02/2024","10/14/2024","11/11/2024","11/28/2024","12/25/2024","12/25/2024","12/26/2024","12/27/2024","12/28/2024","12/29/2024","12/30/2024","31/25/2024","01/01/2024","01/02/2024","01/03/2024","01/04/2024","01/05/2024"}))</f>
        <v>#VALUE!</v>
      </c>
      <c r="AG172" s="1">
        <f>0</f>
        <v>0</v>
      </c>
      <c r="AH172" s="1">
        <f>0</f>
        <v>0</v>
      </c>
      <c r="AI172" s="1">
        <f>0</f>
        <v>0</v>
      </c>
      <c r="AJ172" s="1"/>
      <c r="AK172" s="1"/>
      <c r="AL172" s="1" t="b">
        <v>1</v>
      </c>
      <c r="AM172" s="1"/>
      <c r="AN172" s="1"/>
      <c r="AO172" s="1"/>
      <c r="AP172" s="1"/>
      <c r="AQ172" s="1"/>
      <c r="AR172" s="1"/>
      <c r="AS172" s="1"/>
      <c r="AT172" s="1"/>
      <c r="AU172" s="1"/>
      <c r="AV172" s="1"/>
      <c r="AW172" s="1"/>
      <c r="AX172" s="1"/>
      <c r="AY172" s="1"/>
      <c r="AZ172" s="1"/>
    </row>
    <row r="173" spans="1:52" ht="15" customHeight="1" x14ac:dyDescent="0.35">
      <c r="A173" s="1" t="s">
        <v>1042</v>
      </c>
      <c r="B173" s="1" t="s">
        <v>1043</v>
      </c>
      <c r="C173" s="1" t="s">
        <v>624</v>
      </c>
      <c r="D173" s="1" t="s">
        <v>1044</v>
      </c>
      <c r="E173" s="1" t="s">
        <v>1031</v>
      </c>
      <c r="F173" s="9" t="s">
        <v>1045</v>
      </c>
      <c r="G173" s="1" t="s">
        <v>406</v>
      </c>
      <c r="H1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3" s="11" t="e">
        <f>ABS(NETWORKDAYS.INTL("06/06/2024", "06/07/2024", 1, {"01/01/2024","01/15/2024","02/19/2024","05/27/2024","07/04/2024","09/02/2024","10/14/2024","11/11/2024","11/28/2024","12/25/2024","12/25/2024","12/26/2024","12/27/2024","12/28/2024","12/29/2024","12/30/2024","31/25/2024","01/01/2024","01/02/2024","01/03/2024","01/04/2024","01/05/2024"}))</f>
        <v>#VALUE!</v>
      </c>
      <c r="J173" s="1">
        <f>0</f>
        <v>0</v>
      </c>
      <c r="K173" s="1"/>
      <c r="L173" s="1">
        <v>1</v>
      </c>
      <c r="M173" s="1" t="e">
        <f>ABS(NETWORKDAYS.INTL("06/28/2024", "06/28/2024", 1, {"01/01/2024","01/15/2024","02/19/2024","05/27/2024","07/04/2024","09/02/2024","10/14/2024","11/11/2024","11/28/2024","12/25/2024","12/25/2024","12/26/2024","12/27/2024","12/28/2024","12/29/2024","12/30/2024","31/25/2024","01/01/2024","01/02/2024","01/03/2024","01/04/2024","01/05/2024"}))</f>
        <v>#VALUE!</v>
      </c>
      <c r="N173" s="1">
        <f>0</f>
        <v>0</v>
      </c>
      <c r="O173" s="1">
        <f>0</f>
        <v>0</v>
      </c>
      <c r="P173" s="1"/>
      <c r="Q173" s="1">
        <v>1</v>
      </c>
      <c r="R173" s="1">
        <v>1</v>
      </c>
      <c r="S173" s="1">
        <f>0</f>
        <v>0</v>
      </c>
      <c r="T173" s="1">
        <f>0</f>
        <v>0</v>
      </c>
      <c r="U173" s="1"/>
      <c r="V173" s="1">
        <v>2</v>
      </c>
      <c r="W173" s="1">
        <v>0</v>
      </c>
      <c r="X173" s="1">
        <f>0</f>
        <v>0</v>
      </c>
      <c r="Y173" s="1">
        <f>0</f>
        <v>0</v>
      </c>
      <c r="Z173" s="1">
        <f>0</f>
        <v>0</v>
      </c>
      <c r="AA173" s="1"/>
      <c r="AB173" s="5">
        <v>45498</v>
      </c>
      <c r="AC173" s="5">
        <v>45498</v>
      </c>
      <c r="AD173" s="1" t="e">
        <f>ABS(NETWORKDAYS.INTL("06/28/2024", "06/07/2024", 1, {"01/01/2024","01/15/2024","02/19/2024","05/27/2024","07/04/2024","09/02/2024","10/14/2024","11/11/2024","11/28/2024","12/25/2024","12/25/2024","12/26/2024","12/27/2024","12/28/2024","12/29/2024","12/30/2024","31/25/2024","01/01/2024","01/02/2024","01/03/2024","01/04/2024","01/05/2024"}))</f>
        <v>#VALUE!</v>
      </c>
      <c r="AE173" s="1">
        <f>0</f>
        <v>0</v>
      </c>
      <c r="AF173" s="1" t="e">
        <f>ABS(NETWORKDAYS.INTL("05/23/2024", "06/28/2024", 1, {"01/01/2024","01/15/2024","02/19/2024","05/27/2024","07/04/2024","09/02/2024","10/14/2024","11/11/2024","11/28/2024","12/25/2024","12/25/2024","12/26/2024","12/27/2024","12/28/2024","12/29/2024","12/30/2024","31/25/2024","01/01/2024","01/02/2024","01/03/2024","01/04/2024","01/05/2024"}))</f>
        <v>#VALUE!</v>
      </c>
      <c r="AG173" s="1" t="e">
        <f>ABS(NETWORKDAYS.INTL("07/01/2024", "05/23/2024", 1, {"01/01/2024","01/15/2024","02/19/2024","05/27/2024","07/04/2024","09/02/2024","10/14/2024","11/11/2024","11/28/2024","12/25/2024","12/25/2024","12/26/2024","12/27/2024","12/28/2024","12/29/2024","12/30/2024","31/25/2024","01/01/2024","01/02/2024","01/03/2024","01/04/2024","01/05/2024"}))</f>
        <v>#VALUE!</v>
      </c>
      <c r="AH173" s="1">
        <f>0</f>
        <v>0</v>
      </c>
      <c r="AI173" s="1" t="e">
        <f>ABS(NETWORKDAYS.INTL("07/25/2024", "07/25/2024", 1, {"01/01/2024","01/15/2024","02/19/2024","05/27/2024","07/04/2024","09/02/2024","10/14/2024","11/11/2024","11/28/2024","12/25/2024","12/25/2024","12/26/2024","12/27/2024","12/28/2024","12/29/2024","12/30/2024","31/25/2024","01/01/2024","01/02/2024","01/03/2024","01/04/2024","01/05/2024"}))</f>
        <v>#VALUE!</v>
      </c>
      <c r="AJ173" s="1"/>
      <c r="AK173" s="1"/>
      <c r="AL173" s="1" t="b">
        <v>1</v>
      </c>
      <c r="AM173" s="1"/>
      <c r="AN173" s="1"/>
      <c r="AO173" s="1"/>
      <c r="AP173" s="1"/>
      <c r="AQ173" s="1"/>
      <c r="AR173" s="1"/>
      <c r="AS173" s="1"/>
      <c r="AT173" s="1"/>
      <c r="AU173" s="1"/>
      <c r="AV173" s="1"/>
      <c r="AW173" s="1"/>
      <c r="AX173" s="1"/>
      <c r="AY173" s="1"/>
      <c r="AZ173" s="1"/>
    </row>
    <row r="174" spans="1:52" ht="15" customHeight="1" x14ac:dyDescent="0.35">
      <c r="A174" s="1" t="s">
        <v>1046</v>
      </c>
      <c r="B174" s="1" t="s">
        <v>1047</v>
      </c>
      <c r="C174" s="1" t="s">
        <v>624</v>
      </c>
      <c r="D174" s="1" t="s">
        <v>1048</v>
      </c>
      <c r="E174" s="1" t="s">
        <v>1031</v>
      </c>
      <c r="F174" s="9" t="s">
        <v>1049</v>
      </c>
      <c r="G174" s="1" t="s">
        <v>406</v>
      </c>
      <c r="H1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4" s="11" t="e">
        <f>ABS(NETWORKDAYS.INTL("06/06/2024", "06/10/2024", 1, {"01/01/2024","01/15/2024","02/19/2024","05/27/2024","07/04/2024","09/02/2024","10/14/2024","11/11/2024","11/28/2024","12/25/2024","12/25/2024","12/26/2024","12/27/2024","12/28/2024","12/29/2024","12/30/2024","31/25/2024","01/01/2024","01/02/2024","01/03/2024","01/04/2024","01/05/2024"}))</f>
        <v>#VALUE!</v>
      </c>
      <c r="J174" s="1">
        <f>0</f>
        <v>0</v>
      </c>
      <c r="K174" s="1"/>
      <c r="L174" s="1">
        <v>1</v>
      </c>
      <c r="M174" s="1" t="e">
        <f>ABS(NETWORKDAYS.INTL("06/28/2024", "06/28/2024", 1, {"01/01/2024","01/15/2024","02/19/2024","05/27/2024","07/04/2024","09/02/2024","10/14/2024","11/11/2024","11/28/2024","12/25/2024","12/25/2024","12/26/2024","12/27/2024","12/28/2024","12/29/2024","12/30/2024","31/25/2024","01/01/2024","01/02/2024","01/03/2024","01/04/2024","01/05/2024"}))</f>
        <v>#VALUE!</v>
      </c>
      <c r="N174" s="1">
        <f>0</f>
        <v>0</v>
      </c>
      <c r="O174" s="1">
        <f>0</f>
        <v>0</v>
      </c>
      <c r="P174" s="1"/>
      <c r="Q174" s="1">
        <v>1</v>
      </c>
      <c r="R174" s="1">
        <v>1</v>
      </c>
      <c r="S174" s="1">
        <f>0</f>
        <v>0</v>
      </c>
      <c r="T174" s="1">
        <f>0</f>
        <v>0</v>
      </c>
      <c r="U174" s="1"/>
      <c r="V174" s="1">
        <v>1</v>
      </c>
      <c r="W174" s="1">
        <v>0</v>
      </c>
      <c r="X174" s="1">
        <f>0</f>
        <v>0</v>
      </c>
      <c r="Y174" s="1">
        <f>0</f>
        <v>0</v>
      </c>
      <c r="Z174" s="1">
        <f>0</f>
        <v>0</v>
      </c>
      <c r="AA174" s="1"/>
      <c r="AB174" s="5">
        <v>45490</v>
      </c>
      <c r="AC174" s="5">
        <v>45498</v>
      </c>
      <c r="AD174" s="1" t="e">
        <f>ABS(NETWORKDAYS.INTL("06/28/2024", "06/10/2024", 1, {"01/01/2024","01/15/2024","02/19/2024","05/27/2024","07/04/2024","09/02/2024","10/14/2024","11/11/2024","11/28/2024","12/25/2024","12/25/2024","12/26/2024","12/27/2024","12/28/2024","12/29/2024","12/30/2024","31/25/2024","01/01/2024","01/02/2024","01/03/2024","01/04/2024","01/05/2024"}))</f>
        <v>#VALUE!</v>
      </c>
      <c r="AE174" s="1">
        <f>0</f>
        <v>0</v>
      </c>
      <c r="AF174" s="1" t="e">
        <f>ABS(NETWORKDAYS.INTL("05/23/2024", "06/28/2024", 1, {"01/01/2024","01/15/2024","02/19/2024","05/27/2024","07/04/2024","09/02/2024","10/14/2024","11/11/2024","11/28/2024","12/25/2024","12/25/2024","12/26/2024","12/27/2024","12/28/2024","12/29/2024","12/30/2024","31/25/2024","01/01/2024","01/02/2024","01/03/2024","01/04/2024","01/05/2024"}))</f>
        <v>#VALUE!</v>
      </c>
      <c r="AG174" s="1" t="e">
        <f>ABS(NETWORKDAYS.INTL("07/09/2024", "05/23/2024", 1, {"01/01/2024","01/15/2024","02/19/2024","05/27/2024","07/04/2024","09/02/2024","10/14/2024","11/11/2024","11/28/2024","12/25/2024","12/25/2024","12/26/2024","12/27/2024","12/28/2024","12/29/2024","12/30/2024","31/25/2024","01/01/2024","01/02/2024","01/03/2024","01/04/2024","01/05/2024"}))</f>
        <v>#VALUE!</v>
      </c>
      <c r="AH174" s="1">
        <f>0</f>
        <v>0</v>
      </c>
      <c r="AI174" s="1" t="e">
        <f>ABS(NETWORKDAYS.INTL("07/25/2024", "07/17/2024", 1, {"01/01/2024","01/15/2024","02/19/2024","05/27/2024","07/04/2024","09/02/2024","10/14/2024","11/11/2024","11/28/2024","12/25/2024","12/25/2024","12/26/2024","12/27/2024","12/28/2024","12/29/2024","12/30/2024","31/25/2024","01/01/2024","01/02/2024","01/03/2024","01/04/2024","01/05/2024"}))</f>
        <v>#VALUE!</v>
      </c>
      <c r="AJ174" s="1"/>
      <c r="AK174" s="1"/>
      <c r="AL174" s="1" t="b">
        <v>1</v>
      </c>
      <c r="AM174" s="1"/>
      <c r="AN174" s="1"/>
      <c r="AO174" s="1"/>
      <c r="AP174" s="1"/>
      <c r="AQ174" s="1"/>
      <c r="AR174" s="1"/>
      <c r="AS174" s="1"/>
      <c r="AT174" s="1"/>
      <c r="AU174" s="1"/>
      <c r="AV174" s="1"/>
      <c r="AW174" s="1"/>
      <c r="AX174" s="1"/>
      <c r="AY174" s="1"/>
      <c r="AZ174" s="1"/>
    </row>
    <row r="175" spans="1:52" ht="15" customHeight="1" x14ac:dyDescent="0.35">
      <c r="A175" s="1" t="s">
        <v>1050</v>
      </c>
      <c r="B175" s="1" t="s">
        <v>1051</v>
      </c>
      <c r="C175" s="1" t="s">
        <v>988</v>
      </c>
      <c r="D175" s="1" t="s">
        <v>1052</v>
      </c>
      <c r="E175" s="1" t="s">
        <v>1031</v>
      </c>
      <c r="F175" s="9" t="s">
        <v>1053</v>
      </c>
      <c r="G175" s="1" t="s">
        <v>406</v>
      </c>
      <c r="H1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5" s="11" t="e">
        <f>ABS(NETWORKDAYS.INTL("04/28/2024", "08/05/24", 1, {"01/01/2024","01/15/2024","02/19/2024","05/27/2024","07/04/2024","09/02/2024","10/14/2024","11/11/2024","11/28/2024","12/25/2024","12/25/2024","12/26/2024","12/27/2024","12/28/2024","12/29/2024","12/30/2024","31/25/2024","01/01/2024","01/02/2024","01/03/2024","01/04/2024","01/05/2024"}))</f>
        <v>#VALUE!</v>
      </c>
      <c r="J175" s="1">
        <f>0</f>
        <v>0</v>
      </c>
      <c r="K175" s="1"/>
      <c r="L175" s="1">
        <v>1</v>
      </c>
      <c r="M175" s="1" t="e">
        <f>ABS(NETWORKDAYS.INTL("07/01/2024", "07/01/2024", 1, {"01/01/2024","01/15/2024","02/19/2024","05/27/2024","07/04/2024","09/02/2024","10/14/2024","11/11/2024","11/28/2024","12/25/2024","12/25/2024","12/26/2024","12/27/2024","12/28/2024","12/29/2024","12/30/2024","31/25/2024","01/01/2024","01/02/2024","01/03/2024","01/04/2024","01/05/2024"}))</f>
        <v>#VALUE!</v>
      </c>
      <c r="N175" s="1">
        <f>0</f>
        <v>0</v>
      </c>
      <c r="O175" s="1">
        <f>0</f>
        <v>0</v>
      </c>
      <c r="P175" s="1"/>
      <c r="Q175" s="1">
        <v>0</v>
      </c>
      <c r="R175" s="1">
        <v>0</v>
      </c>
      <c r="S175" s="1">
        <f>0</f>
        <v>0</v>
      </c>
      <c r="T175" s="1">
        <f>0</f>
        <v>0</v>
      </c>
      <c r="U175" s="1"/>
      <c r="V175" s="1">
        <v>1</v>
      </c>
      <c r="W175" s="1">
        <v>0</v>
      </c>
      <c r="X175" s="1">
        <f>0</f>
        <v>0</v>
      </c>
      <c r="Y175" s="1" t="e">
        <f>ABS(NETWORKDAYS.INTL("07/18/2024", "07/18/2024", 1, {"01/01/2024","01/15/2024","02/19/2024","05/27/2024","07/04/2024","09/02/2024","10/14/2024","11/11/2024","11/28/2024","12/25/2024","12/25/2024","12/26/2024","12/27/2024","12/28/2024","12/29/2024","12/30/2024","31/25/2024","01/01/2024","01/02/2024","01/03/2024","01/04/2024","01/05/2024"}))</f>
        <v>#VALUE!</v>
      </c>
      <c r="Z175" s="1">
        <f>0</f>
        <v>0</v>
      </c>
      <c r="AA175" s="1"/>
      <c r="AB175" s="5"/>
      <c r="AC175" s="5"/>
      <c r="AD175" s="1" t="e">
        <f>ABS(NETWORKDAYS.INTL("07/01/2024", "08/05/24", 1, {"01/01/2024","01/15/2024","02/19/2024","05/27/2024","07/04/2024","09/02/2024","10/14/2024","11/11/2024","11/28/2024","12/25/2024","12/25/2024","12/26/2024","12/27/2024","12/28/2024","12/29/2024","12/30/2024","31/25/2024","01/01/2024","01/02/2024","01/03/2024","01/04/2024","01/05/2024"}))</f>
        <v>#VALUE!</v>
      </c>
      <c r="AE175" s="1">
        <f>0</f>
        <v>0</v>
      </c>
      <c r="AF175" s="1">
        <f>0</f>
        <v>0</v>
      </c>
      <c r="AG175" s="1" t="e">
        <f>ABS(NETWORKDAYS.INTL("07/01/2024", "08/05/24", 1, {"01/01/2024","01/15/2024","02/19/2024","05/27/2024","07/04/2024","09/02/2024","10/14/2024","11/11/2024","11/28/2024","12/25/2024","12/25/2024","12/26/2024","12/27/2024","12/28/2024","12/29/2024","12/30/2024","31/25/2024","01/01/2024","01/02/2024","01/03/2024","01/04/2024","01/05/2024"}))</f>
        <v>#VALUE!</v>
      </c>
      <c r="AH175" s="1">
        <f>0</f>
        <v>0</v>
      </c>
      <c r="AI175" s="1">
        <f>0</f>
        <v>0</v>
      </c>
      <c r="AJ175" s="1"/>
      <c r="AK175" s="1"/>
      <c r="AL175" s="1" t="b">
        <v>1</v>
      </c>
      <c r="AM175" s="1"/>
      <c r="AN175" s="1"/>
      <c r="AO175" s="1"/>
      <c r="AP175" s="1"/>
      <c r="AQ175" s="1"/>
      <c r="AR175" s="1"/>
      <c r="AS175" s="1"/>
      <c r="AT175" s="1"/>
      <c r="AU175" s="1"/>
      <c r="AV175" s="1"/>
      <c r="AW175" s="1"/>
      <c r="AX175" s="1"/>
      <c r="AY175" s="1"/>
      <c r="AZ175" s="1"/>
    </row>
    <row r="176" spans="1:52" ht="15" customHeight="1" x14ac:dyDescent="0.35">
      <c r="A176" s="1" t="s">
        <v>1054</v>
      </c>
      <c r="B176" s="1" t="s">
        <v>449</v>
      </c>
      <c r="C176" s="1" t="s">
        <v>988</v>
      </c>
      <c r="D176" s="1" t="s">
        <v>1034</v>
      </c>
      <c r="E176" s="1" t="s">
        <v>614</v>
      </c>
      <c r="F176" s="9" t="s">
        <v>1055</v>
      </c>
      <c r="G176" s="1" t="s">
        <v>406</v>
      </c>
      <c r="H1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6" s="11" t="e">
        <f>ABS(NETWORKDAYS.INTL("04/18/2023", "04/19/2024", 1, {"01/01/2024","01/15/2024","02/19/2024","05/27/2024","07/04/2024","09/02/2024","10/14/2024","11/11/2024","11/28/2024","12/25/2024","12/25/2024","12/26/2024","12/27/2024","12/28/2024","12/29/2024","12/30/2024","31/25/2024","01/01/2024","01/02/2024","01/03/2024","01/04/2024","01/05/2024"}))</f>
        <v>#VALUE!</v>
      </c>
      <c r="J176" s="1">
        <f>0</f>
        <v>0</v>
      </c>
      <c r="K176" s="1"/>
      <c r="L176" s="1">
        <v>1</v>
      </c>
      <c r="M176" s="1" t="e">
        <f>ABS(NETWORKDAYS.INTL("04/19/2024", "04/19/2024", 1, {"01/01/2024","01/15/2024","02/19/2024","05/27/2024","07/04/2024","09/02/2024","10/14/2024","11/11/2024","11/28/2024","12/25/2024","12/25/2024","12/26/2024","12/27/2024","12/28/2024","12/29/2024","12/30/2024","31/25/2024","01/01/2024","01/02/2024","01/03/2024","01/04/2024","01/05/2024"}))</f>
        <v>#VALUE!</v>
      </c>
      <c r="N176" s="1">
        <f>0</f>
        <v>0</v>
      </c>
      <c r="O176" s="1">
        <f>0</f>
        <v>0</v>
      </c>
      <c r="P176" s="1"/>
      <c r="Q176" s="1">
        <v>0</v>
      </c>
      <c r="R176" s="1">
        <v>1</v>
      </c>
      <c r="S176" s="1">
        <f>0</f>
        <v>0</v>
      </c>
      <c r="T176" s="1">
        <f>0</f>
        <v>0</v>
      </c>
      <c r="U176" s="1"/>
      <c r="V176" s="1">
        <v>0</v>
      </c>
      <c r="W176" s="1">
        <v>1</v>
      </c>
      <c r="X176" s="1" t="e">
        <f>ABS(NETWORKDAYS.INTL("04/19/2024", "04/19/2024", 1, {"01/01/2024","01/15/2024","02/19/2024","05/27/2024","07/04/2024","09/02/2024","10/14/2024","11/11/2024","11/28/2024","12/25/2024","12/25/2024","12/26/2024","12/27/2024","12/28/2024","12/29/2024","12/30/2024","31/25/2024","01/01/2024","01/02/2024","01/03/2024","01/04/2024","01/05/2024"}))</f>
        <v>#VALUE!</v>
      </c>
      <c r="Y176" s="1">
        <f>0</f>
        <v>0</v>
      </c>
      <c r="Z176" s="1">
        <f>0</f>
        <v>0</v>
      </c>
      <c r="AA176" s="1"/>
      <c r="AB176" s="5">
        <v>45401</v>
      </c>
      <c r="AC176" s="5"/>
      <c r="AD176" s="1" t="e">
        <f>ABS(NETWORKDAYS.INTL("04/19/2024", "04/19/2024", 1, {"01/01/2024","01/15/2024","02/19/2024","05/27/2024","07/04/2024","09/02/2024","10/14/2024","11/11/2024","11/28/2024","12/25/2024","12/25/2024","12/26/2024","12/27/2024","12/28/2024","12/29/2024","12/30/2024","31/25/2024","01/01/2024","01/02/2024","01/03/2024","01/04/2024","01/05/2024"}))</f>
        <v>#VALUE!</v>
      </c>
      <c r="AE176" s="1">
        <f>0</f>
        <v>0</v>
      </c>
      <c r="AF176" s="1" t="e">
        <f>ABS(NETWORKDAYS.INTL("04/15/2024", "08/05/24", 1, {"01/01/2024","01/15/2024","02/19/2024","05/27/2024","07/04/2024","09/02/2024","10/14/2024","11/11/2024","11/28/2024","12/25/2024","12/25/2024","12/26/2024","12/27/2024","12/28/2024","12/29/2024","12/30/2024","31/25/2024","01/01/2024","01/02/2024","01/03/2024","01/04/2024","01/05/2024"}))</f>
        <v>#VALUE!</v>
      </c>
      <c r="AG176" s="1">
        <f>0</f>
        <v>0</v>
      </c>
      <c r="AH176" s="1" t="e">
        <f>ABS(NETWORKDAYS.INTL("04/19/2024", "08/05/24", 1, {"01/01/2024","01/15/2024","02/19/2024","05/27/2024","07/04/2024","09/02/2024","10/14/2024","11/11/2024","11/28/2024","12/25/2024","12/25/2024","12/26/2024","12/27/2024","12/28/2024","12/29/2024","12/30/2024","31/25/2024","01/01/2024","01/02/2024","01/03/2024","01/04/2024","01/05/2024"}))</f>
        <v>#VALUE!</v>
      </c>
      <c r="AI176" s="1">
        <f>0</f>
        <v>0</v>
      </c>
      <c r="AJ176" s="1"/>
      <c r="AK176" s="1" t="b">
        <v>1</v>
      </c>
      <c r="AL176" s="1"/>
      <c r="AM176" s="1"/>
      <c r="AN176" s="1"/>
      <c r="AO176" s="1"/>
      <c r="AP176" s="1"/>
      <c r="AQ176" s="1"/>
      <c r="AR176" s="1"/>
      <c r="AS176" s="1"/>
      <c r="AT176" s="1"/>
      <c r="AU176" s="1"/>
      <c r="AV176" s="1"/>
      <c r="AW176" s="1"/>
      <c r="AX176" s="1"/>
      <c r="AY176" s="1"/>
      <c r="AZ176" s="1"/>
    </row>
    <row r="177" spans="1:52" ht="15" customHeight="1" x14ac:dyDescent="0.35">
      <c r="A177" s="1" t="s">
        <v>1056</v>
      </c>
      <c r="B177" s="1" t="s">
        <v>450</v>
      </c>
      <c r="C177" s="1" t="s">
        <v>601</v>
      </c>
      <c r="D177" s="1" t="s">
        <v>1057</v>
      </c>
      <c r="E177" s="1" t="s">
        <v>1058</v>
      </c>
      <c r="F177" s="9" t="s">
        <v>1059</v>
      </c>
      <c r="G177" s="1" t="s">
        <v>406</v>
      </c>
      <c r="H1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7" s="11" t="e">
        <f>ABS(NETWORKDAYS.INTL("04/28/24", "04/28/24", 1, {"01/01/2024","01/15/2024","02/19/2024","05/27/2024","07/04/2024","09/02/2024","10/14/2024","11/11/2024","11/28/2024","12/25/2024","12/25/2024","12/26/2024","12/27/2024","12/28/2024","12/29/2024","12/30/2024","31/25/2024","01/01/2024","01/02/2024","01/03/2024","01/04/2024","01/05/2024"}))</f>
        <v>#VALUE!</v>
      </c>
      <c r="J177" s="1">
        <f>0</f>
        <v>0</v>
      </c>
      <c r="K177" s="1"/>
      <c r="L177" s="1">
        <v>0</v>
      </c>
      <c r="M177" s="1">
        <f>0</f>
        <v>0</v>
      </c>
      <c r="N177" s="1">
        <f>0</f>
        <v>0</v>
      </c>
      <c r="O177" s="1">
        <f>0</f>
        <v>0</v>
      </c>
      <c r="P177" s="1"/>
      <c r="Q177" s="1">
        <v>0</v>
      </c>
      <c r="R177" s="1">
        <v>0</v>
      </c>
      <c r="S177" s="1">
        <f>0</f>
        <v>0</v>
      </c>
      <c r="T177" s="1">
        <f>0</f>
        <v>0</v>
      </c>
      <c r="U177" s="1"/>
      <c r="V177" s="1">
        <v>1</v>
      </c>
      <c r="W177" s="1">
        <v>1</v>
      </c>
      <c r="X177" s="1" t="e">
        <f>ABS(NETWORKDAYS.INTL("06/03/24", "06/03/24", 1, {"01/01/2024","01/15/2024","02/19/2024","05/27/2024","07/04/2024","09/02/2024","10/14/2024","11/11/2024","11/28/2024","12/25/2024","12/25/2024","12/26/2024","12/27/2024","12/28/2024","12/29/2024","12/30/2024","31/25/2024","01/01/2024","01/02/2024","01/03/2024","01/04/2024","01/05/2024"}))</f>
        <v>#VALUE!</v>
      </c>
      <c r="Y177" s="1">
        <f>0</f>
        <v>0</v>
      </c>
      <c r="Z177" s="1">
        <f>0</f>
        <v>0</v>
      </c>
      <c r="AA177" s="1"/>
      <c r="AB177" s="5"/>
      <c r="AC177" s="5"/>
      <c r="AD177" s="1">
        <f>0</f>
        <v>0</v>
      </c>
      <c r="AE177" s="1">
        <f>0</f>
        <v>0</v>
      </c>
      <c r="AF177" s="1">
        <f>0</f>
        <v>0</v>
      </c>
      <c r="AG177" s="1" t="e">
        <f>ABS(NETWORKDAYS.INTL("04/28/24", "08/05/24", 1, {"01/01/2024","01/15/2024","02/19/2024","05/27/2024","07/04/2024","09/02/2024","10/14/2024","11/11/2024","11/28/2024","12/25/2024","12/25/2024","12/26/2024","12/27/2024","12/28/2024","12/29/2024","12/30/2024","31/25/2024","01/01/2024","01/02/2024","01/03/2024","01/04/2024","01/05/2024"}))</f>
        <v>#VALUE!</v>
      </c>
      <c r="AH177" s="1" t="e">
        <f>ABS(NETWORKDAYS.INTL("06/03/24", "04/28/24", 1, {"01/01/2024","01/15/2024","02/19/2024","05/27/2024","07/04/2024","09/02/2024","10/14/2024","11/11/2024","11/28/2024","12/25/2024","12/25/2024","12/26/2024","12/27/2024","12/28/2024","12/29/2024","12/30/2024","31/25/2024","01/01/2024","01/02/2024","01/03/2024","01/04/2024","01/05/2024"}))</f>
        <v>#VALUE!</v>
      </c>
      <c r="AI177" s="1">
        <f>0</f>
        <v>0</v>
      </c>
      <c r="AJ177" s="1"/>
      <c r="AK177" s="1"/>
      <c r="AL177" s="1" t="b">
        <v>1</v>
      </c>
      <c r="AM177" s="1"/>
      <c r="AN177" s="1"/>
      <c r="AO177" s="1"/>
      <c r="AP177" s="1"/>
      <c r="AQ177" s="1"/>
      <c r="AR177" s="1"/>
      <c r="AS177" s="1"/>
      <c r="AT177" s="1"/>
      <c r="AU177" s="1"/>
      <c r="AV177" s="1"/>
      <c r="AW177" s="1"/>
      <c r="AX177" s="1"/>
      <c r="AY177" s="1"/>
      <c r="AZ177" s="1"/>
    </row>
    <row r="178" spans="1:52" ht="15" customHeight="1" x14ac:dyDescent="0.35">
      <c r="A178" s="1" t="s">
        <v>1060</v>
      </c>
      <c r="B178" s="1" t="s">
        <v>451</v>
      </c>
      <c r="C178" s="1" t="s">
        <v>601</v>
      </c>
      <c r="D178" s="1" t="s">
        <v>1057</v>
      </c>
      <c r="E178" s="1" t="s">
        <v>1058</v>
      </c>
      <c r="F178" s="9" t="s">
        <v>1061</v>
      </c>
      <c r="G178" s="1" t="s">
        <v>406</v>
      </c>
      <c r="H1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78" s="11" t="e">
        <f>ABS(NETWORKDAYS.INTL("04/28/24", "04/28/24", 1, {"01/01/2024","01/15/2024","02/19/2024","05/27/2024","07/04/2024","09/02/2024","10/14/2024","11/11/2024","11/28/2024","12/25/2024","12/25/2024","12/26/2024","12/27/2024","12/28/2024","12/29/2024","12/30/2024","31/25/2024","01/01/2024","01/02/2024","01/03/2024","01/04/2024","01/05/2024"}))</f>
        <v>#VALUE!</v>
      </c>
      <c r="J178" s="1">
        <f>0</f>
        <v>0</v>
      </c>
      <c r="K178" s="1"/>
      <c r="L178" s="1">
        <v>0</v>
      </c>
      <c r="M178" s="1">
        <f>0</f>
        <v>0</v>
      </c>
      <c r="N178" s="1">
        <f>0</f>
        <v>0</v>
      </c>
      <c r="O178" s="1">
        <f>0</f>
        <v>0</v>
      </c>
      <c r="P178" s="1"/>
      <c r="Q178" s="1">
        <v>0</v>
      </c>
      <c r="R178" s="1">
        <v>0</v>
      </c>
      <c r="S178" s="1">
        <f>0</f>
        <v>0</v>
      </c>
      <c r="T178" s="1">
        <f>0</f>
        <v>0</v>
      </c>
      <c r="U178" s="1"/>
      <c r="V178" s="1">
        <v>1</v>
      </c>
      <c r="W178" s="1">
        <v>1</v>
      </c>
      <c r="X178" s="1" t="e">
        <f>ABS(NETWORKDAYS.INTL("06/03/24", "06/03/24", 1, {"01/01/2024","01/15/2024","02/19/2024","05/27/2024","07/04/2024","09/02/2024","10/14/2024","11/11/2024","11/28/2024","12/25/2024","12/25/2024","12/26/2024","12/27/2024","12/28/2024","12/29/2024","12/30/2024","31/25/2024","01/01/2024","01/02/2024","01/03/2024","01/04/2024","01/05/2024"}))</f>
        <v>#VALUE!</v>
      </c>
      <c r="Y178" s="1">
        <f>0</f>
        <v>0</v>
      </c>
      <c r="Z178" s="1">
        <f>0</f>
        <v>0</v>
      </c>
      <c r="AA178" s="1"/>
      <c r="AB178" s="5"/>
      <c r="AC178" s="5"/>
      <c r="AD178" s="1">
        <f>0</f>
        <v>0</v>
      </c>
      <c r="AE178" s="1">
        <f>0</f>
        <v>0</v>
      </c>
      <c r="AF178" s="1">
        <f>0</f>
        <v>0</v>
      </c>
      <c r="AG178" s="1" t="e">
        <f>ABS(NETWORKDAYS.INTL("04/28/24", "08/05/24", 1, {"01/01/2024","01/15/2024","02/19/2024","05/27/2024","07/04/2024","09/02/2024","10/14/2024","11/11/2024","11/28/2024","12/25/2024","12/25/2024","12/26/2024","12/27/2024","12/28/2024","12/29/2024","12/30/2024","31/25/2024","01/01/2024","01/02/2024","01/03/2024","01/04/2024","01/05/2024"}))</f>
        <v>#VALUE!</v>
      </c>
      <c r="AH178" s="1" t="e">
        <f>ABS(NETWORKDAYS.INTL("06/03/24", "04/28/24", 1, {"01/01/2024","01/15/2024","02/19/2024","05/27/2024","07/04/2024","09/02/2024","10/14/2024","11/11/2024","11/28/2024","12/25/2024","12/25/2024","12/26/2024","12/27/2024","12/28/2024","12/29/2024","12/30/2024","31/25/2024","01/01/2024","01/02/2024","01/03/2024","01/04/2024","01/05/2024"}))</f>
        <v>#VALUE!</v>
      </c>
      <c r="AI178" s="1">
        <f>0</f>
        <v>0</v>
      </c>
      <c r="AJ178" s="1"/>
      <c r="AK178" s="1"/>
      <c r="AL178" s="1" t="b">
        <v>1</v>
      </c>
      <c r="AM178" s="1"/>
      <c r="AN178" s="1"/>
      <c r="AO178" s="1"/>
      <c r="AP178" s="1"/>
      <c r="AQ178" s="1"/>
      <c r="AR178" s="1"/>
      <c r="AS178" s="1"/>
      <c r="AT178" s="1"/>
      <c r="AU178" s="1"/>
      <c r="AV178" s="1"/>
      <c r="AW178" s="1"/>
      <c r="AX178" s="1"/>
      <c r="AY178" s="1"/>
      <c r="AZ178" s="1"/>
    </row>
    <row r="179" spans="1:52" ht="15" customHeight="1" x14ac:dyDescent="0.35">
      <c r="A179" s="1" t="s">
        <v>1062</v>
      </c>
      <c r="B179" s="1" t="s">
        <v>452</v>
      </c>
      <c r="C179" s="1" t="s">
        <v>988</v>
      </c>
      <c r="D179" s="1" t="s">
        <v>1034</v>
      </c>
      <c r="E179" s="1" t="s">
        <v>810</v>
      </c>
      <c r="F179" s="9" t="s">
        <v>1063</v>
      </c>
      <c r="G179" s="1" t="s">
        <v>406</v>
      </c>
      <c r="H1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79" s="11">
        <f>0</f>
        <v>0</v>
      </c>
      <c r="J179" s="1">
        <f>0</f>
        <v>0</v>
      </c>
      <c r="K179" s="1"/>
      <c r="L179" s="1">
        <v>0</v>
      </c>
      <c r="M179" s="1">
        <f>0</f>
        <v>0</v>
      </c>
      <c r="N179" s="1">
        <f>0</f>
        <v>0</v>
      </c>
      <c r="O179" s="1">
        <f>0</f>
        <v>0</v>
      </c>
      <c r="P179" s="1"/>
      <c r="Q179" s="1">
        <v>0</v>
      </c>
      <c r="R179" s="1">
        <v>0</v>
      </c>
      <c r="S179" s="1">
        <f>0</f>
        <v>0</v>
      </c>
      <c r="T179" s="1">
        <f>0</f>
        <v>0</v>
      </c>
      <c r="U179" s="1"/>
      <c r="V179" s="1">
        <v>1</v>
      </c>
      <c r="W179" s="1">
        <v>0</v>
      </c>
      <c r="X179" s="1">
        <f>0</f>
        <v>0</v>
      </c>
      <c r="Y179" s="1">
        <f>0</f>
        <v>0</v>
      </c>
      <c r="Z179" s="1">
        <f>0</f>
        <v>0</v>
      </c>
      <c r="AA179" s="1"/>
      <c r="AB179" s="5"/>
      <c r="AC179" s="5"/>
      <c r="AD179" s="1">
        <f>0</f>
        <v>0</v>
      </c>
      <c r="AE179" s="1">
        <f>0</f>
        <v>0</v>
      </c>
      <c r="AF179" s="1">
        <f>0</f>
        <v>0</v>
      </c>
      <c r="AG179" s="1" t="e">
        <f>ABS(NETWORKDAYS.INTL("04/28/24", "08/05/24", 1, {"01/01/2024","01/15/2024","02/19/2024","05/27/2024","07/04/2024","09/02/2024","10/14/2024","11/11/2024","11/28/2024","12/25/2024","12/25/2024","12/26/2024","12/27/2024","12/28/2024","12/29/2024","12/30/2024","31/25/2024","01/01/2024","01/02/2024","01/03/2024","01/04/2024","01/05/2024"}))</f>
        <v>#VALUE!</v>
      </c>
      <c r="AH179" s="1">
        <f>0</f>
        <v>0</v>
      </c>
      <c r="AI179" s="1">
        <f>0</f>
        <v>0</v>
      </c>
      <c r="AJ179" s="1"/>
      <c r="AK179" s="1"/>
      <c r="AL179" s="1" t="b">
        <v>1</v>
      </c>
      <c r="AM179" s="1"/>
      <c r="AN179" s="1"/>
      <c r="AO179" s="1"/>
      <c r="AP179" s="1"/>
      <c r="AQ179" s="1"/>
      <c r="AR179" s="1"/>
      <c r="AS179" s="1"/>
      <c r="AT179" s="1"/>
      <c r="AU179" s="1"/>
      <c r="AV179" s="1"/>
      <c r="AW179" s="1"/>
      <c r="AX179" s="1"/>
      <c r="AY179" s="1"/>
      <c r="AZ179" s="1"/>
    </row>
    <row r="180" spans="1:52" ht="15" customHeight="1" x14ac:dyDescent="0.35">
      <c r="A180" s="1" t="s">
        <v>1064</v>
      </c>
      <c r="B180" s="1" t="s">
        <v>1065</v>
      </c>
      <c r="C180" s="1" t="s">
        <v>629</v>
      </c>
      <c r="D180" s="1" t="s">
        <v>1066</v>
      </c>
      <c r="E180" s="1" t="s">
        <v>1067</v>
      </c>
      <c r="F180" s="9" t="s">
        <v>1068</v>
      </c>
      <c r="G180" s="1" t="s">
        <v>406</v>
      </c>
      <c r="H1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0" s="11" t="e">
        <f>ABS(NETWORKDAYS.INTL("06/06/24", "07/12/24", 1, {"01/01/2024","01/15/2024","02/19/2024","05/27/2024","07/04/2024","09/02/2024","10/14/2024","11/11/2024","11/28/2024","12/25/2024","12/25/2024","12/26/2024","12/27/2024","12/28/2024","12/29/2024","12/30/2024","31/25/2024","01/01/2024","01/02/2024","01/03/2024","01/04/2024","01/05/2024"}))</f>
        <v>#VALUE!</v>
      </c>
      <c r="J180" s="1" t="e">
        <f>ABS(NETWORKDAYS.INTL("06/06/24", "07/10/24", 1, {"01/01/2024","01/15/2024","02/19/2024","05/27/2024","07/04/2024","09/02/2024","10/14/2024","11/11/2024","11/28/2024","12/25/2024","12/25/2024","12/26/2024","12/27/2024","12/28/2024","12/29/2024","12/30/2024","31/25/2024","01/01/2024","01/02/2024","01/03/2024","01/04/2024","01/05/2024"}))</f>
        <v>#VALUE!</v>
      </c>
      <c r="K180" s="1"/>
      <c r="L180" s="1">
        <v>0</v>
      </c>
      <c r="M180" s="1">
        <f>0</f>
        <v>0</v>
      </c>
      <c r="N180" s="1">
        <f>0</f>
        <v>0</v>
      </c>
      <c r="O180" s="1">
        <f>0</f>
        <v>0</v>
      </c>
      <c r="P180" s="1"/>
      <c r="Q180" s="1">
        <v>0</v>
      </c>
      <c r="R180" s="1">
        <v>0</v>
      </c>
      <c r="S180" s="1">
        <f>0</f>
        <v>0</v>
      </c>
      <c r="T180" s="1">
        <f>0</f>
        <v>0</v>
      </c>
      <c r="U180" s="1"/>
      <c r="V180" s="1">
        <v>1</v>
      </c>
      <c r="W180" s="1">
        <v>0</v>
      </c>
      <c r="X180" s="1">
        <f>0</f>
        <v>0</v>
      </c>
      <c r="Y180" s="1">
        <f>0</f>
        <v>0</v>
      </c>
      <c r="Z180" s="1">
        <f>0</f>
        <v>0</v>
      </c>
      <c r="AA180" s="1"/>
      <c r="AB180" s="5"/>
      <c r="AC180" s="5"/>
      <c r="AD180" s="1">
        <f>0</f>
        <v>0</v>
      </c>
      <c r="AE180" s="1">
        <f>0</f>
        <v>0</v>
      </c>
      <c r="AF180" s="1">
        <f>0</f>
        <v>0</v>
      </c>
      <c r="AG180" s="1" t="e">
        <f>ABS(NETWORKDAYS.INTL("07/12/24", "08/05/24", 1, {"01/01/2024","01/15/2024","02/19/2024","05/27/2024","07/04/2024","09/02/2024","10/14/2024","11/11/2024","11/28/2024","12/25/2024","12/25/2024","12/26/2024","12/27/2024","12/28/2024","12/29/2024","12/30/2024","31/25/2024","01/01/2024","01/02/2024","01/03/2024","01/04/2024","01/05/2024"}))</f>
        <v>#VALUE!</v>
      </c>
      <c r="AH180" s="1">
        <f>0</f>
        <v>0</v>
      </c>
      <c r="AI180" s="1">
        <f>0</f>
        <v>0</v>
      </c>
      <c r="AJ180" s="1"/>
      <c r="AK180" s="1"/>
      <c r="AL180" s="1" t="b">
        <v>1</v>
      </c>
      <c r="AM180" s="1"/>
      <c r="AN180" s="1"/>
      <c r="AO180" s="1"/>
      <c r="AP180" s="1"/>
      <c r="AQ180" s="1"/>
      <c r="AR180" s="1"/>
      <c r="AS180" s="1"/>
      <c r="AT180" s="1"/>
      <c r="AU180" s="1"/>
      <c r="AV180" s="1"/>
      <c r="AW180" s="1"/>
      <c r="AX180" s="1"/>
      <c r="AY180" s="1"/>
      <c r="AZ180" s="1"/>
    </row>
    <row r="181" spans="1:52" ht="15" customHeight="1" x14ac:dyDescent="0.35">
      <c r="A181" s="1" t="s">
        <v>1069</v>
      </c>
      <c r="B181" s="1" t="s">
        <v>1070</v>
      </c>
      <c r="C181" s="1" t="s">
        <v>601</v>
      </c>
      <c r="D181" s="1" t="s">
        <v>1052</v>
      </c>
      <c r="E181" s="1" t="s">
        <v>608</v>
      </c>
      <c r="F181" s="9" t="s">
        <v>1071</v>
      </c>
      <c r="G181" s="1" t="s">
        <v>406</v>
      </c>
      <c r="H1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1" s="11" t="e">
        <f>ABS(NETWORKDAYS.INTL("04/28/24", "04/28/24", 1, {"01/01/2024","01/15/2024","02/19/2024","05/27/2024","07/04/2024","09/02/2024","10/14/2024","11/11/2024","11/28/2024","12/25/2024","12/25/2024","12/26/2024","12/27/2024","12/28/2024","12/29/2024","12/30/2024","31/25/2024","01/01/2024","01/02/2024","01/03/2024","01/04/2024","01/05/2024"}))</f>
        <v>#VALUE!</v>
      </c>
      <c r="J181" s="1">
        <f>0</f>
        <v>0</v>
      </c>
      <c r="K181" s="1"/>
      <c r="L181" s="1">
        <v>1</v>
      </c>
      <c r="M181" s="1" t="e">
        <f>ABS(NETWORKDAYS.INTL("07/01/2024", "08/05/24", 1, {"01/01/2024","01/15/2024","02/19/2024","05/27/2024","07/04/2024","09/02/2024","10/14/2024","11/11/2024","11/28/2024","12/25/2024","12/25/2024","12/26/2024","12/27/2024","12/28/2024","12/29/2024","12/30/2024","31/25/2024","01/01/2024","01/02/2024","01/03/2024","01/04/2024","01/05/2024"}))</f>
        <v>#VALUE!</v>
      </c>
      <c r="N181" s="1">
        <f>0</f>
        <v>0</v>
      </c>
      <c r="O181" s="1">
        <f>0</f>
        <v>0</v>
      </c>
      <c r="P181" s="1"/>
      <c r="Q181" s="1">
        <v>0</v>
      </c>
      <c r="R181" s="1">
        <v>0</v>
      </c>
      <c r="S181" s="1">
        <f>0</f>
        <v>0</v>
      </c>
      <c r="T181" s="1">
        <f>0</f>
        <v>0</v>
      </c>
      <c r="U181" s="1"/>
      <c r="V181" s="1">
        <v>1</v>
      </c>
      <c r="W181" s="1">
        <v>1</v>
      </c>
      <c r="X181" s="1" t="e">
        <f>ABS(NETWORKDAYS.INTL("06/03/24", "06/03/24", 1, {"01/01/2024","01/15/2024","02/19/2024","05/27/2024","07/04/2024","09/02/2024","10/14/2024","11/11/2024","11/28/2024","12/25/2024","12/25/2024","12/26/2024","12/27/2024","12/28/2024","12/29/2024","12/30/2024","31/25/2024","01/01/2024","01/02/2024","01/03/2024","01/04/2024","01/05/2024"}))</f>
        <v>#VALUE!</v>
      </c>
      <c r="Y181" s="1">
        <f>0</f>
        <v>0</v>
      </c>
      <c r="Z181" s="1">
        <f>0</f>
        <v>0</v>
      </c>
      <c r="AA181" s="1"/>
      <c r="AB181" s="5">
        <v>45491</v>
      </c>
      <c r="AC181" s="5">
        <v>45491</v>
      </c>
      <c r="AD181" s="1" t="e">
        <f>ABS(NETWORKDAYS.INTL("07/01/2024", "04/28/24", 1, {"01/01/2024","01/15/2024","02/19/2024","05/27/2024","07/04/2024","09/02/2024","10/14/2024","11/11/2024","11/28/2024","12/25/2024","12/25/2024","12/26/2024","12/27/2024","12/28/2024","12/29/2024","12/30/2024","31/25/2024","01/01/2024","01/02/2024","01/03/2024","01/04/2024","01/05/2024"}))</f>
        <v>#VALUE!</v>
      </c>
      <c r="AE181" s="1">
        <f>0</f>
        <v>0</v>
      </c>
      <c r="AF181" s="1">
        <f>0</f>
        <v>0</v>
      </c>
      <c r="AG181" s="1" t="e">
        <f>ABS(NETWORKDAYS.INTL("04/28/24", "08/05/24", 1, {"01/01/2024","01/15/2024","02/19/2024","05/27/2024","07/04/2024","09/02/2024","10/14/2024","11/11/2024","11/28/2024","12/25/2024","12/25/2024","12/26/2024","12/27/2024","12/28/2024","12/29/2024","12/30/2024","31/25/2024","01/01/2024","01/02/2024","01/03/2024","01/04/2024","01/05/2024"}))</f>
        <v>#VALUE!</v>
      </c>
      <c r="AH181" s="1" t="e">
        <f>ABS(NETWORKDAYS.INTL("06/03/24", "04/28/24", 1, {"01/01/2024","01/15/2024","02/19/2024","05/27/2024","07/04/2024","09/02/2024","10/14/2024","11/11/2024","11/28/2024","12/25/2024","12/25/2024","12/26/2024","12/27/2024","12/28/2024","12/29/2024","12/30/2024","31/25/2024","01/01/2024","01/02/2024","01/03/2024","01/04/2024","01/05/2024"}))</f>
        <v>#VALUE!</v>
      </c>
      <c r="AI181" s="1" t="e">
        <f>ABS(NETWORKDAYS.INTL("07/18/2024", "07/18/2024", 1, {"01/01/2024","01/15/2024","02/19/2024","05/27/2024","07/04/2024","09/02/2024","10/14/2024","11/11/2024","11/28/2024","12/25/2024","12/25/2024","12/26/2024","12/27/2024","12/28/2024","12/29/2024","12/30/2024","31/25/2024","01/01/2024","01/02/2024","01/03/2024","01/04/2024","01/05/2024"}))</f>
        <v>#VALUE!</v>
      </c>
      <c r="AJ181" s="1"/>
      <c r="AK181" s="1"/>
      <c r="AL181" s="1" t="b">
        <v>1</v>
      </c>
      <c r="AM181" s="1"/>
      <c r="AN181" s="1"/>
      <c r="AO181" s="1"/>
      <c r="AP181" s="1"/>
      <c r="AQ181" s="1"/>
      <c r="AR181" s="1"/>
      <c r="AS181" s="1"/>
      <c r="AT181" s="1"/>
      <c r="AU181" s="1"/>
      <c r="AV181" s="1"/>
      <c r="AW181" s="1"/>
      <c r="AX181" s="1"/>
      <c r="AY181" s="1"/>
      <c r="AZ181" s="1"/>
    </row>
    <row r="182" spans="1:52" ht="15" customHeight="1" x14ac:dyDescent="0.35">
      <c r="A182" s="1" t="s">
        <v>1072</v>
      </c>
      <c r="B182" s="1" t="s">
        <v>1073</v>
      </c>
      <c r="C182" s="1" t="s">
        <v>601</v>
      </c>
      <c r="D182" s="1" t="s">
        <v>1074</v>
      </c>
      <c r="E182" s="1" t="s">
        <v>608</v>
      </c>
      <c r="F182" s="9" t="s">
        <v>1075</v>
      </c>
      <c r="G182" s="1" t="s">
        <v>406</v>
      </c>
      <c r="H1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2" s="11" t="e">
        <f>ABS(NETWORKDAYS.INTL("06/06/24", "07/09/2024", 1, {"01/01/2024","01/15/2024","02/19/2024","05/27/2024","07/04/2024","09/02/2024","10/14/2024","11/11/2024","11/28/2024","12/25/2024","12/25/2024","12/26/2024","12/27/2024","12/28/2024","12/29/2024","12/30/2024","31/25/2024","01/01/2024","01/02/2024","01/03/2024","01/04/2024","01/05/2024"}))</f>
        <v>#VALUE!</v>
      </c>
      <c r="J182" s="1" t="e">
        <f>ABS(NETWORKDAYS.INTL("06/06/24", "07/09/2024", 1, {"01/01/2024","01/15/2024","02/19/2024","05/27/2024","07/04/2024","09/02/2024","10/14/2024","11/11/2024","11/28/2024","12/25/2024","12/25/2024","12/26/2024","12/27/2024","12/28/2024","12/29/2024","12/30/2024","31/25/2024","01/01/2024","01/02/2024","01/03/2024","01/04/2024","01/05/2024"}))</f>
        <v>#VALUE!</v>
      </c>
      <c r="K182" s="1"/>
      <c r="L182" s="1">
        <v>0</v>
      </c>
      <c r="M182" s="1">
        <f>0</f>
        <v>0</v>
      </c>
      <c r="N182" s="1">
        <f>0</f>
        <v>0</v>
      </c>
      <c r="O182" s="1">
        <f>0</f>
        <v>0</v>
      </c>
      <c r="P182" s="1"/>
      <c r="Q182" s="1">
        <v>0</v>
      </c>
      <c r="R182" s="1">
        <v>0</v>
      </c>
      <c r="S182" s="1">
        <f>0</f>
        <v>0</v>
      </c>
      <c r="T182" s="1">
        <f>0</f>
        <v>0</v>
      </c>
      <c r="U182" s="1"/>
      <c r="V182" s="1">
        <v>1</v>
      </c>
      <c r="W182" s="1">
        <v>0</v>
      </c>
      <c r="X182" s="1">
        <f>0</f>
        <v>0</v>
      </c>
      <c r="Y182" s="1">
        <f>0</f>
        <v>0</v>
      </c>
      <c r="Z182" s="1">
        <f>0</f>
        <v>0</v>
      </c>
      <c r="AA182" s="1"/>
      <c r="AB182" s="5">
        <v>45482</v>
      </c>
      <c r="AC182" s="5"/>
      <c r="AD182" s="1">
        <f>0</f>
        <v>0</v>
      </c>
      <c r="AE182" s="1">
        <f>0</f>
        <v>0</v>
      </c>
      <c r="AF182" s="1">
        <f>0</f>
        <v>0</v>
      </c>
      <c r="AG182" s="1" t="e">
        <f>ABS(NETWORKDAYS.INTL("07/09/2024", "08/05/24", 1, {"01/01/2024","01/15/2024","02/19/2024","05/27/2024","07/04/2024","09/02/2024","10/14/2024","11/11/2024","11/28/2024","12/25/2024","12/25/2024","12/26/2024","12/27/2024","12/28/2024","12/29/2024","12/30/2024","31/25/2024","01/01/2024","01/02/2024","01/03/2024","01/04/2024","01/05/2024"}))</f>
        <v>#VALUE!</v>
      </c>
      <c r="AH182" s="1">
        <f>0</f>
        <v>0</v>
      </c>
      <c r="AI182" s="1">
        <f>0</f>
        <v>0</v>
      </c>
      <c r="AJ182" s="1"/>
      <c r="AK182" s="1"/>
      <c r="AL182" s="1" t="b">
        <v>1</v>
      </c>
      <c r="AM182" s="1"/>
      <c r="AN182" s="1"/>
      <c r="AO182" s="1"/>
      <c r="AP182" s="1"/>
      <c r="AQ182" s="1"/>
      <c r="AR182" s="1"/>
      <c r="AS182" s="1"/>
      <c r="AT182" s="1"/>
      <c r="AU182" s="1"/>
      <c r="AV182" s="1"/>
      <c r="AW182" s="1"/>
      <c r="AX182" s="1"/>
      <c r="AY182" s="1"/>
      <c r="AZ182" s="1"/>
    </row>
    <row r="183" spans="1:52" ht="15" customHeight="1" x14ac:dyDescent="0.35">
      <c r="A183" s="1" t="s">
        <v>1076</v>
      </c>
      <c r="B183" s="1" t="s">
        <v>1077</v>
      </c>
      <c r="C183" s="1" t="s">
        <v>601</v>
      </c>
      <c r="D183" s="1" t="s">
        <v>1078</v>
      </c>
      <c r="E183" s="1" t="s">
        <v>608</v>
      </c>
      <c r="F183" s="9" t="s">
        <v>1079</v>
      </c>
      <c r="G183" s="1" t="s">
        <v>406</v>
      </c>
      <c r="H1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3" s="11" t="e">
        <f>ABS(NETWORKDAYS.INTL("04/28/24", "04/28/24", 1, {"01/01/2024","01/15/2024","02/19/2024","05/27/2024","07/04/2024","09/02/2024","10/14/2024","11/11/2024","11/28/2024","12/25/2024","12/25/2024","12/26/2024","12/27/2024","12/28/2024","12/29/2024","12/30/2024","31/25/2024","01/01/2024","01/02/2024","01/03/2024","01/04/2024","01/05/2024"}))</f>
        <v>#VALUE!</v>
      </c>
      <c r="J183" s="1">
        <f>0</f>
        <v>0</v>
      </c>
      <c r="K183" s="1"/>
      <c r="L183" s="1">
        <v>0</v>
      </c>
      <c r="M183" s="1">
        <f>0</f>
        <v>0</v>
      </c>
      <c r="N183" s="1">
        <f>0</f>
        <v>0</v>
      </c>
      <c r="O183" s="1">
        <f>0</f>
        <v>0</v>
      </c>
      <c r="P183" s="1"/>
      <c r="Q183" s="1">
        <v>0</v>
      </c>
      <c r="R183" s="1">
        <v>0</v>
      </c>
      <c r="S183" s="1">
        <f>0</f>
        <v>0</v>
      </c>
      <c r="T183" s="1">
        <f>0</f>
        <v>0</v>
      </c>
      <c r="U183" s="1"/>
      <c r="V183" s="1">
        <v>0</v>
      </c>
      <c r="W183" s="1">
        <v>1</v>
      </c>
      <c r="X183" s="1" t="e">
        <f>ABS(NETWORKDAYS.INTL("06/03/24", "06/03/24", 1, {"01/01/2024","01/15/2024","02/19/2024","05/27/2024","07/04/2024","09/02/2024","10/14/2024","11/11/2024","11/28/2024","12/25/2024","12/25/2024","12/26/2024","12/27/2024","12/28/2024","12/29/2024","12/30/2024","31/25/2024","01/01/2024","01/02/2024","01/03/2024","01/04/2024","01/05/2024"}))</f>
        <v>#VALUE!</v>
      </c>
      <c r="Y183" s="1" t="e">
        <f>ABS(NETWORKDAYS.INTL("06/06/24", "07/10/2024", 1, {"01/01/2024","01/15/2024","02/19/2024","05/27/2024","07/04/2024","09/02/2024","10/14/2024","11/11/2024","11/28/2024","12/25/2024","12/25/2024","12/26/2024","12/27/2024","12/28/2024","12/29/2024","12/30/2024","31/25/2024","01/01/2024","01/02/2024","01/03/2024","01/04/2024","01/05/2024"}))</f>
        <v>#VALUE!</v>
      </c>
      <c r="Z183" s="1" t="e">
        <f>ABS(NETWORKDAYS.INTL("06/06/24", "07/10/2024", 1, {"01/01/2024","01/15/2024","02/19/2024","05/27/2024","07/04/2024","09/02/2024","10/14/2024","11/11/2024","11/28/2024","12/25/2024","12/25/2024","12/26/2024","12/27/2024","12/28/2024","12/29/2024","12/30/2024","31/25/2024","01/01/2024","01/02/2024","01/03/2024","01/04/2024","01/05/2024"}))</f>
        <v>#VALUE!</v>
      </c>
      <c r="AA183" s="1"/>
      <c r="AB183" s="5">
        <v>45483</v>
      </c>
      <c r="AC183" s="5"/>
      <c r="AD183" s="1">
        <f>0</f>
        <v>0</v>
      </c>
      <c r="AE183" s="1">
        <f>0</f>
        <v>0</v>
      </c>
      <c r="AF183" s="1">
        <f>0</f>
        <v>0</v>
      </c>
      <c r="AG183" s="1">
        <f>0</f>
        <v>0</v>
      </c>
      <c r="AH183" s="1" t="e">
        <f>ABS(NETWORKDAYS.INTL("06/03/24", "08/05/24", 1, {"01/01/2024","01/15/2024","02/19/2024","05/27/2024","07/04/2024","09/02/2024","10/14/2024","11/11/2024","11/28/2024","12/25/2024","12/25/2024","12/26/2024","12/27/2024","12/28/2024","12/29/2024","12/30/2024","31/25/2024","01/01/2024","01/02/2024","01/03/2024","01/04/2024","01/05/2024"}))</f>
        <v>#VALUE!</v>
      </c>
      <c r="AI183" s="1">
        <f>0</f>
        <v>0</v>
      </c>
      <c r="AJ183" s="1"/>
      <c r="AK183" s="1"/>
      <c r="AL183" s="1" t="b">
        <v>1</v>
      </c>
      <c r="AM183" s="1"/>
      <c r="AN183" s="1"/>
      <c r="AO183" s="1"/>
      <c r="AP183" s="1"/>
      <c r="AQ183" s="1"/>
      <c r="AR183" s="1"/>
      <c r="AS183" s="1"/>
      <c r="AT183" s="1"/>
      <c r="AU183" s="1"/>
      <c r="AV183" s="1"/>
      <c r="AW183" s="1"/>
      <c r="AX183" s="1"/>
      <c r="AY183" s="1"/>
      <c r="AZ183" s="1"/>
    </row>
    <row r="184" spans="1:52" ht="15" customHeight="1" x14ac:dyDescent="0.35">
      <c r="A184" s="1" t="s">
        <v>1080</v>
      </c>
      <c r="B184" s="1" t="s">
        <v>1081</v>
      </c>
      <c r="C184" s="1" t="s">
        <v>612</v>
      </c>
      <c r="D184" s="1" t="s">
        <v>1057</v>
      </c>
      <c r="E184" s="1" t="s">
        <v>1082</v>
      </c>
      <c r="F184" s="9" t="s">
        <v>1083</v>
      </c>
      <c r="G184" s="1" t="s">
        <v>406</v>
      </c>
      <c r="H1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4" s="11" t="e">
        <f>ABS(NETWORKDAYS.INTL("04/28/24", "04/28/24", 1, {"01/01/2024","01/15/2024","02/19/2024","05/27/2024","07/04/2024","09/02/2024","10/14/2024","11/11/2024","11/28/2024","12/25/2024","12/25/2024","12/26/2024","12/27/2024","12/28/2024","12/29/2024","12/30/2024","31/25/2024","01/01/2024","01/02/2024","01/03/2024","01/04/2024","01/05/2024"}))</f>
        <v>#VALUE!</v>
      </c>
      <c r="J184" s="1">
        <f>0</f>
        <v>0</v>
      </c>
      <c r="K184" s="1"/>
      <c r="L184" s="1">
        <v>0</v>
      </c>
      <c r="M184" s="1">
        <f>0</f>
        <v>0</v>
      </c>
      <c r="N184" s="1">
        <f>0</f>
        <v>0</v>
      </c>
      <c r="O184" s="1">
        <f>0</f>
        <v>0</v>
      </c>
      <c r="P184" s="1"/>
      <c r="Q184" s="1">
        <v>0</v>
      </c>
      <c r="R184" s="1">
        <v>0</v>
      </c>
      <c r="S184" s="1">
        <f>0</f>
        <v>0</v>
      </c>
      <c r="T184" s="1">
        <f>0</f>
        <v>0</v>
      </c>
      <c r="U184" s="1"/>
      <c r="V184" s="1">
        <v>1</v>
      </c>
      <c r="W184" s="1">
        <v>1</v>
      </c>
      <c r="X184" s="1" t="e">
        <f>ABS(NETWORKDAYS.INTL("06/03/24", "06/03/24", 1, {"01/01/2024","01/15/2024","02/19/2024","05/27/2024","07/04/2024","09/02/2024","10/14/2024","11/11/2024","11/28/2024","12/25/2024","12/25/2024","12/26/2024","12/27/2024","12/28/2024","12/29/2024","12/30/2024","31/25/2024","01/01/2024","01/02/2024","01/03/2024","01/04/2024","01/05/2024"}))</f>
        <v>#VALUE!</v>
      </c>
      <c r="Y184" s="1">
        <f>0</f>
        <v>0</v>
      </c>
      <c r="Z184" s="1">
        <f>0</f>
        <v>0</v>
      </c>
      <c r="AA184" s="1"/>
      <c r="AB184" s="5"/>
      <c r="AC184" s="5"/>
      <c r="AD184" s="1">
        <f>0</f>
        <v>0</v>
      </c>
      <c r="AE184" s="1">
        <f>0</f>
        <v>0</v>
      </c>
      <c r="AF184" s="1">
        <f>0</f>
        <v>0</v>
      </c>
      <c r="AG184" s="1" t="e">
        <f>ABS(NETWORKDAYS.INTL("04/28/24", "08/05/24", 1, {"01/01/2024","01/15/2024","02/19/2024","05/27/2024","07/04/2024","09/02/2024","10/14/2024","11/11/2024","11/28/2024","12/25/2024","12/25/2024","12/26/2024","12/27/2024","12/28/2024","12/29/2024","12/30/2024","31/25/2024","01/01/2024","01/02/2024","01/03/2024","01/04/2024","01/05/2024"}))</f>
        <v>#VALUE!</v>
      </c>
      <c r="AH184" s="1" t="e">
        <f>ABS(NETWORKDAYS.INTL("06/03/24", "04/28/24", 1, {"01/01/2024","01/15/2024","02/19/2024","05/27/2024","07/04/2024","09/02/2024","10/14/2024","11/11/2024","11/28/2024","12/25/2024","12/25/2024","12/26/2024","12/27/2024","12/28/2024","12/29/2024","12/30/2024","31/25/2024","01/01/2024","01/02/2024","01/03/2024","01/04/2024","01/05/2024"}))</f>
        <v>#VALUE!</v>
      </c>
      <c r="AI184" s="1">
        <f>0</f>
        <v>0</v>
      </c>
      <c r="AJ184" s="1"/>
      <c r="AK184" s="1"/>
      <c r="AL184" s="1" t="b">
        <v>1</v>
      </c>
      <c r="AM184" s="1"/>
      <c r="AN184" s="1"/>
      <c r="AO184" s="1"/>
      <c r="AP184" s="1"/>
      <c r="AQ184" s="1"/>
      <c r="AR184" s="1"/>
      <c r="AS184" s="1"/>
      <c r="AT184" s="1"/>
      <c r="AU184" s="1"/>
      <c r="AV184" s="1"/>
      <c r="AW184" s="1"/>
      <c r="AX184" s="1"/>
      <c r="AY184" s="1" t="b">
        <v>1</v>
      </c>
      <c r="AZ184" s="1"/>
    </row>
    <row r="185" spans="1:52" ht="15" customHeight="1" x14ac:dyDescent="0.35">
      <c r="A185" s="1" t="s">
        <v>1084</v>
      </c>
      <c r="B185" s="1" t="s">
        <v>453</v>
      </c>
      <c r="C185" s="1" t="s">
        <v>601</v>
      </c>
      <c r="D185" s="1" t="s">
        <v>1085</v>
      </c>
      <c r="E185" s="1" t="s">
        <v>1058</v>
      </c>
      <c r="F185" s="9" t="s">
        <v>1086</v>
      </c>
      <c r="G185" s="1" t="s">
        <v>406</v>
      </c>
      <c r="H1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85" s="11" t="e">
        <f>ABS(NETWORKDAYS.INTL("06/02/24", "08/05/24", 1, {"01/01/2024","01/15/2024","02/19/2024","05/27/2024","07/04/2024","09/02/2024","10/14/2024","11/11/2024","11/28/2024","12/25/2024","12/25/2024","12/26/2024","12/27/2024","12/28/2024","12/29/2024","12/30/2024","31/25/2024","01/01/2024","01/02/2024","01/03/2024","01/04/2024","01/05/2024"}))</f>
        <v>#VALUE!</v>
      </c>
      <c r="J185" s="1" t="e">
        <f>ABS(NETWORKDAYS.INTL("06/02/24", "08/05/24", 1, {"01/01/2024","01/15/2024","02/19/2024","05/27/2024","07/04/2024","09/02/2024","10/14/2024","11/11/2024","11/28/2024","12/25/2024","12/25/2024","12/26/2024","12/27/2024","12/28/2024","12/29/2024","12/30/2024","31/25/2024","01/01/2024","01/02/2024","01/03/2024","01/04/2024","01/05/2024"}))</f>
        <v>#VALUE!</v>
      </c>
      <c r="K185" s="1"/>
      <c r="L185" s="1">
        <v>0</v>
      </c>
      <c r="M185" s="1">
        <f>0</f>
        <v>0</v>
      </c>
      <c r="N185" s="1">
        <f>0</f>
        <v>0</v>
      </c>
      <c r="O185" s="1">
        <f>0</f>
        <v>0</v>
      </c>
      <c r="P185" s="1"/>
      <c r="Q185" s="1">
        <v>0</v>
      </c>
      <c r="R185" s="1">
        <v>0</v>
      </c>
      <c r="S185" s="1">
        <f>0</f>
        <v>0</v>
      </c>
      <c r="T185" s="1">
        <f>0</f>
        <v>0</v>
      </c>
      <c r="U185" s="1"/>
      <c r="V185" s="1">
        <v>0</v>
      </c>
      <c r="W185" s="1">
        <v>0</v>
      </c>
      <c r="X185" s="1">
        <f>0</f>
        <v>0</v>
      </c>
      <c r="Y185" s="1">
        <f>0</f>
        <v>0</v>
      </c>
      <c r="Z185" s="1">
        <f>0</f>
        <v>0</v>
      </c>
      <c r="AA185" s="1"/>
      <c r="AB185" s="5"/>
      <c r="AC185" s="5"/>
      <c r="AD185" s="1">
        <f>0</f>
        <v>0</v>
      </c>
      <c r="AE185" s="1">
        <f>0</f>
        <v>0</v>
      </c>
      <c r="AF185" s="1">
        <f>0</f>
        <v>0</v>
      </c>
      <c r="AG185" s="1">
        <f>0</f>
        <v>0</v>
      </c>
      <c r="AH185" s="1">
        <f>0</f>
        <v>0</v>
      </c>
      <c r="AI185" s="1">
        <f>0</f>
        <v>0</v>
      </c>
      <c r="AJ185" s="1"/>
      <c r="AK185" s="1"/>
      <c r="AL185" s="1" t="b">
        <v>1</v>
      </c>
      <c r="AM185" s="1"/>
      <c r="AN185" s="1"/>
      <c r="AO185" s="1"/>
      <c r="AP185" s="1"/>
      <c r="AQ185" s="1"/>
      <c r="AR185" s="1"/>
      <c r="AS185" s="1"/>
      <c r="AT185" s="1"/>
      <c r="AU185" s="1"/>
      <c r="AV185" s="1"/>
      <c r="AW185" s="1"/>
      <c r="AX185" s="1"/>
      <c r="AY185" s="1"/>
      <c r="AZ185" s="1"/>
    </row>
    <row r="186" spans="1:52" ht="15" customHeight="1" x14ac:dyDescent="0.35">
      <c r="A186" s="1" t="s">
        <v>1087</v>
      </c>
      <c r="B186" s="1" t="s">
        <v>1088</v>
      </c>
      <c r="C186" s="1" t="s">
        <v>612</v>
      </c>
      <c r="D186" s="1" t="s">
        <v>1057</v>
      </c>
      <c r="E186" s="1" t="s">
        <v>1067</v>
      </c>
      <c r="F186" s="9" t="s">
        <v>1089</v>
      </c>
      <c r="G186" s="1" t="s">
        <v>406</v>
      </c>
      <c r="H1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6" s="11" t="e">
        <f>ABS(NETWORKDAYS.INTL("04/28/24", "04/28/24", 1, {"01/01/2024","01/15/2024","02/19/2024","05/27/2024","07/04/2024","09/02/2024","10/14/2024","11/11/2024","11/28/2024","12/25/2024","12/25/2024","12/26/2024","12/27/2024","12/28/2024","12/29/2024","12/30/2024","31/25/2024","01/01/2024","01/02/2024","01/03/2024","01/04/2024","01/05/2024"}))</f>
        <v>#VALUE!</v>
      </c>
      <c r="J186" s="1">
        <f>0</f>
        <v>0</v>
      </c>
      <c r="K186" s="1"/>
      <c r="L186" s="1">
        <v>0</v>
      </c>
      <c r="M186" s="1">
        <f>0</f>
        <v>0</v>
      </c>
      <c r="N186" s="1">
        <f>0</f>
        <v>0</v>
      </c>
      <c r="O186" s="1">
        <f>0</f>
        <v>0</v>
      </c>
      <c r="P186" s="1"/>
      <c r="Q186" s="1">
        <v>0</v>
      </c>
      <c r="R186" s="1">
        <v>0</v>
      </c>
      <c r="S186" s="1">
        <f>0</f>
        <v>0</v>
      </c>
      <c r="T186" s="1">
        <f>0</f>
        <v>0</v>
      </c>
      <c r="U186" s="1"/>
      <c r="V186" s="1">
        <v>1</v>
      </c>
      <c r="W186" s="1">
        <v>1</v>
      </c>
      <c r="X186" s="1" t="e">
        <f>ABS(NETWORKDAYS.INTL("06/03/24", "08/05/24", 1, {"01/01/2024","01/15/2024","02/19/2024","05/27/2024","07/04/2024","09/02/2024","10/14/2024","11/11/2024","11/28/2024","12/25/2024","12/25/2024","12/26/2024","12/27/2024","12/28/2024","12/29/2024","12/30/2024","31/25/2024","01/01/2024","01/02/2024","01/03/2024","01/04/2024","01/05/2024"}))</f>
        <v>#VALUE!</v>
      </c>
      <c r="Y186" s="1">
        <f>0</f>
        <v>0</v>
      </c>
      <c r="Z186" s="1">
        <f>0</f>
        <v>0</v>
      </c>
      <c r="AA186" s="1"/>
      <c r="AB186" s="5"/>
      <c r="AC186" s="5"/>
      <c r="AD186" s="1">
        <f>0</f>
        <v>0</v>
      </c>
      <c r="AE186" s="1">
        <f>0</f>
        <v>0</v>
      </c>
      <c r="AF186" s="1">
        <f>0</f>
        <v>0</v>
      </c>
      <c r="AG186" s="1" t="e">
        <f>ABS(NETWORKDAYS.INTL("04/28/24", "08/05/24", 1, {"01/01/2024","01/15/2024","02/19/2024","05/27/2024","07/04/2024","09/02/2024","10/14/2024","11/11/2024","11/28/2024","12/25/2024","12/25/2024","12/26/2024","12/27/2024","12/28/2024","12/29/2024","12/30/2024","31/25/2024","01/01/2024","01/02/2024","01/03/2024","01/04/2024","01/05/2024"}))</f>
        <v>#VALUE!</v>
      </c>
      <c r="AH186" s="1" t="e">
        <f>ABS(NETWORKDAYS.INTL("06/03/24", "04/28/24", 1, {"01/01/2024","01/15/2024","02/19/2024","05/27/2024","07/04/2024","09/02/2024","10/14/2024","11/11/2024","11/28/2024","12/25/2024","12/25/2024","12/26/2024","12/27/2024","12/28/2024","12/29/2024","12/30/2024","31/25/2024","01/01/2024","01/02/2024","01/03/2024","01/04/2024","01/05/2024"}))</f>
        <v>#VALUE!</v>
      </c>
      <c r="AI186" s="1">
        <f>0</f>
        <v>0</v>
      </c>
      <c r="AJ186" s="1"/>
      <c r="AK186" s="1"/>
      <c r="AL186" s="1" t="b">
        <v>1</v>
      </c>
      <c r="AM186" s="1"/>
      <c r="AN186" s="1"/>
      <c r="AO186" s="1"/>
      <c r="AP186" s="1"/>
      <c r="AQ186" s="1"/>
      <c r="AR186" s="1"/>
      <c r="AS186" s="1"/>
      <c r="AT186" s="1"/>
      <c r="AU186" s="1"/>
      <c r="AV186" s="1"/>
      <c r="AW186" s="1"/>
      <c r="AX186" s="1"/>
      <c r="AY186" s="1"/>
      <c r="AZ186" s="1"/>
    </row>
    <row r="187" spans="1:52" ht="15" customHeight="1" x14ac:dyDescent="0.35">
      <c r="A187" s="1" t="s">
        <v>1090</v>
      </c>
      <c r="B187" s="1" t="s">
        <v>1091</v>
      </c>
      <c r="C187" s="1" t="s">
        <v>612</v>
      </c>
      <c r="D187" s="1" t="s">
        <v>1057</v>
      </c>
      <c r="E187" s="1" t="s">
        <v>1067</v>
      </c>
      <c r="F187" s="9" t="s">
        <v>1089</v>
      </c>
      <c r="G187" s="1" t="s">
        <v>406</v>
      </c>
      <c r="H1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7" s="11" t="e">
        <f>ABS(NETWORKDAYS.INTL("04/28/24", "04/28/24", 1, {"01/01/2024","01/15/2024","02/19/2024","05/27/2024","07/04/2024","09/02/2024","10/14/2024","11/11/2024","11/28/2024","12/25/2024","12/25/2024","12/26/2024","12/27/2024","12/28/2024","12/29/2024","12/30/2024","31/25/2024","01/01/2024","01/02/2024","01/03/2024","01/04/2024","01/05/2024"}))</f>
        <v>#VALUE!</v>
      </c>
      <c r="J187" s="1">
        <f>0</f>
        <v>0</v>
      </c>
      <c r="K187" s="1"/>
      <c r="L187" s="1">
        <v>0</v>
      </c>
      <c r="M187" s="1">
        <f>0</f>
        <v>0</v>
      </c>
      <c r="N187" s="1">
        <f>0</f>
        <v>0</v>
      </c>
      <c r="O187" s="1">
        <f>0</f>
        <v>0</v>
      </c>
      <c r="P187" s="1"/>
      <c r="Q187" s="1">
        <v>0</v>
      </c>
      <c r="R187" s="1">
        <v>0</v>
      </c>
      <c r="S187" s="1">
        <f>0</f>
        <v>0</v>
      </c>
      <c r="T187" s="1">
        <f>0</f>
        <v>0</v>
      </c>
      <c r="U187" s="1"/>
      <c r="V187" s="1">
        <v>1</v>
      </c>
      <c r="W187" s="1">
        <v>1</v>
      </c>
      <c r="X187" s="1" t="e">
        <f>ABS(NETWORKDAYS.INTL("06/03/24", "08/05/24", 1, {"01/01/2024","01/15/2024","02/19/2024","05/27/2024","07/04/2024","09/02/2024","10/14/2024","11/11/2024","11/28/2024","12/25/2024","12/25/2024","12/26/2024","12/27/2024","12/28/2024","12/29/2024","12/30/2024","31/25/2024","01/01/2024","01/02/2024","01/03/2024","01/04/2024","01/05/2024"}))</f>
        <v>#VALUE!</v>
      </c>
      <c r="Y187" s="1">
        <f>0</f>
        <v>0</v>
      </c>
      <c r="Z187" s="1">
        <f>0</f>
        <v>0</v>
      </c>
      <c r="AA187" s="1"/>
      <c r="AB187" s="5"/>
      <c r="AC187" s="5"/>
      <c r="AD187" s="1">
        <f>0</f>
        <v>0</v>
      </c>
      <c r="AE187" s="1">
        <f>0</f>
        <v>0</v>
      </c>
      <c r="AF187" s="1">
        <f>0</f>
        <v>0</v>
      </c>
      <c r="AG187" s="1" t="e">
        <f>ABS(NETWORKDAYS.INTL("04/28/24", "08/05/24", 1, {"01/01/2024","01/15/2024","02/19/2024","05/27/2024","07/04/2024","09/02/2024","10/14/2024","11/11/2024","11/28/2024","12/25/2024","12/25/2024","12/26/2024","12/27/2024","12/28/2024","12/29/2024","12/30/2024","31/25/2024","01/01/2024","01/02/2024","01/03/2024","01/04/2024","01/05/2024"}))</f>
        <v>#VALUE!</v>
      </c>
      <c r="AH187" s="1" t="e">
        <f>ABS(NETWORKDAYS.INTL("06/03/24", "04/28/24", 1, {"01/01/2024","01/15/2024","02/19/2024","05/27/2024","07/04/2024","09/02/2024","10/14/2024","11/11/2024","11/28/2024","12/25/2024","12/25/2024","12/26/2024","12/27/2024","12/28/2024","12/29/2024","12/30/2024","31/25/2024","01/01/2024","01/02/2024","01/03/2024","01/04/2024","01/05/2024"}))</f>
        <v>#VALUE!</v>
      </c>
      <c r="AI187" s="1">
        <f>0</f>
        <v>0</v>
      </c>
      <c r="AJ187" s="1"/>
      <c r="AK187" s="1"/>
      <c r="AL187" s="1" t="b">
        <v>1</v>
      </c>
      <c r="AM187" s="1"/>
      <c r="AN187" s="1"/>
      <c r="AO187" s="1"/>
      <c r="AP187" s="1"/>
      <c r="AQ187" s="1"/>
      <c r="AR187" s="1"/>
      <c r="AS187" s="1"/>
      <c r="AT187" s="1"/>
      <c r="AU187" s="1"/>
      <c r="AV187" s="1"/>
      <c r="AW187" s="1"/>
      <c r="AX187" s="1"/>
      <c r="AY187" s="1"/>
      <c r="AZ187" s="1"/>
    </row>
    <row r="188" spans="1:52" ht="15" customHeight="1" x14ac:dyDescent="0.35">
      <c r="A188" s="1" t="s">
        <v>1092</v>
      </c>
      <c r="B188" s="1" t="s">
        <v>1093</v>
      </c>
      <c r="C188" s="1" t="s">
        <v>612</v>
      </c>
      <c r="D188" s="1" t="s">
        <v>1057</v>
      </c>
      <c r="E188" s="1" t="s">
        <v>1067</v>
      </c>
      <c r="F188" s="9" t="s">
        <v>1089</v>
      </c>
      <c r="G188" s="1" t="s">
        <v>406</v>
      </c>
      <c r="H1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8" s="11" t="e">
        <f>ABS(NETWORKDAYS.INTL("04/28/24", "04/28/24", 1, {"01/01/2024","01/15/2024","02/19/2024","05/27/2024","07/04/2024","09/02/2024","10/14/2024","11/11/2024","11/28/2024","12/25/2024","12/25/2024","12/26/2024","12/27/2024","12/28/2024","12/29/2024","12/30/2024","31/25/2024","01/01/2024","01/02/2024","01/03/2024","01/04/2024","01/05/2024"}))</f>
        <v>#VALUE!</v>
      </c>
      <c r="J188" s="1">
        <f>0</f>
        <v>0</v>
      </c>
      <c r="K188" s="1"/>
      <c r="L188" s="1">
        <v>0</v>
      </c>
      <c r="M188" s="1">
        <f>0</f>
        <v>0</v>
      </c>
      <c r="N188" s="1">
        <f>0</f>
        <v>0</v>
      </c>
      <c r="O188" s="1">
        <f>0</f>
        <v>0</v>
      </c>
      <c r="P188" s="1"/>
      <c r="Q188" s="1">
        <v>0</v>
      </c>
      <c r="R188" s="1">
        <v>0</v>
      </c>
      <c r="S188" s="1">
        <f>0</f>
        <v>0</v>
      </c>
      <c r="T188" s="1">
        <f>0</f>
        <v>0</v>
      </c>
      <c r="U188" s="1"/>
      <c r="V188" s="1">
        <v>1</v>
      </c>
      <c r="W188" s="1">
        <v>1</v>
      </c>
      <c r="X188" s="1" t="e">
        <f>ABS(NETWORKDAYS.INTL("06/03/24", "08/05/24", 1, {"01/01/2024","01/15/2024","02/19/2024","05/27/2024","07/04/2024","09/02/2024","10/14/2024","11/11/2024","11/28/2024","12/25/2024","12/25/2024","12/26/2024","12/27/2024","12/28/2024","12/29/2024","12/30/2024","31/25/2024","01/01/2024","01/02/2024","01/03/2024","01/04/2024","01/05/2024"}))</f>
        <v>#VALUE!</v>
      </c>
      <c r="Y188" s="1">
        <f>0</f>
        <v>0</v>
      </c>
      <c r="Z188" s="1">
        <f>0</f>
        <v>0</v>
      </c>
      <c r="AA188" s="1"/>
      <c r="AB188" s="5"/>
      <c r="AC188" s="5"/>
      <c r="AD188" s="1">
        <f>0</f>
        <v>0</v>
      </c>
      <c r="AE188" s="1">
        <f>0</f>
        <v>0</v>
      </c>
      <c r="AF188" s="1">
        <f>0</f>
        <v>0</v>
      </c>
      <c r="AG188" s="1" t="e">
        <f>ABS(NETWORKDAYS.INTL("04/28/24", "08/05/24", 1, {"01/01/2024","01/15/2024","02/19/2024","05/27/2024","07/04/2024","09/02/2024","10/14/2024","11/11/2024","11/28/2024","12/25/2024","12/25/2024","12/26/2024","12/27/2024","12/28/2024","12/29/2024","12/30/2024","31/25/2024","01/01/2024","01/02/2024","01/03/2024","01/04/2024","01/05/2024"}))</f>
        <v>#VALUE!</v>
      </c>
      <c r="AH188" s="1" t="e">
        <f>ABS(NETWORKDAYS.INTL("06/03/24", "04/28/24", 1, {"01/01/2024","01/15/2024","02/19/2024","05/27/2024","07/04/2024","09/02/2024","10/14/2024","11/11/2024","11/28/2024","12/25/2024","12/25/2024","12/26/2024","12/27/2024","12/28/2024","12/29/2024","12/30/2024","31/25/2024","01/01/2024","01/02/2024","01/03/2024","01/04/2024","01/05/2024"}))</f>
        <v>#VALUE!</v>
      </c>
      <c r="AI188" s="1">
        <f>0</f>
        <v>0</v>
      </c>
      <c r="AJ188" s="1"/>
      <c r="AK188" s="1"/>
      <c r="AL188" s="1" t="b">
        <v>1</v>
      </c>
      <c r="AM188" s="1"/>
      <c r="AN188" s="1"/>
      <c r="AO188" s="1"/>
      <c r="AP188" s="1"/>
      <c r="AQ188" s="1"/>
      <c r="AR188" s="1"/>
      <c r="AS188" s="1"/>
      <c r="AT188" s="1"/>
      <c r="AU188" s="1"/>
      <c r="AV188" s="1"/>
      <c r="AW188" s="1"/>
      <c r="AX188" s="1"/>
      <c r="AY188" s="1"/>
      <c r="AZ188" s="1"/>
    </row>
    <row r="189" spans="1:52" ht="15" customHeight="1" x14ac:dyDescent="0.35">
      <c r="A189" s="1" t="s">
        <v>1094</v>
      </c>
      <c r="B189" s="1" t="s">
        <v>1095</v>
      </c>
      <c r="C189" s="1" t="s">
        <v>612</v>
      </c>
      <c r="D189" s="1" t="s">
        <v>1057</v>
      </c>
      <c r="E189" s="1" t="s">
        <v>1067</v>
      </c>
      <c r="F189" s="9" t="s">
        <v>1096</v>
      </c>
      <c r="G189" s="1" t="s">
        <v>406</v>
      </c>
      <c r="H1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89" s="11" t="e">
        <f>ABS(NETWORKDAYS.INTL("04/28/24", "04/28/24", 1, {"01/01/2024","01/15/2024","02/19/2024","05/27/2024","07/04/2024","09/02/2024","10/14/2024","11/11/2024","11/28/2024","12/25/2024","12/25/2024","12/26/2024","12/27/2024","12/28/2024","12/29/2024","12/30/2024","31/25/2024","01/01/2024","01/02/2024","01/03/2024","01/04/2024","01/05/2024"}))</f>
        <v>#VALUE!</v>
      </c>
      <c r="J189" s="1">
        <f>0</f>
        <v>0</v>
      </c>
      <c r="K189" s="1"/>
      <c r="L189" s="1">
        <v>0</v>
      </c>
      <c r="M189" s="1">
        <f>0</f>
        <v>0</v>
      </c>
      <c r="N189" s="1">
        <f>0</f>
        <v>0</v>
      </c>
      <c r="O189" s="1">
        <f>0</f>
        <v>0</v>
      </c>
      <c r="P189" s="1"/>
      <c r="Q189" s="1">
        <v>0</v>
      </c>
      <c r="R189" s="1">
        <v>0</v>
      </c>
      <c r="S189" s="1">
        <f>0</f>
        <v>0</v>
      </c>
      <c r="T189" s="1">
        <f>0</f>
        <v>0</v>
      </c>
      <c r="U189" s="1"/>
      <c r="V189" s="1">
        <v>0</v>
      </c>
      <c r="W189" s="1">
        <v>1</v>
      </c>
      <c r="X189" s="1" t="e">
        <f>ABS(NETWORKDAYS.INTL("06/03/24", "08/05/24", 1, {"01/01/2024","01/15/2024","02/19/2024","05/27/2024","07/04/2024","09/02/2024","10/14/2024","11/11/2024","11/28/2024","12/25/2024","12/25/2024","12/26/2024","12/27/2024","12/28/2024","12/29/2024","12/30/2024","31/25/2024","01/01/2024","01/02/2024","01/03/2024","01/04/2024","01/05/2024"}))</f>
        <v>#VALUE!</v>
      </c>
      <c r="Y189" s="1">
        <f>0</f>
        <v>0</v>
      </c>
      <c r="Z189" s="1">
        <f>0</f>
        <v>0</v>
      </c>
      <c r="AA189" s="1"/>
      <c r="AB189" s="5"/>
      <c r="AC189" s="5"/>
      <c r="AD189" s="1">
        <f>0</f>
        <v>0</v>
      </c>
      <c r="AE189" s="1">
        <f>0</f>
        <v>0</v>
      </c>
      <c r="AF189" s="1">
        <f>0</f>
        <v>0</v>
      </c>
      <c r="AG189" s="1">
        <f>0</f>
        <v>0</v>
      </c>
      <c r="AH189" s="1" t="e">
        <f>ABS(NETWORKDAYS.INTL("06/03/24", "08/05/24", 1, {"01/01/2024","01/15/2024","02/19/2024","05/27/2024","07/04/2024","09/02/2024","10/14/2024","11/11/2024","11/28/2024","12/25/2024","12/25/2024","12/26/2024","12/27/2024","12/28/2024","12/29/2024","12/30/2024","31/25/2024","01/01/2024","01/02/2024","01/03/2024","01/04/2024","01/05/2024"}))</f>
        <v>#VALUE!</v>
      </c>
      <c r="AI189" s="1">
        <f>0</f>
        <v>0</v>
      </c>
      <c r="AJ189" s="1"/>
      <c r="AK189" s="1"/>
      <c r="AL189" s="1" t="b">
        <v>1</v>
      </c>
      <c r="AM189" s="1"/>
      <c r="AN189" s="1"/>
      <c r="AO189" s="1"/>
      <c r="AP189" s="1"/>
      <c r="AQ189" s="1"/>
      <c r="AR189" s="1"/>
      <c r="AS189" s="1"/>
      <c r="AT189" s="1"/>
      <c r="AU189" s="1"/>
      <c r="AV189" s="1"/>
      <c r="AW189" s="1"/>
      <c r="AX189" s="1"/>
      <c r="AY189" s="1"/>
      <c r="AZ189" s="1"/>
    </row>
    <row r="190" spans="1:52" ht="15" customHeight="1" x14ac:dyDescent="0.35">
      <c r="A190" s="1" t="s">
        <v>1097</v>
      </c>
      <c r="B190" s="1" t="s">
        <v>1098</v>
      </c>
      <c r="C190" s="1" t="s">
        <v>601</v>
      </c>
      <c r="D190" s="1" t="s">
        <v>1052</v>
      </c>
      <c r="E190" s="1" t="s">
        <v>608</v>
      </c>
      <c r="F190" s="9" t="s">
        <v>1099</v>
      </c>
      <c r="G190" s="1" t="s">
        <v>406</v>
      </c>
      <c r="H1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0" s="11" t="e">
        <f>ABS(NETWORKDAYS.INTL("04/28/24", "04/28/24", 1, {"01/01/2024","01/15/2024","02/19/2024","05/27/2024","07/04/2024","09/02/2024","10/14/2024","11/11/2024","11/28/2024","12/25/2024","12/25/2024","12/26/2024","12/27/2024","12/28/2024","12/29/2024","12/30/2024","31/25/2024","01/01/2024","01/02/2024","01/03/2024","01/04/2024","01/05/2024"}))</f>
        <v>#VALUE!</v>
      </c>
      <c r="J190" s="1">
        <f>0</f>
        <v>0</v>
      </c>
      <c r="K190" s="1"/>
      <c r="L190" s="1">
        <v>1</v>
      </c>
      <c r="M190" s="1" t="e">
        <f>ABS(NETWORKDAYS.INTL("07/01/2024", "07/01/2024", 1, {"01/01/2024","01/15/2024","02/19/2024","05/27/2024","07/04/2024","09/02/2024","10/14/2024","11/11/2024","11/28/2024","12/25/2024","12/25/2024","12/26/2024","12/27/2024","12/28/2024","12/29/2024","12/30/2024","31/25/2024","01/01/2024","01/02/2024","01/03/2024","01/04/2024","01/05/2024"}))</f>
        <v>#VALUE!</v>
      </c>
      <c r="N190" s="1">
        <f>0</f>
        <v>0</v>
      </c>
      <c r="O190" s="1">
        <f>0</f>
        <v>0</v>
      </c>
      <c r="P190" s="1"/>
      <c r="Q190" s="1">
        <v>0</v>
      </c>
      <c r="R190" s="1">
        <v>0</v>
      </c>
      <c r="S190" s="1">
        <f>0</f>
        <v>0</v>
      </c>
      <c r="T190" s="1">
        <f>0</f>
        <v>0</v>
      </c>
      <c r="U190" s="1"/>
      <c r="V190" s="1">
        <v>1</v>
      </c>
      <c r="W190" s="1">
        <v>1</v>
      </c>
      <c r="X190" s="1" t="e">
        <f>ABS(NETWORKDAYS.INTL("06/03/24", "06/03/24", 1, {"01/01/2024","01/15/2024","02/19/2024","05/27/2024","07/04/2024","09/02/2024","10/14/2024","11/11/2024","11/28/2024","12/25/2024","12/25/2024","12/26/2024","12/27/2024","12/28/2024","12/29/2024","12/30/2024","31/25/2024","01/01/2024","01/02/2024","01/03/2024","01/04/2024","01/05/2024"}))</f>
        <v>#VALUE!</v>
      </c>
      <c r="Y190" s="1">
        <f>0</f>
        <v>0</v>
      </c>
      <c r="Z190" s="1">
        <f>0</f>
        <v>0</v>
      </c>
      <c r="AA190" s="1"/>
      <c r="AB190" s="5">
        <v>45474</v>
      </c>
      <c r="AC190" s="5">
        <v>45491</v>
      </c>
      <c r="AD190" s="1" t="e">
        <f>ABS(NETWORKDAYS.INTL("07/01/2024", "04/28/24", 1, {"01/01/2024","01/15/2024","02/19/2024","05/27/2024","07/04/2024","09/02/2024","10/14/2024","11/11/2024","11/28/2024","12/25/2024","12/25/2024","12/26/2024","12/27/2024","12/28/2024","12/29/2024","12/30/2024","31/25/2024","01/01/2024","01/02/2024","01/03/2024","01/04/2024","01/05/2024"}))</f>
        <v>#VALUE!</v>
      </c>
      <c r="AE190" s="1">
        <f>0</f>
        <v>0</v>
      </c>
      <c r="AF190" s="1">
        <f>0</f>
        <v>0</v>
      </c>
      <c r="AG190" s="1" t="e">
        <f>ABS(NETWORKDAYS.INTL("04/28/24", "08/05/24", 1, {"01/01/2024","01/15/2024","02/19/2024","05/27/2024","07/04/2024","09/02/2024","10/14/2024","11/11/2024","11/28/2024","12/25/2024","12/25/2024","12/26/2024","12/27/2024","12/28/2024","12/29/2024","12/30/2024","31/25/2024","01/01/2024","01/02/2024","01/03/2024","01/04/2024","01/05/2024"}))</f>
        <v>#VALUE!</v>
      </c>
      <c r="AH190" s="1" t="e">
        <f>ABS(NETWORKDAYS.INTL("06/03/24", "04/28/24", 1, {"01/01/2024","01/15/2024","02/19/2024","05/27/2024","07/04/2024","09/02/2024","10/14/2024","11/11/2024","11/28/2024","12/25/2024","12/25/2024","12/26/2024","12/27/2024","12/28/2024","12/29/2024","12/30/2024","31/25/2024","01/01/2024","01/02/2024","01/03/2024","01/04/2024","01/05/2024"}))</f>
        <v>#VALUE!</v>
      </c>
      <c r="AI190" s="1" t="e">
        <f>ABS(NETWORKDAYS.INTL("07/18/2024", "07/01/2024", 1, {"01/01/2024","01/15/2024","02/19/2024","05/27/2024","07/04/2024","09/02/2024","10/14/2024","11/11/2024","11/28/2024","12/25/2024","12/25/2024","12/26/2024","12/27/2024","12/28/2024","12/29/2024","12/30/2024","31/25/2024","01/01/2024","01/02/2024","01/03/2024","01/04/2024","01/05/2024"}))</f>
        <v>#VALUE!</v>
      </c>
      <c r="AJ190" s="1"/>
      <c r="AK190" s="1"/>
      <c r="AL190" s="1" t="b">
        <v>1</v>
      </c>
      <c r="AM190" s="1"/>
      <c r="AN190" s="1"/>
      <c r="AO190" s="1"/>
      <c r="AP190" s="1"/>
      <c r="AQ190" s="1"/>
      <c r="AR190" s="1"/>
      <c r="AS190" s="1"/>
      <c r="AT190" s="1"/>
      <c r="AU190" s="1"/>
      <c r="AV190" s="1"/>
      <c r="AW190" s="1"/>
      <c r="AX190" s="1"/>
      <c r="AY190" s="1"/>
      <c r="AZ190" s="1"/>
    </row>
    <row r="191" spans="1:52" ht="15" customHeight="1" x14ac:dyDescent="0.35">
      <c r="A191" s="1" t="s">
        <v>1100</v>
      </c>
      <c r="B191" s="1" t="s">
        <v>1101</v>
      </c>
      <c r="C191" s="1" t="s">
        <v>601</v>
      </c>
      <c r="D191" s="1" t="s">
        <v>1057</v>
      </c>
      <c r="E191" s="1" t="s">
        <v>1102</v>
      </c>
      <c r="F191" s="9" t="s">
        <v>1103</v>
      </c>
      <c r="G191" s="1" t="s">
        <v>406</v>
      </c>
      <c r="H1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1" s="11" t="e">
        <f>ABS(NETWORKDAYS.INTL("04/28/24", "04/28/24", 1, {"01/01/2024","01/15/2024","02/19/2024","05/27/2024","07/04/2024","09/02/2024","10/14/2024","11/11/2024","11/28/2024","12/25/2024","12/25/2024","12/26/2024","12/27/2024","12/28/2024","12/29/2024","12/30/2024","31/25/2024","01/01/2024","01/02/2024","01/03/2024","01/04/2024","01/05/2024"}))</f>
        <v>#VALUE!</v>
      </c>
      <c r="J191" s="1">
        <f>0</f>
        <v>0</v>
      </c>
      <c r="K191" s="1"/>
      <c r="L191" s="1">
        <v>0</v>
      </c>
      <c r="M191" s="1">
        <f>0</f>
        <v>0</v>
      </c>
      <c r="N191" s="1">
        <f>0</f>
        <v>0</v>
      </c>
      <c r="O191" s="1">
        <f>0</f>
        <v>0</v>
      </c>
      <c r="P191" s="1"/>
      <c r="Q191" s="1">
        <v>0</v>
      </c>
      <c r="R191" s="1">
        <v>0</v>
      </c>
      <c r="S191" s="1">
        <f>0</f>
        <v>0</v>
      </c>
      <c r="T191" s="1">
        <f>0</f>
        <v>0</v>
      </c>
      <c r="U191" s="1"/>
      <c r="V191" s="1">
        <v>1</v>
      </c>
      <c r="W191" s="1">
        <v>1</v>
      </c>
      <c r="X191" s="1" t="e">
        <f>ABS(NETWORKDAYS.INTL("06/03/24", "06/03/24", 1, {"01/01/2024","01/15/2024","02/19/2024","05/27/2024","07/04/2024","09/02/2024","10/14/2024","11/11/2024","11/28/2024","12/25/2024","12/25/2024","12/26/2024","12/27/2024","12/28/2024","12/29/2024","12/30/2024","31/25/2024","01/01/2024","01/02/2024","01/03/2024","01/04/2024","01/05/2024"}))</f>
        <v>#VALUE!</v>
      </c>
      <c r="Y191" s="1">
        <f>0</f>
        <v>0</v>
      </c>
      <c r="Z191" s="1">
        <f>0</f>
        <v>0</v>
      </c>
      <c r="AA191" s="1"/>
      <c r="AB191" s="5">
        <v>45446</v>
      </c>
      <c r="AC191" s="5"/>
      <c r="AD191" s="1">
        <f>0</f>
        <v>0</v>
      </c>
      <c r="AE191" s="1">
        <f>0</f>
        <v>0</v>
      </c>
      <c r="AF191" s="1">
        <f>0</f>
        <v>0</v>
      </c>
      <c r="AG191" s="1" t="e">
        <f>ABS(NETWORKDAYS.INTL("04/28/24", "08/05/24", 1, {"01/01/2024","01/15/2024","02/19/2024","05/27/2024","07/04/2024","09/02/2024","10/14/2024","11/11/2024","11/28/2024","12/25/2024","12/25/2024","12/26/2024","12/27/2024","12/28/2024","12/29/2024","12/30/2024","31/25/2024","01/01/2024","01/02/2024","01/03/2024","01/04/2024","01/05/2024"}))</f>
        <v>#VALUE!</v>
      </c>
      <c r="AH191" s="1" t="e">
        <f>ABS(NETWORKDAYS.INTL("06/03/24", "04/28/24", 1, {"01/01/2024","01/15/2024","02/19/2024","05/27/2024","07/04/2024","09/02/2024","10/14/2024","11/11/2024","11/28/2024","12/25/2024","12/25/2024","12/26/2024","12/27/2024","12/28/2024","12/29/2024","12/30/2024","31/25/2024","01/01/2024","01/02/2024","01/03/2024","01/04/2024","01/05/2024"}))</f>
        <v>#VALUE!</v>
      </c>
      <c r="AI191" s="1">
        <f>0</f>
        <v>0</v>
      </c>
      <c r="AJ191" s="1"/>
      <c r="AK191" s="1"/>
      <c r="AL191" s="1" t="b">
        <v>1</v>
      </c>
      <c r="AM191" s="1"/>
      <c r="AN191" s="1"/>
      <c r="AO191" s="1"/>
      <c r="AP191" s="1"/>
      <c r="AQ191" s="1"/>
      <c r="AR191" s="1"/>
      <c r="AS191" s="1"/>
      <c r="AT191" s="1"/>
      <c r="AU191" s="1"/>
      <c r="AV191" s="1"/>
      <c r="AW191" s="1"/>
      <c r="AX191" s="1"/>
      <c r="AY191" s="1"/>
      <c r="AZ191" s="1"/>
    </row>
    <row r="192" spans="1:52" ht="15" customHeight="1" x14ac:dyDescent="0.35">
      <c r="A192" s="1" t="s">
        <v>1104</v>
      </c>
      <c r="B192" s="1" t="s">
        <v>1105</v>
      </c>
      <c r="C192" s="1" t="s">
        <v>612</v>
      </c>
      <c r="D192" s="1" t="s">
        <v>1057</v>
      </c>
      <c r="E192" s="1" t="s">
        <v>1067</v>
      </c>
      <c r="F192" s="9" t="s">
        <v>1083</v>
      </c>
      <c r="G192" s="1" t="s">
        <v>406</v>
      </c>
      <c r="H1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2" s="11" t="e">
        <f>ABS(NETWORKDAYS.INTL("04/28/24", "04/28/24", 1, {"01/01/2024","01/15/2024","02/19/2024","05/27/2024","07/04/2024","09/02/2024","10/14/2024","11/11/2024","11/28/2024","12/25/2024","12/25/2024","12/26/2024","12/27/2024","12/28/2024","12/29/2024","12/30/2024","31/25/2024","01/01/2024","01/02/2024","01/03/2024","01/04/2024","01/05/2024"}))</f>
        <v>#VALUE!</v>
      </c>
      <c r="J192" s="1">
        <f>0</f>
        <v>0</v>
      </c>
      <c r="K192" s="1"/>
      <c r="L192" s="1">
        <v>0</v>
      </c>
      <c r="M192" s="1">
        <f>0</f>
        <v>0</v>
      </c>
      <c r="N192" s="1">
        <f>0</f>
        <v>0</v>
      </c>
      <c r="O192" s="1">
        <f>0</f>
        <v>0</v>
      </c>
      <c r="P192" s="1"/>
      <c r="Q192" s="1">
        <v>0</v>
      </c>
      <c r="R192" s="1">
        <v>0</v>
      </c>
      <c r="S192" s="1">
        <f>0</f>
        <v>0</v>
      </c>
      <c r="T192" s="1">
        <f>0</f>
        <v>0</v>
      </c>
      <c r="U192" s="1"/>
      <c r="V192" s="1">
        <v>1</v>
      </c>
      <c r="W192" s="1">
        <v>1</v>
      </c>
      <c r="X192" s="1" t="e">
        <f>ABS(NETWORKDAYS.INTL("06/03/24", "06/03/24", 1, {"01/01/2024","01/15/2024","02/19/2024","05/27/2024","07/04/2024","09/02/2024","10/14/2024","11/11/2024","11/28/2024","12/25/2024","12/25/2024","12/26/2024","12/27/2024","12/28/2024","12/29/2024","12/30/2024","31/25/2024","01/01/2024","01/02/2024","01/03/2024","01/04/2024","01/05/2024"}))</f>
        <v>#VALUE!</v>
      </c>
      <c r="Y192" s="1">
        <f>0</f>
        <v>0</v>
      </c>
      <c r="Z192" s="1">
        <f>0</f>
        <v>0</v>
      </c>
      <c r="AA192" s="1"/>
      <c r="AB192" s="5"/>
      <c r="AC192" s="5"/>
      <c r="AD192" s="1">
        <f>0</f>
        <v>0</v>
      </c>
      <c r="AE192" s="1">
        <f>0</f>
        <v>0</v>
      </c>
      <c r="AF192" s="1">
        <f>0</f>
        <v>0</v>
      </c>
      <c r="AG192" s="1" t="e">
        <f>ABS(NETWORKDAYS.INTL("04/28/24", "08/05/24", 1, {"01/01/2024","01/15/2024","02/19/2024","05/27/2024","07/04/2024","09/02/2024","10/14/2024","11/11/2024","11/28/2024","12/25/2024","12/25/2024","12/26/2024","12/27/2024","12/28/2024","12/29/2024","12/30/2024","31/25/2024","01/01/2024","01/02/2024","01/03/2024","01/04/2024","01/05/2024"}))</f>
        <v>#VALUE!</v>
      </c>
      <c r="AH192" s="1" t="e">
        <f>ABS(NETWORKDAYS.INTL("06/03/24", "04/28/24", 1, {"01/01/2024","01/15/2024","02/19/2024","05/27/2024","07/04/2024","09/02/2024","10/14/2024","11/11/2024","11/28/2024","12/25/2024","12/25/2024","12/26/2024","12/27/2024","12/28/2024","12/29/2024","12/30/2024","31/25/2024","01/01/2024","01/02/2024","01/03/2024","01/04/2024","01/05/2024"}))</f>
        <v>#VALUE!</v>
      </c>
      <c r="AI192" s="1">
        <f>0</f>
        <v>0</v>
      </c>
      <c r="AJ192" s="1"/>
      <c r="AK192" s="1"/>
      <c r="AL192" s="1" t="b">
        <v>1</v>
      </c>
      <c r="AM192" s="1"/>
      <c r="AN192" s="1"/>
      <c r="AO192" s="1"/>
      <c r="AP192" s="1"/>
      <c r="AQ192" s="1"/>
      <c r="AR192" s="1"/>
      <c r="AS192" s="1"/>
      <c r="AT192" s="1"/>
      <c r="AU192" s="1"/>
      <c r="AV192" s="1"/>
      <c r="AW192" s="1"/>
      <c r="AX192" s="1"/>
      <c r="AY192" s="1"/>
      <c r="AZ192" s="1"/>
    </row>
    <row r="193" spans="1:52" ht="15" customHeight="1" x14ac:dyDescent="0.35">
      <c r="A193" s="1" t="s">
        <v>1106</v>
      </c>
      <c r="B193" s="1" t="s">
        <v>1107</v>
      </c>
      <c r="C193" s="1" t="s">
        <v>629</v>
      </c>
      <c r="D193" s="1" t="s">
        <v>1108</v>
      </c>
      <c r="E193" s="1" t="s">
        <v>608</v>
      </c>
      <c r="F193" s="9" t="s">
        <v>1109</v>
      </c>
      <c r="G193" s="1" t="s">
        <v>406</v>
      </c>
      <c r="H1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193" s="11" t="e">
        <f>ABS(NETWORKDAYS.INTL("04/28/24", "08/05/24", 1, {"01/01/2024","01/15/2024","02/19/2024","05/27/2024","07/04/2024","09/02/2024","10/14/2024","11/11/2024","11/28/2024","12/25/2024","12/25/2024","12/26/2024","12/27/2024","12/28/2024","12/29/2024","12/30/2024","31/25/2024","01/01/2024","01/02/2024","01/03/2024","01/04/2024","01/05/2024"}))</f>
        <v>#VALUE!</v>
      </c>
      <c r="J193" s="1" t="e">
        <f>ABS(NETWORKDAYS.INTL("04/28/24", "08/05/24", 1, {"01/01/2024","01/15/2024","02/19/2024","05/27/2024","07/04/2024","09/02/2024","10/14/2024","11/11/2024","11/28/2024","12/25/2024","12/25/2024","12/26/2024","12/27/2024","12/28/2024","12/29/2024","12/30/2024","31/25/2024","01/01/2024","01/02/2024","01/03/2024","01/04/2024","01/05/2024"}))</f>
        <v>#VALUE!</v>
      </c>
      <c r="K193" s="1"/>
      <c r="L193" s="1">
        <v>1</v>
      </c>
      <c r="M193" s="1" t="e">
        <f>ABS(NETWORKDAYS.INTL("06/28/24", "06/28/24", 1, {"01/01/2024","01/15/2024","02/19/2024","05/27/2024","07/04/2024","09/02/2024","10/14/2024","11/11/2024","11/28/2024","12/25/2024","12/25/2024","12/26/2024","12/27/2024","12/28/2024","12/29/2024","12/30/2024","31/25/2024","01/01/2024","01/02/2024","01/03/2024","01/04/2024","01/05/2024"}))</f>
        <v>#VALUE!</v>
      </c>
      <c r="N193" s="1">
        <f>0</f>
        <v>0</v>
      </c>
      <c r="O193" s="1">
        <f>0</f>
        <v>0</v>
      </c>
      <c r="P193" s="1"/>
      <c r="Q193" s="1">
        <v>0</v>
      </c>
      <c r="R193" s="1">
        <v>0</v>
      </c>
      <c r="S193" s="1">
        <f>0</f>
        <v>0</v>
      </c>
      <c r="T193" s="1">
        <f>0</f>
        <v>0</v>
      </c>
      <c r="U193" s="1"/>
      <c r="V193" s="1">
        <v>1</v>
      </c>
      <c r="W193" s="1">
        <v>0</v>
      </c>
      <c r="X193" s="1">
        <f>0</f>
        <v>0</v>
      </c>
      <c r="Y193" s="1">
        <f>0</f>
        <v>0</v>
      </c>
      <c r="Z193" s="1">
        <f>0</f>
        <v>0</v>
      </c>
      <c r="AA193" s="1"/>
      <c r="AB193" s="5"/>
      <c r="AC193" s="5"/>
      <c r="AD193" s="1" t="e">
        <f>ABS(NETWORKDAYS.INTL("06/28/24", "08/05/24", 1, {"01/01/2024","01/15/2024","02/19/2024","05/27/2024","07/04/2024","09/02/2024","10/14/2024","11/11/2024","11/28/2024","12/25/2024","12/25/2024","12/26/2024","12/27/2024","12/28/2024","12/29/2024","12/30/2024","31/25/2024","01/01/2024","01/02/2024","01/03/2024","01/04/2024","01/05/2024"}))</f>
        <v>#VALUE!</v>
      </c>
      <c r="AE193" s="1">
        <f>0</f>
        <v>0</v>
      </c>
      <c r="AF193" s="1">
        <f>0</f>
        <v>0</v>
      </c>
      <c r="AG193" s="1" t="e">
        <f>ABS(NETWORKDAYS.INTL("06/28/24", "08/05/24", 1, {"01/01/2024","01/15/2024","02/19/2024","05/27/2024","07/04/2024","09/02/2024","10/14/2024","11/11/2024","11/28/2024","12/25/2024","12/25/2024","12/26/2024","12/27/2024","12/28/2024","12/29/2024","12/30/2024","31/25/2024","01/01/2024","01/02/2024","01/03/2024","01/04/2024","01/05/2024"}))</f>
        <v>#VALUE!</v>
      </c>
      <c r="AH193" s="1">
        <f>0</f>
        <v>0</v>
      </c>
      <c r="AI193" s="1">
        <f>0</f>
        <v>0</v>
      </c>
      <c r="AJ193" s="1"/>
      <c r="AK193" s="1"/>
      <c r="AL193" s="1" t="b">
        <v>1</v>
      </c>
      <c r="AM193" s="1"/>
      <c r="AN193" s="1"/>
      <c r="AO193" s="1"/>
      <c r="AP193" s="1"/>
      <c r="AQ193" s="1"/>
      <c r="AR193" s="1"/>
      <c r="AS193" s="1"/>
      <c r="AT193" s="1"/>
      <c r="AU193" s="1"/>
      <c r="AV193" s="1"/>
      <c r="AW193" s="1"/>
      <c r="AX193" s="1"/>
      <c r="AY193" s="1"/>
      <c r="AZ193" s="1"/>
    </row>
    <row r="194" spans="1:52" ht="15" customHeight="1" x14ac:dyDescent="0.35">
      <c r="A194" s="1" t="s">
        <v>1110</v>
      </c>
      <c r="B194" s="1" t="s">
        <v>1111</v>
      </c>
      <c r="C194" s="1" t="s">
        <v>601</v>
      </c>
      <c r="D194" s="1" t="s">
        <v>1057</v>
      </c>
      <c r="E194" s="1" t="s">
        <v>608</v>
      </c>
      <c r="F194" s="9" t="s">
        <v>1112</v>
      </c>
      <c r="G194" s="1" t="s">
        <v>406</v>
      </c>
      <c r="H1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4" s="11" t="e">
        <f>ABS(NETWORKDAYS.INTL("04/28/24", "04/28/24", 1, {"01/01/2024","01/15/2024","02/19/2024","05/27/2024","07/04/2024","09/02/2024","10/14/2024","11/11/2024","11/28/2024","12/25/2024","12/25/2024","12/26/2024","12/27/2024","12/28/2024","12/29/2024","12/30/2024","31/25/2024","01/01/2024","01/02/2024","01/03/2024","01/04/2024","01/05/2024"}))</f>
        <v>#VALUE!</v>
      </c>
      <c r="J194" s="1">
        <f>0</f>
        <v>0</v>
      </c>
      <c r="K194" s="1"/>
      <c r="L194" s="1">
        <v>1</v>
      </c>
      <c r="M194" s="1" t="e">
        <f>ABS(NETWORKDAYS.INTL("06/28/24", "06/28/24", 1, {"01/01/2024","01/15/2024","02/19/2024","05/27/2024","07/04/2024","09/02/2024","10/14/2024","11/11/2024","11/28/2024","12/25/2024","12/25/2024","12/26/2024","12/27/2024","12/28/2024","12/29/2024","12/30/2024","31/25/2024","01/01/2024","01/02/2024","01/03/2024","01/04/2024","01/05/2024"}))</f>
        <v>#VALUE!</v>
      </c>
      <c r="N194" s="1">
        <f>0</f>
        <v>0</v>
      </c>
      <c r="O194" s="1">
        <f>0</f>
        <v>0</v>
      </c>
      <c r="P194" s="1"/>
      <c r="Q194" s="1">
        <v>0</v>
      </c>
      <c r="R194" s="1">
        <v>0</v>
      </c>
      <c r="S194" s="1">
        <f>0</f>
        <v>0</v>
      </c>
      <c r="T194" s="1">
        <f>0</f>
        <v>0</v>
      </c>
      <c r="U194" s="1"/>
      <c r="V194" s="1">
        <v>1</v>
      </c>
      <c r="W194" s="1">
        <v>1</v>
      </c>
      <c r="X194" s="1" t="e">
        <f>ABS(NETWORKDAYS.INTL("06/03/24", "08/05/24", 1, {"01/01/2024","01/15/2024","02/19/2024","05/27/2024","07/04/2024","09/02/2024","10/14/2024","11/11/2024","11/28/2024","12/25/2024","12/25/2024","12/26/2024","12/27/2024","12/28/2024","12/29/2024","12/30/2024","31/25/2024","01/01/2024","01/02/2024","01/03/2024","01/04/2024","01/05/2024"}))</f>
        <v>#VALUE!</v>
      </c>
      <c r="Y194" s="1">
        <f>0</f>
        <v>0</v>
      </c>
      <c r="Z194" s="1">
        <f>0</f>
        <v>0</v>
      </c>
      <c r="AA194" s="1"/>
      <c r="AB194" s="5"/>
      <c r="AC194" s="5"/>
      <c r="AD194" s="1" t="e">
        <f>ABS(NETWORKDAYS.INTL("06/28/24", "04/28/24", 1, {"01/01/2024","01/15/2024","02/19/2024","05/27/2024","07/04/2024","09/02/2024","10/14/2024","11/11/2024","11/28/2024","12/25/2024","12/25/2024","12/26/2024","12/27/2024","12/28/2024","12/29/2024","12/30/2024","31/25/2024","01/01/2024","01/02/2024","01/03/2024","01/04/2024","01/05/2024"}))</f>
        <v>#VALUE!</v>
      </c>
      <c r="AE194" s="1">
        <f>0</f>
        <v>0</v>
      </c>
      <c r="AF194" s="1">
        <f>0</f>
        <v>0</v>
      </c>
      <c r="AG194" s="1" t="e">
        <f>ABS(NETWORKDAYS.INTL("04/28/24", "08/05/24", 1, {"01/01/2024","01/15/2024","02/19/2024","05/27/2024","07/04/2024","09/02/2024","10/14/2024","11/11/2024","11/28/2024","12/25/2024","12/25/2024","12/26/2024","12/27/2024","12/28/2024","12/29/2024","12/30/2024","31/25/2024","01/01/2024","01/02/2024","01/03/2024","01/04/2024","01/05/2024"}))</f>
        <v>#VALUE!</v>
      </c>
      <c r="AH194" s="1" t="e">
        <f>ABS(NETWORKDAYS.INTL("06/03/24", "04/28/24", 1, {"01/01/2024","01/15/2024","02/19/2024","05/27/2024","07/04/2024","09/02/2024","10/14/2024","11/11/2024","11/28/2024","12/25/2024","12/25/2024","12/26/2024","12/27/2024","12/28/2024","12/29/2024","12/30/2024","31/25/2024","01/01/2024","01/02/2024","01/03/2024","01/04/2024","01/05/2024"}))</f>
        <v>#VALUE!</v>
      </c>
      <c r="AI194" s="1">
        <f>0</f>
        <v>0</v>
      </c>
      <c r="AJ194" s="1"/>
      <c r="AK194" s="1"/>
      <c r="AL194" s="1" t="b">
        <v>1</v>
      </c>
      <c r="AM194" s="1"/>
      <c r="AN194" s="1"/>
      <c r="AO194" s="1"/>
      <c r="AP194" s="1"/>
      <c r="AQ194" s="1"/>
      <c r="AR194" s="1"/>
      <c r="AS194" s="1"/>
      <c r="AT194" s="1"/>
      <c r="AU194" s="1"/>
      <c r="AV194" s="1"/>
      <c r="AW194" s="1"/>
      <c r="AX194" s="1"/>
      <c r="AY194" s="1"/>
      <c r="AZ194" s="1"/>
    </row>
    <row r="195" spans="1:52" ht="15" customHeight="1" x14ac:dyDescent="0.35">
      <c r="A195" s="1" t="s">
        <v>1113</v>
      </c>
      <c r="B195" s="1" t="s">
        <v>1114</v>
      </c>
      <c r="C195" s="1" t="s">
        <v>601</v>
      </c>
      <c r="D195" s="1" t="s">
        <v>1057</v>
      </c>
      <c r="E195" s="1" t="s">
        <v>608</v>
      </c>
      <c r="F195" s="9" t="s">
        <v>1115</v>
      </c>
      <c r="G195" s="1" t="s">
        <v>406</v>
      </c>
      <c r="H1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5" s="11" t="e">
        <f>ABS(NETWORKDAYS.INTL("04/28/2024", "04/28/2024", 1, {"01/01/2024","01/15/2024","02/19/2024","05/27/2024","07/04/2024","09/02/2024","10/14/2024","11/11/2024","11/28/2024","12/25/2024","12/25/2024","12/26/2024","12/27/2024","12/28/2024","12/29/2024","12/30/2024","31/25/2024","01/01/2024","01/02/2024","01/03/2024","01/04/2024","01/05/2024"}))</f>
        <v>#VALUE!</v>
      </c>
      <c r="J195" s="1">
        <f>0</f>
        <v>0</v>
      </c>
      <c r="K195" s="1"/>
      <c r="L195" s="1">
        <v>0</v>
      </c>
      <c r="M195" s="1">
        <f>0</f>
        <v>0</v>
      </c>
      <c r="N195" s="1">
        <f>0</f>
        <v>0</v>
      </c>
      <c r="O195" s="1">
        <f>0</f>
        <v>0</v>
      </c>
      <c r="P195" s="1"/>
      <c r="Q195" s="1">
        <v>0</v>
      </c>
      <c r="R195" s="1">
        <v>0</v>
      </c>
      <c r="S195" s="1">
        <f>0</f>
        <v>0</v>
      </c>
      <c r="T195" s="1">
        <f>0</f>
        <v>0</v>
      </c>
      <c r="U195" s="1"/>
      <c r="V195" s="1">
        <v>1</v>
      </c>
      <c r="W195" s="1">
        <v>1</v>
      </c>
      <c r="X195" s="1" t="e">
        <f>ABS(NETWORKDAYS.INTL("06/03/2024", "08/05/24", 1, {"01/01/2024","01/15/2024","02/19/2024","05/27/2024","07/04/2024","09/02/2024","10/14/2024","11/11/2024","11/28/2024","12/25/2024","12/25/2024","12/26/2024","12/27/2024","12/28/2024","12/29/2024","12/30/2024","31/25/2024","01/01/2024","01/02/2024","01/03/2024","01/04/2024","01/05/2024"}))</f>
        <v>#VALUE!</v>
      </c>
      <c r="Y195" s="1">
        <f>0</f>
        <v>0</v>
      </c>
      <c r="Z195" s="1">
        <f>0</f>
        <v>0</v>
      </c>
      <c r="AA195" s="1"/>
      <c r="AB195" s="5"/>
      <c r="AC195" s="5"/>
      <c r="AD195" s="1">
        <f>0</f>
        <v>0</v>
      </c>
      <c r="AE195" s="1">
        <f>0</f>
        <v>0</v>
      </c>
      <c r="AF195" s="1">
        <f>0</f>
        <v>0</v>
      </c>
      <c r="AG195" s="1" t="e">
        <f>ABS(NETWORKDAYS.INTL("04/28/2024", "08/05/24", 1, {"01/01/2024","01/15/2024","02/19/2024","05/27/2024","07/04/2024","09/02/2024","10/14/2024","11/11/2024","11/28/2024","12/25/2024","12/25/2024","12/26/2024","12/27/2024","12/28/2024","12/29/2024","12/30/2024","31/25/2024","01/01/2024","01/02/2024","01/03/2024","01/04/2024","01/05/2024"}))</f>
        <v>#VALUE!</v>
      </c>
      <c r="AH195" s="1" t="e">
        <f>ABS(NETWORKDAYS.INTL("06/03/2024", "04/28/2024", 1, {"01/01/2024","01/15/2024","02/19/2024","05/27/2024","07/04/2024","09/02/2024","10/14/2024","11/11/2024","11/28/2024","12/25/2024","12/25/2024","12/26/2024","12/27/2024","12/28/2024","12/29/2024","12/30/2024","31/25/2024","01/01/2024","01/02/2024","01/03/2024","01/04/2024","01/05/2024"}))</f>
        <v>#VALUE!</v>
      </c>
      <c r="AI195" s="1">
        <f>0</f>
        <v>0</v>
      </c>
      <c r="AJ195" s="1"/>
      <c r="AK195" s="1"/>
      <c r="AL195" s="1" t="b">
        <v>1</v>
      </c>
      <c r="AM195" s="1"/>
      <c r="AN195" s="1"/>
      <c r="AO195" s="1"/>
      <c r="AP195" s="1"/>
      <c r="AQ195" s="1"/>
      <c r="AR195" s="1"/>
      <c r="AS195" s="1"/>
      <c r="AT195" s="1"/>
      <c r="AU195" s="1"/>
      <c r="AV195" s="1"/>
      <c r="AW195" s="1"/>
      <c r="AX195" s="1"/>
      <c r="AY195" s="1"/>
      <c r="AZ195" s="1"/>
    </row>
    <row r="196" spans="1:52" ht="15" customHeight="1" x14ac:dyDescent="0.35">
      <c r="A196" s="1" t="s">
        <v>1116</v>
      </c>
      <c r="B196" s="1" t="s">
        <v>1117</v>
      </c>
      <c r="C196" s="1" t="s">
        <v>624</v>
      </c>
      <c r="D196" s="1" t="s">
        <v>1118</v>
      </c>
      <c r="E196" s="1" t="s">
        <v>1119</v>
      </c>
      <c r="F196" s="9" t="s">
        <v>1120</v>
      </c>
      <c r="G196" s="1" t="s">
        <v>406</v>
      </c>
      <c r="H1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196" s="11" t="e">
        <f>ABS(NETWORKDAYS.INTL("05/03/24", "05/13/24", 1, {"01/01/2024","01/15/2024","02/19/2024","05/27/2024","07/04/2024","09/02/2024","10/14/2024","11/11/2024","11/28/2024","12/25/2024","12/25/2024","12/26/2024","12/27/2024","12/28/2024","12/29/2024","12/30/2024","31/25/2024","01/01/2024","01/02/2024","01/03/2024","01/04/2024","01/05/2024"}))</f>
        <v>#VALUE!</v>
      </c>
      <c r="J196" s="1" t="e">
        <f>ABS(NETWORKDAYS.INTL("05/10/24", "05/11/24", 1, {"01/01/2024","01/15/2024","02/19/2024","05/27/2024","07/04/2024","09/02/2024","10/14/2024","11/11/2024","11/28/2024","12/25/2024","12/25/2024","12/26/2024","12/27/2024","12/28/2024","12/29/2024","12/30/2024","31/25/2024","01/01/2024","01/02/2024","01/03/2024","01/04/2024","01/05/2024"}))</f>
        <v>#VALUE!</v>
      </c>
      <c r="K196" s="1"/>
      <c r="L196" s="1">
        <v>1</v>
      </c>
      <c r="M196" s="1" t="e">
        <f>ABS(NETWORKDAYS.INTL("06/06/24", "06/06/24", 1, {"01/01/2024","01/15/2024","02/19/2024","05/27/2024","07/04/2024","09/02/2024","10/14/2024","11/11/2024","11/28/2024","12/25/2024","12/25/2024","12/26/2024","12/27/2024","12/28/2024","12/29/2024","12/30/2024","31/25/2024","01/01/2024","01/02/2024","01/03/2024","01/04/2024","01/05/2024"}))</f>
        <v>#VALUE!</v>
      </c>
      <c r="N196" s="1">
        <f>0</f>
        <v>0</v>
      </c>
      <c r="O196" s="1">
        <f>0</f>
        <v>0</v>
      </c>
      <c r="P196" s="1"/>
      <c r="Q196" s="1">
        <v>2</v>
      </c>
      <c r="R196" s="1">
        <v>2</v>
      </c>
      <c r="S196" s="1" t="e">
        <f>ABS(NETWORKDAYS.INTL("06/07/24", "06/28/24", 1, {"01/01/2024","01/15/2024","02/19/2024","05/27/2024","07/04/2024","09/02/2024","10/14/2024","11/11/2024","11/28/2024","12/25/2024","12/25/2024","12/26/2024","12/27/2024","12/28/2024","12/29/2024","12/30/2024","31/25/2024","01/01/2024","01/02/2024","01/03/2024","01/04/2024","01/05/2024"}))</f>
        <v>#VALUE!</v>
      </c>
      <c r="T196" s="1" t="e">
        <f>ABS(NETWORKDAYS.INTL("06/07/24", "06/27/24", 1, {"01/01/2024","01/15/2024","02/19/2024","05/27/2024","07/04/2024","09/02/2024","10/14/2024","11/11/2024","11/28/2024","12/25/2024","12/25/2024","12/26/2024","12/27/2024","12/28/2024","12/29/2024","12/30/2024","31/25/2024","01/01/2024","01/02/2024","01/03/2024","01/04/2024","01/05/2024"}))</f>
        <v>#VALUE!</v>
      </c>
      <c r="U196" s="1"/>
      <c r="V196" s="1">
        <v>4</v>
      </c>
      <c r="W196" s="1">
        <v>1</v>
      </c>
      <c r="X196" s="1" t="e">
        <f>ABS(NETWORKDAYS.INTL("07/22/2024", "07/22/2024", 1, {"01/01/2024","01/15/2024","02/19/2024","05/27/2024","07/04/2024","09/02/2024","10/14/2024","11/11/2024","11/28/2024","12/25/2024","12/25/2024","12/26/2024","12/27/2024","12/28/2024","12/29/2024","12/30/2024","31/25/2024","01/01/2024","01/02/2024","01/03/2024","01/04/2024","01/05/2024"}))</f>
        <v>#VALUE!</v>
      </c>
      <c r="Y196" s="1" t="e">
        <f>ABS(NETWORKDAYS.INTL("07/18/2024", "07/18/2024", 1, {"01/01/2024","01/15/2024","02/19/2024","05/27/2024","07/04/2024","09/02/2024","10/14/2024","11/11/2024","11/28/2024","12/25/2024","12/25/2024","12/26/2024","12/27/2024","12/28/2024","12/29/2024","12/30/2024","31/25/2024","01/01/2024","01/02/2024","01/03/2024","01/04/2024","01/05/2024"})+NETWORKDAYS.INTL("07/22/2024", "07/22/2024", 1, {"01/01/2024","01/15/2024","02/19/2024","05/27/2024","07/04/2024","09/02/2024","10/14/2024","11/11/2024","11/28/2024","12/25/2024","12/25/2024","12/26/2024","12/27/2024","12/28/2024","12/29/2024","12/30/2024","31/25/2024","01/01/2024","01/02/2024","01/03/2024","01/04/2024","01/05/2024"})+NETWORKDAYS.INTL("07/25/2024", "07/25/2024", 1, {"01/01/2024","01/15/2024","02/19/2024","05/27/2024","07/04/2024","09/02/2024","10/14/2024","11/11/2024","11/28/2024","12/25/2024","12/25/2024","12/26/2024","12/27/2024","12/28/2024","12/29/2024","12/30/2024","31/25/2024","01/01/2024","01/02/2024","01/03/2024","01/04/2024","01/05/2024"}))</f>
        <v>#VALUE!</v>
      </c>
      <c r="Z196" s="1">
        <f>0</f>
        <v>0</v>
      </c>
      <c r="AA196" s="1"/>
      <c r="AB196" s="5">
        <v>45498</v>
      </c>
      <c r="AC196" s="5">
        <v>45498</v>
      </c>
      <c r="AD196" s="1" t="e">
        <f>ABS(NETWORKDAYS.INTL("06/06/24", "05/13/24", 1, {"01/01/2024","01/15/2024","02/19/2024","05/27/2024","07/04/2024","09/02/2024","10/14/2024","11/11/2024","11/28/2024","12/25/2024","12/25/2024","12/26/2024","12/27/2024","12/28/2024","12/29/2024","12/30/2024","31/25/2024","01/01/2024","01/02/2024","01/03/2024","01/04/2024","01/05/2024"}))</f>
        <v>#VALUE!</v>
      </c>
      <c r="AE196" s="1">
        <f>0</f>
        <v>0</v>
      </c>
      <c r="AF196" s="1" t="e">
        <f>ABS(NETWORKDAYS.INTL("06/07/24", "06/06/24", 1, {"01/01/2024","01/15/2024","02/19/2024","05/27/2024","07/04/2024","09/02/2024","10/14/2024","11/11/2024","11/28/2024","12/25/2024","12/25/2024","12/26/2024","12/27/2024","12/28/2024","12/29/2024","12/30/2024","31/25/2024","01/01/2024","01/02/2024","01/03/2024","01/04/2024","01/05/2024"}))</f>
        <v>#VALUE!</v>
      </c>
      <c r="AG196" s="1" t="e">
        <f>ABS(NETWORKDAYS.INTL("07/09/2024", "06/07/24", 1, {"01/01/2024","01/15/2024","02/19/2024","05/27/2024","07/04/2024","09/02/2024","10/14/2024","11/11/2024","11/28/2024","12/25/2024","12/25/2024","12/26/2024","12/27/2024","12/28/2024","12/29/2024","12/30/2024","31/25/2024","01/01/2024","01/02/2024","01/03/2024","01/04/2024","01/05/2024"}))</f>
        <v>#VALUE!</v>
      </c>
      <c r="AH196" s="1" t="e">
        <f>ABS(NETWORKDAYS.INTL("07/22/2024", "07/09/2024", 1, {"01/01/2024","01/15/2024","02/19/2024","05/27/2024","07/04/2024","09/02/2024","10/14/2024","11/11/2024","11/28/2024","12/25/2024","12/25/2024","12/26/2024","12/27/2024","12/28/2024","12/29/2024","12/30/2024","31/25/2024","01/01/2024","01/02/2024","01/03/2024","01/04/2024","01/05/2024"}))</f>
        <v>#VALUE!</v>
      </c>
      <c r="AI196" s="1" t="e">
        <f>ABS(NETWORKDAYS.INTL("07/25/2024", "07/25/2024", 1, {"01/01/2024","01/15/2024","02/19/2024","05/27/2024","07/04/2024","09/02/2024","10/14/2024","11/11/2024","11/28/2024","12/25/2024","12/25/2024","12/26/2024","12/27/2024","12/28/2024","12/29/2024","12/30/2024","31/25/2024","01/01/2024","01/02/2024","01/03/2024","01/04/2024","01/05/2024"}))</f>
        <v>#VALUE!</v>
      </c>
      <c r="AJ196" s="1" t="b">
        <v>1</v>
      </c>
      <c r="AK196" s="1"/>
      <c r="AL196" s="1"/>
      <c r="AM196" s="1"/>
      <c r="AN196" s="1"/>
      <c r="AO196" s="1"/>
      <c r="AP196" s="1"/>
      <c r="AQ196" s="1"/>
      <c r="AR196" s="1"/>
      <c r="AS196" s="1"/>
      <c r="AT196" s="1"/>
      <c r="AU196" s="1"/>
      <c r="AV196" s="1"/>
      <c r="AW196" s="1"/>
      <c r="AX196" s="1"/>
      <c r="AY196" s="1"/>
      <c r="AZ196" s="1"/>
    </row>
    <row r="197" spans="1:52" ht="15" customHeight="1" x14ac:dyDescent="0.35">
      <c r="A197" s="1" t="s">
        <v>1121</v>
      </c>
      <c r="B197" s="1" t="s">
        <v>454</v>
      </c>
      <c r="C197" s="1" t="s">
        <v>601</v>
      </c>
      <c r="D197" s="1" t="s">
        <v>937</v>
      </c>
      <c r="E197" s="1" t="s">
        <v>626</v>
      </c>
      <c r="F197" s="9" t="s">
        <v>1122</v>
      </c>
      <c r="G197" s="1" t="s">
        <v>406</v>
      </c>
      <c r="H1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7" s="11" t="e">
        <f>ABS(NETWORKDAYS.INTL("03/27/24", "08/05/24", 1, {"01/01/2024","01/15/2024","02/19/2024","05/27/2024","07/04/2024","09/02/2024","10/14/2024","11/11/2024","11/28/2024","12/25/2024","12/25/2024","12/26/2024","12/27/2024","12/28/2024","12/29/2024","12/30/2024","31/25/2024","01/01/2024","01/02/2024","01/03/2024","01/04/2024","01/05/2024"}))</f>
        <v>#VALUE!</v>
      </c>
      <c r="J197" s="1">
        <f>0</f>
        <v>0</v>
      </c>
      <c r="K197" s="1"/>
      <c r="L197" s="1">
        <v>0</v>
      </c>
      <c r="M197" s="1">
        <f>0</f>
        <v>0</v>
      </c>
      <c r="N197" s="1">
        <f>0</f>
        <v>0</v>
      </c>
      <c r="O197" s="1">
        <f>0</f>
        <v>0</v>
      </c>
      <c r="P197" s="1"/>
      <c r="Q197" s="1">
        <v>0</v>
      </c>
      <c r="R197" s="1">
        <v>0</v>
      </c>
      <c r="S197" s="1">
        <f>0</f>
        <v>0</v>
      </c>
      <c r="T197" s="1">
        <f>0</f>
        <v>0</v>
      </c>
      <c r="U197" s="1"/>
      <c r="V197" s="1">
        <v>0</v>
      </c>
      <c r="W197" s="1">
        <v>0</v>
      </c>
      <c r="X197" s="1">
        <f>0</f>
        <v>0</v>
      </c>
      <c r="Y197" s="1">
        <f>0</f>
        <v>0</v>
      </c>
      <c r="Z197" s="1">
        <f>0</f>
        <v>0</v>
      </c>
      <c r="AA197" s="1"/>
      <c r="AB197" s="5"/>
      <c r="AC197" s="5"/>
      <c r="AD197" s="1">
        <f>0</f>
        <v>0</v>
      </c>
      <c r="AE197" s="1">
        <f>0</f>
        <v>0</v>
      </c>
      <c r="AF197" s="1">
        <f>0</f>
        <v>0</v>
      </c>
      <c r="AG197" s="1">
        <f>0</f>
        <v>0</v>
      </c>
      <c r="AH197" s="1">
        <f>0</f>
        <v>0</v>
      </c>
      <c r="AI197" s="1">
        <f>0</f>
        <v>0</v>
      </c>
      <c r="AJ197" s="1" t="b">
        <v>1</v>
      </c>
      <c r="AK197" s="1"/>
      <c r="AL197" s="1"/>
      <c r="AM197" s="1"/>
      <c r="AN197" s="1"/>
      <c r="AO197" s="1"/>
      <c r="AP197" s="1"/>
      <c r="AQ197" s="1"/>
      <c r="AR197" s="1"/>
      <c r="AS197" s="1"/>
      <c r="AT197" s="1"/>
      <c r="AU197" s="1"/>
      <c r="AV197" s="1"/>
      <c r="AW197" s="1"/>
      <c r="AX197" s="1"/>
      <c r="AY197" s="1"/>
      <c r="AZ197" s="1"/>
    </row>
    <row r="198" spans="1:52" ht="15" customHeight="1" x14ac:dyDescent="0.35">
      <c r="A198" s="1" t="s">
        <v>1123</v>
      </c>
      <c r="B198" s="1" t="s">
        <v>455</v>
      </c>
      <c r="C198" s="1" t="s">
        <v>601</v>
      </c>
      <c r="D198" s="1" t="s">
        <v>937</v>
      </c>
      <c r="E198" s="1" t="s">
        <v>626</v>
      </c>
      <c r="F198" s="9" t="s">
        <v>1124</v>
      </c>
      <c r="G198" s="1" t="s">
        <v>406</v>
      </c>
      <c r="H1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8" s="11" t="e">
        <f>ABS(NETWORKDAYS.INTL("03/26/24", "08/05/24", 1, {"01/01/2024","01/15/2024","02/19/2024","05/27/2024","07/04/2024","09/02/2024","10/14/2024","11/11/2024","11/28/2024","12/25/2024","12/25/2024","12/26/2024","12/27/2024","12/28/2024","12/29/2024","12/30/2024","31/25/2024","01/01/2024","01/02/2024","01/03/2024","01/04/2024","01/05/2024"}))</f>
        <v>#VALUE!</v>
      </c>
      <c r="J198" s="1">
        <f>0</f>
        <v>0</v>
      </c>
      <c r="K198" s="1"/>
      <c r="L198" s="1">
        <v>0</v>
      </c>
      <c r="M198" s="1">
        <f>0</f>
        <v>0</v>
      </c>
      <c r="N198" s="1">
        <f>0</f>
        <v>0</v>
      </c>
      <c r="O198" s="1">
        <f>0</f>
        <v>0</v>
      </c>
      <c r="P198" s="1"/>
      <c r="Q198" s="1">
        <v>0</v>
      </c>
      <c r="R198" s="1">
        <v>0</v>
      </c>
      <c r="S198" s="1">
        <f>0</f>
        <v>0</v>
      </c>
      <c r="T198" s="1">
        <f>0</f>
        <v>0</v>
      </c>
      <c r="U198" s="1"/>
      <c r="V198" s="1">
        <v>0</v>
      </c>
      <c r="W198" s="1">
        <v>0</v>
      </c>
      <c r="X198" s="1">
        <f>0</f>
        <v>0</v>
      </c>
      <c r="Y198" s="1">
        <f>0</f>
        <v>0</v>
      </c>
      <c r="Z198" s="1">
        <f>0</f>
        <v>0</v>
      </c>
      <c r="AA198" s="1"/>
      <c r="AB198" s="5"/>
      <c r="AC198" s="5"/>
      <c r="AD198" s="1">
        <f>0</f>
        <v>0</v>
      </c>
      <c r="AE198" s="1">
        <f>0</f>
        <v>0</v>
      </c>
      <c r="AF198" s="1">
        <f>0</f>
        <v>0</v>
      </c>
      <c r="AG198" s="1">
        <f>0</f>
        <v>0</v>
      </c>
      <c r="AH198" s="1">
        <f>0</f>
        <v>0</v>
      </c>
      <c r="AI198" s="1">
        <f>0</f>
        <v>0</v>
      </c>
      <c r="AJ198" s="1" t="b">
        <v>1</v>
      </c>
      <c r="AK198" s="1"/>
      <c r="AL198" s="1"/>
      <c r="AM198" s="1"/>
      <c r="AN198" s="1"/>
      <c r="AO198" s="1"/>
      <c r="AP198" s="1"/>
      <c r="AQ198" s="1"/>
      <c r="AR198" s="1"/>
      <c r="AS198" s="1"/>
      <c r="AT198" s="1"/>
      <c r="AU198" s="1"/>
      <c r="AV198" s="1"/>
      <c r="AW198" s="1"/>
      <c r="AX198" s="1"/>
      <c r="AY198" s="1"/>
      <c r="AZ198" s="1"/>
    </row>
    <row r="199" spans="1:52" ht="15" customHeight="1" x14ac:dyDescent="0.35">
      <c r="A199" s="1" t="s">
        <v>1125</v>
      </c>
      <c r="B199" s="1" t="s">
        <v>456</v>
      </c>
      <c r="C199" s="1" t="s">
        <v>601</v>
      </c>
      <c r="D199" s="1" t="s">
        <v>1126</v>
      </c>
      <c r="E199" s="1" t="s">
        <v>978</v>
      </c>
      <c r="F199" s="9" t="s">
        <v>1127</v>
      </c>
      <c r="G199" s="1" t="s">
        <v>406</v>
      </c>
      <c r="H1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199" s="11" t="e">
        <f>ABS(NETWORKDAYS.INTL("03/25/24", "04/02/24", 1, {"01/01/2024","01/15/2024","02/19/2024","05/27/2024","07/04/2024","09/02/2024","10/14/2024","11/11/2024","11/28/2024","12/25/2024","12/25/2024","12/26/2024","12/27/2024","12/28/2024","12/29/2024","12/30/2024","31/25/2024","01/01/2024","01/02/2024","01/03/2024","01/04/2024","01/05/2024"}))</f>
        <v>#VALUE!</v>
      </c>
      <c r="J199" s="1">
        <f>0</f>
        <v>0</v>
      </c>
      <c r="K199" s="1"/>
      <c r="L199" s="1">
        <v>1</v>
      </c>
      <c r="M199" s="1" t="e">
        <f>ABS(NETWORKDAYS.INTL("04/11/24", "04/11/24", 1, {"01/01/2024","01/15/2024","02/19/2024","05/27/2024","07/04/2024","09/02/2024","10/14/2024","11/11/2024","11/28/2024","12/25/2024","12/25/2024","12/26/2024","12/27/2024","12/28/2024","12/29/2024","12/30/2024","31/25/2024","01/01/2024","01/02/2024","01/03/2024","01/04/2024","01/05/2024"}))</f>
        <v>#VALUE!</v>
      </c>
      <c r="N199" s="1">
        <f>0</f>
        <v>0</v>
      </c>
      <c r="O199" s="1">
        <f>0</f>
        <v>0</v>
      </c>
      <c r="P199" s="1"/>
      <c r="Q199" s="1">
        <v>1</v>
      </c>
      <c r="R199" s="1">
        <v>1</v>
      </c>
      <c r="S199" s="1" t="e">
        <f>ABS(NETWORKDAYS.INTL("04/30/24", "08/05/24", 1, {"01/01/2024","01/15/2024","02/19/2024","05/27/2024","07/04/2024","09/02/2024","10/14/2024","11/11/2024","11/28/2024","12/25/2024","12/25/2024","12/26/2024","12/27/2024","12/28/2024","12/29/2024","12/30/2024","31/25/2024","01/01/2024","01/02/2024","01/03/2024","01/04/2024","01/05/2024"}))</f>
        <v>#VALUE!</v>
      </c>
      <c r="T199" s="1">
        <f>0</f>
        <v>0</v>
      </c>
      <c r="U199" s="1"/>
      <c r="V199" s="1">
        <v>0</v>
      </c>
      <c r="W199" s="1">
        <v>0</v>
      </c>
      <c r="X199" s="1">
        <f>0</f>
        <v>0</v>
      </c>
      <c r="Y199" s="1">
        <f>0</f>
        <v>0</v>
      </c>
      <c r="Z199" s="1">
        <f>0</f>
        <v>0</v>
      </c>
      <c r="AA199" s="1"/>
      <c r="AB199" s="5"/>
      <c r="AC199" s="5"/>
      <c r="AD199" s="1" t="e">
        <f>ABS(NETWORKDAYS.INTL("04/11/24", "04/02/24", 1, {"01/01/2024","01/15/2024","02/19/2024","05/27/2024","07/04/2024","09/02/2024","10/14/2024","11/11/2024","11/28/2024","12/25/2024","12/25/2024","12/26/2024","12/27/2024","12/28/2024","12/29/2024","12/30/2024","31/25/2024","01/01/2024","01/02/2024","01/03/2024","01/04/2024","01/05/2024"}))</f>
        <v>#VALUE!</v>
      </c>
      <c r="AE199" s="1">
        <f>0</f>
        <v>0</v>
      </c>
      <c r="AF199" s="1" t="e">
        <f>ABS(NETWORKDAYS.INTL("04/11/24", "04/11/24", 1, {"01/01/2024","01/15/2024","02/19/2024","05/27/2024","07/04/2024","09/02/2024","10/14/2024","11/11/2024","11/28/2024","12/25/2024","12/25/2024","12/26/2024","12/27/2024","12/28/2024","12/29/2024","12/30/2024","31/25/2024","01/01/2024","01/02/2024","01/03/2024","01/04/2024","01/05/2024"}))</f>
        <v>#VALUE!</v>
      </c>
      <c r="AG199" s="1">
        <f>0</f>
        <v>0</v>
      </c>
      <c r="AH199" s="1">
        <f>0</f>
        <v>0</v>
      </c>
      <c r="AI199" s="1">
        <f>0</f>
        <v>0</v>
      </c>
      <c r="AJ199" s="1" t="b">
        <v>1</v>
      </c>
      <c r="AK199" s="1"/>
      <c r="AL199" s="1"/>
      <c r="AM199" s="1"/>
      <c r="AN199" s="1"/>
      <c r="AO199" s="1"/>
      <c r="AP199" s="1"/>
      <c r="AQ199" s="1"/>
      <c r="AR199" s="1"/>
      <c r="AS199" s="1"/>
      <c r="AT199" s="1"/>
      <c r="AU199" s="1"/>
      <c r="AV199" s="1"/>
      <c r="AW199" s="1"/>
      <c r="AX199" s="1"/>
      <c r="AY199" s="1"/>
      <c r="AZ199" s="1"/>
    </row>
    <row r="200" spans="1:52" ht="15" customHeight="1" x14ac:dyDescent="0.35">
      <c r="A200" s="1" t="s">
        <v>1128</v>
      </c>
      <c r="B200" s="1" t="s">
        <v>457</v>
      </c>
      <c r="C200" s="1" t="s">
        <v>601</v>
      </c>
      <c r="D200" s="1" t="s">
        <v>830</v>
      </c>
      <c r="E200" s="1" t="s">
        <v>978</v>
      </c>
      <c r="F200" s="9" t="s">
        <v>1129</v>
      </c>
      <c r="G200" s="1" t="s">
        <v>406</v>
      </c>
      <c r="H2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0" s="11" t="e">
        <f>ABS(NETWORKDAYS.INTL("03/25/24", "03/25/24", 1, {"01/01/2024","01/15/2024","02/19/2024","05/27/2024","07/04/2024","09/02/2024","10/14/2024","11/11/2024","11/28/2024","12/25/2024","12/25/2024","12/26/2024","12/27/2024","12/28/2024","12/29/2024","12/30/2024","31/25/2024","01/01/2024","01/02/2024","01/03/2024","01/04/2024","01/05/2024"}))</f>
        <v>#VALUE!</v>
      </c>
      <c r="J200" s="1">
        <f>0</f>
        <v>0</v>
      </c>
      <c r="K200" s="1"/>
      <c r="L200" s="1">
        <v>1</v>
      </c>
      <c r="M200" s="1" t="e">
        <f>ABS(NETWORKDAYS.INTL("04/28/24", "04/28/24", 1, {"01/01/2024","01/15/2024","02/19/2024","05/27/2024","07/04/2024","09/02/2024","10/14/2024","11/11/2024","11/28/2024","12/25/2024","12/25/2024","12/26/2024","12/27/2024","12/28/2024","12/29/2024","12/30/2024","31/25/2024","01/01/2024","01/02/2024","01/03/2024","01/04/2024","01/05/2024"}))</f>
        <v>#VALUE!</v>
      </c>
      <c r="N200" s="1" t="e">
        <f>ABS(NETWORKDAYS.INTL("04/30/24", "08/05/24", 1, {"01/01/2024","01/15/2024","02/19/2024","05/27/2024","07/04/2024","09/02/2024","10/14/2024","11/11/2024","11/28/2024","12/25/2024","12/25/2024","12/26/2024","12/27/2024","12/28/2024","12/29/2024","12/30/2024","31/25/2024","01/01/2024","01/02/2024","01/03/2024","01/04/2024","01/05/2024"}))</f>
        <v>#VALUE!</v>
      </c>
      <c r="O200" s="1">
        <f>0</f>
        <v>0</v>
      </c>
      <c r="P200" s="1"/>
      <c r="Q200" s="1">
        <v>0</v>
      </c>
      <c r="R200" s="1">
        <v>0</v>
      </c>
      <c r="S200" s="1">
        <f>0</f>
        <v>0</v>
      </c>
      <c r="T200" s="1">
        <f>0</f>
        <v>0</v>
      </c>
      <c r="U200" s="1"/>
      <c r="V200" s="1">
        <v>0</v>
      </c>
      <c r="W200" s="1">
        <v>0</v>
      </c>
      <c r="X200" s="1">
        <f>0</f>
        <v>0</v>
      </c>
      <c r="Y200" s="1">
        <f>0</f>
        <v>0</v>
      </c>
      <c r="Z200" s="1">
        <f>0</f>
        <v>0</v>
      </c>
      <c r="AA200" s="1"/>
      <c r="AB200" s="5"/>
      <c r="AC200" s="5"/>
      <c r="AD200" s="1" t="e">
        <f>ABS(NETWORKDAYS.INTL("04/28/24", "03/25/24", 1, {"01/01/2024","01/15/2024","02/19/2024","05/27/2024","07/04/2024","09/02/2024","10/14/2024","11/11/2024","11/28/2024","12/25/2024","12/25/2024","12/26/2024","12/27/2024","12/28/2024","12/29/2024","12/30/2024","31/25/2024","01/01/2024","01/02/2024","01/03/2024","01/04/2024","01/05/2024"}))</f>
        <v>#VALUE!</v>
      </c>
      <c r="AE200" s="1" t="e">
        <f>ABS(NETWORKDAYS.INTL("04/30/24", "04/28/24", 1, {"01/01/2024","01/15/2024","02/19/2024","05/27/2024","07/04/2024","09/02/2024","10/14/2024","11/11/2024","11/28/2024","12/25/2024","12/25/2024","12/26/2024","12/27/2024","12/28/2024","12/29/2024","12/30/2024","31/25/2024","01/01/2024","01/02/2024","01/03/2024","01/04/2024","01/05/2024"}))</f>
        <v>#VALUE!</v>
      </c>
      <c r="AF200" s="1">
        <f>0</f>
        <v>0</v>
      </c>
      <c r="AG200" s="1">
        <f>0</f>
        <v>0</v>
      </c>
      <c r="AH200" s="1">
        <f>0</f>
        <v>0</v>
      </c>
      <c r="AI200" s="1">
        <f>0</f>
        <v>0</v>
      </c>
      <c r="AJ200" s="1" t="b">
        <v>1</v>
      </c>
      <c r="AK200" s="1"/>
      <c r="AL200" s="1"/>
      <c r="AM200" s="1"/>
      <c r="AN200" s="1"/>
      <c r="AO200" s="1"/>
      <c r="AP200" s="1"/>
      <c r="AQ200" s="1"/>
      <c r="AR200" s="1"/>
      <c r="AS200" s="1"/>
      <c r="AT200" s="1"/>
      <c r="AU200" s="1"/>
      <c r="AV200" s="1"/>
      <c r="AW200" s="1"/>
      <c r="AX200" s="1"/>
      <c r="AY200" s="1"/>
      <c r="AZ200" s="1"/>
    </row>
    <row r="201" spans="1:52" ht="15" customHeight="1" x14ac:dyDescent="0.35">
      <c r="A201" s="1" t="s">
        <v>1130</v>
      </c>
      <c r="B201" s="1" t="s">
        <v>458</v>
      </c>
      <c r="C201" s="1" t="s">
        <v>601</v>
      </c>
      <c r="D201" s="1" t="s">
        <v>937</v>
      </c>
      <c r="E201" s="1" t="s">
        <v>626</v>
      </c>
      <c r="F201" s="9" t="s">
        <v>1131</v>
      </c>
      <c r="G201" s="1" t="s">
        <v>406</v>
      </c>
      <c r="H2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1" s="11" t="e">
        <f>ABS(NETWORKDAYS.INTL("03/26/24", "08/05/24", 1, {"01/01/2024","01/15/2024","02/19/2024","05/27/2024","07/04/2024","09/02/2024","10/14/2024","11/11/2024","11/28/2024","12/25/2024","12/25/2024","12/26/2024","12/27/2024","12/28/2024","12/29/2024","12/30/2024","31/25/2024","01/01/2024","01/02/2024","01/03/2024","01/04/2024","01/05/2024"}))</f>
        <v>#VALUE!</v>
      </c>
      <c r="J201" s="1">
        <f>0</f>
        <v>0</v>
      </c>
      <c r="K201" s="1"/>
      <c r="L201" s="1">
        <v>0</v>
      </c>
      <c r="M201" s="1">
        <f>0</f>
        <v>0</v>
      </c>
      <c r="N201" s="1">
        <f>0</f>
        <v>0</v>
      </c>
      <c r="O201" s="1">
        <f>0</f>
        <v>0</v>
      </c>
      <c r="P201" s="1"/>
      <c r="Q201" s="1">
        <v>0</v>
      </c>
      <c r="R201" s="1">
        <v>0</v>
      </c>
      <c r="S201" s="1">
        <f>0</f>
        <v>0</v>
      </c>
      <c r="T201" s="1">
        <f>0</f>
        <v>0</v>
      </c>
      <c r="U201" s="1"/>
      <c r="V201" s="1">
        <v>0</v>
      </c>
      <c r="W201" s="1">
        <v>0</v>
      </c>
      <c r="X201" s="1">
        <f>0</f>
        <v>0</v>
      </c>
      <c r="Y201" s="1">
        <f>0</f>
        <v>0</v>
      </c>
      <c r="Z201" s="1">
        <f>0</f>
        <v>0</v>
      </c>
      <c r="AA201" s="1"/>
      <c r="AB201" s="5"/>
      <c r="AC201" s="5"/>
      <c r="AD201" s="1">
        <f>0</f>
        <v>0</v>
      </c>
      <c r="AE201" s="1">
        <f>0</f>
        <v>0</v>
      </c>
      <c r="AF201" s="1">
        <f>0</f>
        <v>0</v>
      </c>
      <c r="AG201" s="1">
        <f>0</f>
        <v>0</v>
      </c>
      <c r="AH201" s="1">
        <f>0</f>
        <v>0</v>
      </c>
      <c r="AI201" s="1">
        <f>0</f>
        <v>0</v>
      </c>
      <c r="AJ201" s="1" t="b">
        <v>1</v>
      </c>
      <c r="AK201" s="1"/>
      <c r="AL201" s="1"/>
      <c r="AM201" s="1"/>
      <c r="AN201" s="1"/>
      <c r="AO201" s="1"/>
      <c r="AP201" s="1"/>
      <c r="AQ201" s="1"/>
      <c r="AR201" s="1"/>
      <c r="AS201" s="1"/>
      <c r="AT201" s="1"/>
      <c r="AU201" s="1"/>
      <c r="AV201" s="1"/>
      <c r="AW201" s="1"/>
      <c r="AX201" s="1"/>
      <c r="AY201" s="1"/>
      <c r="AZ201" s="1"/>
    </row>
    <row r="202" spans="1:52" ht="15" customHeight="1" x14ac:dyDescent="0.35">
      <c r="A202" s="1" t="s">
        <v>1132</v>
      </c>
      <c r="B202" s="1" t="s">
        <v>459</v>
      </c>
      <c r="C202" s="1" t="s">
        <v>601</v>
      </c>
      <c r="D202" s="1" t="s">
        <v>1133</v>
      </c>
      <c r="E202" s="1" t="s">
        <v>978</v>
      </c>
      <c r="F202" s="9" t="s">
        <v>1134</v>
      </c>
      <c r="G202" s="1" t="s">
        <v>406</v>
      </c>
      <c r="H2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2" s="11" t="e">
        <f>ABS(NETWORKDAYS.INTL("03/25/24", "03/27/24", 1, {"01/01/2024","01/15/2024","02/19/2024","05/27/2024","07/04/2024","09/02/2024","10/14/2024","11/11/2024","11/28/2024","12/25/2024","12/25/2024","12/26/2024","12/27/2024","12/28/2024","12/29/2024","12/30/2024","31/25/2024","01/01/2024","01/02/2024","01/03/2024","01/04/2024","01/05/2024"}))</f>
        <v>#VALUE!</v>
      </c>
      <c r="J202" s="1">
        <f>0</f>
        <v>0</v>
      </c>
      <c r="K202" s="1"/>
      <c r="L202" s="1">
        <v>1</v>
      </c>
      <c r="M202" s="1" t="e">
        <f>ABS(NETWORKDAYS.INTL("04/28/24", "04/28/24", 1, {"01/01/2024","01/15/2024","02/19/2024","05/27/2024","07/04/2024","09/02/2024","10/14/2024","11/11/2024","11/28/2024","12/25/2024","12/25/2024","12/26/2024","12/27/2024","12/28/2024","12/29/2024","12/30/2024","31/25/2024","01/01/2024","01/02/2024","01/03/2024","01/04/2024","01/05/2024"}))</f>
        <v>#VALUE!</v>
      </c>
      <c r="N202" s="1" t="e">
        <f>ABS(NETWORKDAYS.INTL("04/30/24", "04/30/24", 1, {"01/01/2024","01/15/2024","02/19/2024","05/27/2024","07/04/2024","09/02/2024","10/14/2024","11/11/2024","11/28/2024","12/25/2024","12/25/2024","12/26/2024","12/27/2024","12/28/2024","12/29/2024","12/30/2024","31/25/2024","01/01/2024","01/02/2024","01/03/2024","01/04/2024","01/05/2024"}))</f>
        <v>#VALUE!</v>
      </c>
      <c r="O202" s="1">
        <f>0</f>
        <v>0</v>
      </c>
      <c r="P202" s="1"/>
      <c r="Q202" s="1">
        <v>1</v>
      </c>
      <c r="R202" s="1">
        <v>1</v>
      </c>
      <c r="S202" s="1">
        <f>0</f>
        <v>0</v>
      </c>
      <c r="T202" s="1">
        <f>0</f>
        <v>0</v>
      </c>
      <c r="U202" s="1"/>
      <c r="V202" s="1">
        <v>0</v>
      </c>
      <c r="W202" s="1">
        <v>0</v>
      </c>
      <c r="X202" s="1">
        <f>0</f>
        <v>0</v>
      </c>
      <c r="Y202" s="1">
        <f>0</f>
        <v>0</v>
      </c>
      <c r="Z202" s="1">
        <f>0</f>
        <v>0</v>
      </c>
      <c r="AA202" s="1"/>
      <c r="AB202" s="5"/>
      <c r="AC202" s="5"/>
      <c r="AD202" s="1" t="e">
        <f>ABS(NETWORKDAYS.INTL("04/28/24", "03/27/24", 1, {"01/01/2024","01/15/2024","02/19/2024","05/27/2024","07/04/2024","09/02/2024","10/14/2024","11/11/2024","11/28/2024","12/25/2024","12/25/2024","12/26/2024","12/27/2024","12/28/2024","12/29/2024","12/30/2024","31/25/2024","01/01/2024","01/02/2024","01/03/2024","01/04/2024","01/05/2024"}))</f>
        <v>#VALUE!</v>
      </c>
      <c r="AE202" s="1" t="e">
        <f>ABS(NETWORKDAYS.INTL("04/30/24", "04/28/24", 1, {"01/01/2024","01/15/2024","02/19/2024","05/27/2024","07/04/2024","09/02/2024","10/14/2024","11/11/2024","11/28/2024","12/25/2024","12/25/2024","12/26/2024","12/27/2024","12/28/2024","12/29/2024","12/30/2024","31/25/2024","01/01/2024","01/02/2024","01/03/2024","01/04/2024","01/05/2024"}))</f>
        <v>#VALUE!</v>
      </c>
      <c r="AF202" s="1" t="e">
        <f>ABS(NETWORKDAYS.INTL("04/30/24", "04/30/24", 1, {"01/01/2024","01/15/2024","02/19/2024","05/27/2024","07/04/2024","09/02/2024","10/14/2024","11/11/2024","11/28/2024","12/25/2024","12/25/2024","12/26/2024","12/27/2024","12/28/2024","12/29/2024","12/30/2024","31/25/2024","01/01/2024","01/02/2024","01/03/2024","01/04/2024","01/05/2024"}))</f>
        <v>#VALUE!</v>
      </c>
      <c r="AG202" s="1">
        <f>0</f>
        <v>0</v>
      </c>
      <c r="AH202" s="1">
        <f>0</f>
        <v>0</v>
      </c>
      <c r="AI202" s="1">
        <f>0</f>
        <v>0</v>
      </c>
      <c r="AJ202" s="1" t="b">
        <v>1</v>
      </c>
      <c r="AK202" s="1"/>
      <c r="AL202" s="1"/>
      <c r="AM202" s="1"/>
      <c r="AN202" s="1"/>
      <c r="AO202" s="1"/>
      <c r="AP202" s="1"/>
      <c r="AQ202" s="1"/>
      <c r="AR202" s="1"/>
      <c r="AS202" s="1"/>
      <c r="AT202" s="1"/>
      <c r="AU202" s="1"/>
      <c r="AV202" s="1"/>
      <c r="AW202" s="1"/>
      <c r="AX202" s="1"/>
      <c r="AY202" s="1"/>
      <c r="AZ202" s="1"/>
    </row>
    <row r="203" spans="1:52" ht="15" customHeight="1" x14ac:dyDescent="0.35">
      <c r="A203" s="1" t="s">
        <v>1135</v>
      </c>
      <c r="B203" s="1" t="s">
        <v>460</v>
      </c>
      <c r="C203" s="1" t="s">
        <v>601</v>
      </c>
      <c r="D203" s="1" t="s">
        <v>1136</v>
      </c>
      <c r="E203" s="1" t="s">
        <v>978</v>
      </c>
      <c r="F203" s="9" t="s">
        <v>1137</v>
      </c>
      <c r="G203" s="1" t="s">
        <v>406</v>
      </c>
      <c r="H2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3" s="11" t="e">
        <f>ABS(NETWORKDAYS.INTL("03/26/24", "03/26/24", 1, {"01/01/2024","01/15/2024","02/19/2024","05/27/2024","07/04/2024","09/02/2024","10/14/2024","11/11/2024","11/28/2024","12/25/2024","12/25/2024","12/26/2024","12/27/2024","12/28/2024","12/29/2024","12/30/2024","31/25/2024","01/01/2024","01/02/2024","01/03/2024","01/04/2024","01/05/2024"}))</f>
        <v>#VALUE!</v>
      </c>
      <c r="J203" s="1">
        <f>0</f>
        <v>0</v>
      </c>
      <c r="K203" s="1"/>
      <c r="L203" s="1">
        <v>1</v>
      </c>
      <c r="M203" s="1" t="e">
        <f>ABS(NETWORKDAYS.INTL("04/28/24", "04/28/24", 1, {"01/01/2024","01/15/2024","02/19/2024","05/27/2024","07/04/2024","09/02/2024","10/14/2024","11/11/2024","11/28/2024","12/25/2024","12/25/2024","12/26/2024","12/27/2024","12/28/2024","12/29/2024","12/30/2024","31/25/2024","01/01/2024","01/02/2024","01/03/2024","01/04/2024","01/05/2024"}))</f>
        <v>#VALUE!</v>
      </c>
      <c r="N203" s="1">
        <f>0</f>
        <v>0</v>
      </c>
      <c r="O203" s="1">
        <f>0</f>
        <v>0</v>
      </c>
      <c r="P203" s="1"/>
      <c r="Q203" s="1">
        <v>1</v>
      </c>
      <c r="R203" s="1">
        <v>1</v>
      </c>
      <c r="S203" s="1" t="e">
        <f>ABS(NETWORKDAYS.INTL("04/30/24", "08/05/24", 1, {"01/01/2024","01/15/2024","02/19/2024","05/27/2024","07/04/2024","09/02/2024","10/14/2024","11/11/2024","11/28/2024","12/25/2024","12/25/2024","12/26/2024","12/27/2024","12/28/2024","12/29/2024","12/30/2024","31/25/2024","01/01/2024","01/02/2024","01/03/2024","01/04/2024","01/05/2024"}))</f>
        <v>#VALUE!</v>
      </c>
      <c r="T203" s="1">
        <f>0</f>
        <v>0</v>
      </c>
      <c r="U203" s="1"/>
      <c r="V203" s="1">
        <v>0</v>
      </c>
      <c r="W203" s="1">
        <v>0</v>
      </c>
      <c r="X203" s="1">
        <f>0</f>
        <v>0</v>
      </c>
      <c r="Y203" s="1">
        <f>0</f>
        <v>0</v>
      </c>
      <c r="Z203" s="1">
        <f>0</f>
        <v>0</v>
      </c>
      <c r="AA203" s="1"/>
      <c r="AB203" s="5"/>
      <c r="AC203" s="5"/>
      <c r="AD203" s="1" t="e">
        <f>ABS(NETWORKDAYS.INTL("04/28/24", "03/26/24", 1, {"01/01/2024","01/15/2024","02/19/2024","05/27/2024","07/04/2024","09/02/2024","10/14/2024","11/11/2024","11/28/2024","12/25/2024","12/25/2024","12/26/2024","12/27/2024","12/28/2024","12/29/2024","12/30/2024","31/25/2024","01/01/2024","01/02/2024","01/03/2024","01/04/2024","01/05/2024"}))</f>
        <v>#VALUE!</v>
      </c>
      <c r="AE203" s="1">
        <f>0</f>
        <v>0</v>
      </c>
      <c r="AF203" s="1" t="e">
        <f>ABS(NETWORKDAYS.INTL("04/30/24", "04/28/24", 1, {"01/01/2024","01/15/2024","02/19/2024","05/27/2024","07/04/2024","09/02/2024","10/14/2024","11/11/2024","11/28/2024","12/25/2024","12/25/2024","12/26/2024","12/27/2024","12/28/2024","12/29/2024","12/30/2024","31/25/2024","01/01/2024","01/02/2024","01/03/2024","01/04/2024","01/05/2024"}))</f>
        <v>#VALUE!</v>
      </c>
      <c r="AG203" s="1">
        <f>0</f>
        <v>0</v>
      </c>
      <c r="AH203" s="1">
        <f>0</f>
        <v>0</v>
      </c>
      <c r="AI203" s="1">
        <f>0</f>
        <v>0</v>
      </c>
      <c r="AJ203" s="1" t="b">
        <v>1</v>
      </c>
      <c r="AK203" s="1"/>
      <c r="AL203" s="1"/>
      <c r="AM203" s="1"/>
      <c r="AN203" s="1"/>
      <c r="AO203" s="1"/>
      <c r="AP203" s="1"/>
      <c r="AQ203" s="1"/>
      <c r="AR203" s="1"/>
      <c r="AS203" s="1"/>
      <c r="AT203" s="1"/>
      <c r="AU203" s="1"/>
      <c r="AV203" s="1"/>
      <c r="AW203" s="1"/>
      <c r="AX203" s="1"/>
      <c r="AY203" s="1"/>
      <c r="AZ203" s="1"/>
    </row>
    <row r="204" spans="1:52" ht="15" customHeight="1" x14ac:dyDescent="0.35">
      <c r="A204" s="1" t="s">
        <v>1138</v>
      </c>
      <c r="B204" s="1" t="s">
        <v>461</v>
      </c>
      <c r="C204" s="1" t="s">
        <v>601</v>
      </c>
      <c r="D204" s="1" t="s">
        <v>1136</v>
      </c>
      <c r="E204" s="1" t="s">
        <v>978</v>
      </c>
      <c r="F204" s="9" t="s">
        <v>1139</v>
      </c>
      <c r="G204" s="1" t="s">
        <v>406</v>
      </c>
      <c r="H2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4" s="11" t="e">
        <f>ABS(NETWORKDAYS.INTL("03/25/24", "03/26/24", 1, {"01/01/2024","01/15/2024","02/19/2024","05/27/2024","07/04/2024","09/02/2024","10/14/2024","11/11/2024","11/28/2024","12/25/2024","12/25/2024","12/26/2024","12/27/2024","12/28/2024","12/29/2024","12/30/2024","31/25/2024","01/01/2024","01/02/2024","01/03/2024","01/04/2024","01/05/2024"}))</f>
        <v>#VALUE!</v>
      </c>
      <c r="J204" s="1">
        <f>0</f>
        <v>0</v>
      </c>
      <c r="K204" s="1"/>
      <c r="L204" s="1">
        <v>1</v>
      </c>
      <c r="M204" s="1" t="e">
        <f>ABS(NETWORKDAYS.INTL("04/28/24", "04/28/24", 1, {"01/01/2024","01/15/2024","02/19/2024","05/27/2024","07/04/2024","09/02/2024","10/14/2024","11/11/2024","11/28/2024","12/25/2024","12/25/2024","12/26/2024","12/27/2024","12/28/2024","12/29/2024","12/30/2024","31/25/2024","01/01/2024","01/02/2024","01/03/2024","01/04/2024","01/05/2024"}))</f>
        <v>#VALUE!</v>
      </c>
      <c r="N204" s="1">
        <f>0</f>
        <v>0</v>
      </c>
      <c r="O204" s="1">
        <f>0</f>
        <v>0</v>
      </c>
      <c r="P204" s="1"/>
      <c r="Q204" s="1">
        <v>1</v>
      </c>
      <c r="R204" s="1">
        <v>1</v>
      </c>
      <c r="S204" s="1" t="e">
        <f>ABS(NETWORKDAYS.INTL("04/30/24", "08/05/24", 1, {"01/01/2024","01/15/2024","02/19/2024","05/27/2024","07/04/2024","09/02/2024","10/14/2024","11/11/2024","11/28/2024","12/25/2024","12/25/2024","12/26/2024","12/27/2024","12/28/2024","12/29/2024","12/30/2024","31/25/2024","01/01/2024","01/02/2024","01/03/2024","01/04/2024","01/05/2024"}))</f>
        <v>#VALUE!</v>
      </c>
      <c r="T204" s="1">
        <f>0</f>
        <v>0</v>
      </c>
      <c r="U204" s="1"/>
      <c r="V204" s="1">
        <v>0</v>
      </c>
      <c r="W204" s="1">
        <v>0</v>
      </c>
      <c r="X204" s="1">
        <f>0</f>
        <v>0</v>
      </c>
      <c r="Y204" s="1">
        <f>0</f>
        <v>0</v>
      </c>
      <c r="Z204" s="1">
        <f>0</f>
        <v>0</v>
      </c>
      <c r="AA204" s="1"/>
      <c r="AB204" s="5"/>
      <c r="AC204" s="5"/>
      <c r="AD204" s="1" t="e">
        <f>ABS(NETWORKDAYS.INTL("04/28/24", "03/26/24", 1, {"01/01/2024","01/15/2024","02/19/2024","05/27/2024","07/04/2024","09/02/2024","10/14/2024","11/11/2024","11/28/2024","12/25/2024","12/25/2024","12/26/2024","12/27/2024","12/28/2024","12/29/2024","12/30/2024","31/25/2024","01/01/2024","01/02/2024","01/03/2024","01/04/2024","01/05/2024"}))</f>
        <v>#VALUE!</v>
      </c>
      <c r="AE204" s="1">
        <f>0</f>
        <v>0</v>
      </c>
      <c r="AF204" s="1" t="e">
        <f>ABS(NETWORKDAYS.INTL("04/30/24", "04/28/24", 1, {"01/01/2024","01/15/2024","02/19/2024","05/27/2024","07/04/2024","09/02/2024","10/14/2024","11/11/2024","11/28/2024","12/25/2024","12/25/2024","12/26/2024","12/27/2024","12/28/2024","12/29/2024","12/30/2024","31/25/2024","01/01/2024","01/02/2024","01/03/2024","01/04/2024","01/05/2024"}))</f>
        <v>#VALUE!</v>
      </c>
      <c r="AG204" s="1">
        <f>0</f>
        <v>0</v>
      </c>
      <c r="AH204" s="1">
        <f>0</f>
        <v>0</v>
      </c>
      <c r="AI204" s="1">
        <f>0</f>
        <v>0</v>
      </c>
      <c r="AJ204" s="1" t="b">
        <v>1</v>
      </c>
      <c r="AK204" s="1"/>
      <c r="AL204" s="1"/>
      <c r="AM204" s="1"/>
      <c r="AN204" s="1"/>
      <c r="AO204" s="1"/>
      <c r="AP204" s="1"/>
      <c r="AQ204" s="1"/>
      <c r="AR204" s="1"/>
      <c r="AS204" s="1"/>
      <c r="AT204" s="1"/>
      <c r="AU204" s="1"/>
      <c r="AV204" s="1"/>
      <c r="AW204" s="1"/>
      <c r="AX204" s="1"/>
      <c r="AY204" s="1"/>
      <c r="AZ204" s="1"/>
    </row>
    <row r="205" spans="1:52" ht="15" customHeight="1" x14ac:dyDescent="0.35">
      <c r="A205" s="1" t="s">
        <v>1140</v>
      </c>
      <c r="B205" s="1" t="s">
        <v>1141</v>
      </c>
      <c r="C205" s="1" t="s">
        <v>640</v>
      </c>
      <c r="D205" s="1" t="s">
        <v>1142</v>
      </c>
      <c r="E205" s="1" t="s">
        <v>1143</v>
      </c>
      <c r="F205" s="9" t="s">
        <v>1144</v>
      </c>
      <c r="G205" s="1" t="s">
        <v>463</v>
      </c>
      <c r="H2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205" s="11">
        <f>0</f>
        <v>0</v>
      </c>
      <c r="J205" s="1">
        <f>0</f>
        <v>0</v>
      </c>
      <c r="K205" s="1"/>
      <c r="L205" s="1">
        <v>0</v>
      </c>
      <c r="M205" s="1">
        <f>0</f>
        <v>0</v>
      </c>
      <c r="N205" s="1">
        <f>0</f>
        <v>0</v>
      </c>
      <c r="O205" s="1">
        <f>0</f>
        <v>0</v>
      </c>
      <c r="P205" s="1"/>
      <c r="Q205" s="1">
        <v>0</v>
      </c>
      <c r="R205" s="1">
        <v>0</v>
      </c>
      <c r="S205" s="1">
        <f>0</f>
        <v>0</v>
      </c>
      <c r="T205" s="1">
        <f>0</f>
        <v>0</v>
      </c>
      <c r="U205" s="1"/>
      <c r="V205" s="1">
        <v>0</v>
      </c>
      <c r="W205" s="1">
        <v>0</v>
      </c>
      <c r="X205" s="1">
        <f>0</f>
        <v>0</v>
      </c>
      <c r="Y205" s="1">
        <f>0</f>
        <v>0</v>
      </c>
      <c r="Z205" s="1">
        <f>0</f>
        <v>0</v>
      </c>
      <c r="AA205" s="1"/>
      <c r="AB205" s="5"/>
      <c r="AC205" s="5"/>
      <c r="AD205" s="1">
        <f>0</f>
        <v>0</v>
      </c>
      <c r="AE205" s="1">
        <f>0</f>
        <v>0</v>
      </c>
      <c r="AF205" s="1">
        <f>0</f>
        <v>0</v>
      </c>
      <c r="AG205" s="1">
        <f>0</f>
        <v>0</v>
      </c>
      <c r="AH205" s="1">
        <f>0</f>
        <v>0</v>
      </c>
      <c r="AI205" s="1">
        <f>0</f>
        <v>0</v>
      </c>
      <c r="AJ205" s="1"/>
      <c r="AK205" s="1"/>
      <c r="AL205" s="1"/>
      <c r="AM205" s="1"/>
      <c r="AN205" s="1"/>
      <c r="AO205" s="1"/>
      <c r="AP205" s="1"/>
      <c r="AQ205" s="1"/>
      <c r="AR205" s="1"/>
      <c r="AS205" s="1"/>
      <c r="AT205" s="1"/>
      <c r="AU205" s="1"/>
      <c r="AV205" s="1"/>
      <c r="AW205" s="1"/>
      <c r="AX205" s="1"/>
      <c r="AY205" s="1"/>
      <c r="AZ205" s="1"/>
    </row>
    <row r="206" spans="1:52" ht="15" customHeight="1" x14ac:dyDescent="0.35">
      <c r="A206" s="1" t="s">
        <v>1145</v>
      </c>
      <c r="B206" s="1" t="s">
        <v>1146</v>
      </c>
      <c r="C206" s="1" t="s">
        <v>629</v>
      </c>
      <c r="D206" s="1" t="s">
        <v>1142</v>
      </c>
      <c r="E206" s="1" t="s">
        <v>1119</v>
      </c>
      <c r="F206" s="9" t="s">
        <v>1147</v>
      </c>
      <c r="G206" s="1" t="s">
        <v>463</v>
      </c>
      <c r="H2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06" s="11" t="e">
        <f>ABS(NETWORKDAYS.INTL("07/15/24", "7/15/24", 1, {"01/01/2024","01/15/2024","02/19/2024","05/27/2024","07/04/2024","09/02/2024","10/14/2024","11/11/2024","11/28/2024","12/25/2024","12/25/2024","12/26/2024","12/27/2024","12/28/2024","12/29/2024","12/30/2024","31/25/2024","01/01/2024","01/02/2024","01/03/2024","01/04/2024","01/05/2024"}))</f>
        <v>#VALUE!</v>
      </c>
      <c r="J206" s="1">
        <f>0</f>
        <v>0</v>
      </c>
      <c r="K206" s="1"/>
      <c r="L206" s="1">
        <v>1</v>
      </c>
      <c r="M206" s="1" t="e">
        <f>ABS(NETWORKDAYS.INTL("7/19/24", "7/19/24", 1, {"01/01/2024","01/15/2024","02/19/2024","05/27/2024","07/04/2024","09/02/2024","10/14/2024","11/11/2024","11/28/2024","12/25/2024","12/25/2024","12/26/2024","12/27/2024","12/28/2024","12/29/2024","12/30/2024","31/25/2024","01/01/2024","01/02/2024","01/03/2024","01/04/2024","01/05/2024"}))</f>
        <v>#VALUE!</v>
      </c>
      <c r="N206" s="1">
        <f>0</f>
        <v>0</v>
      </c>
      <c r="O206" s="1">
        <f>0</f>
        <v>0</v>
      </c>
      <c r="P206" s="1"/>
      <c r="Q206" s="1">
        <v>0</v>
      </c>
      <c r="R206" s="1">
        <v>0</v>
      </c>
      <c r="S206" s="1">
        <f>0</f>
        <v>0</v>
      </c>
      <c r="T206" s="1">
        <f>0</f>
        <v>0</v>
      </c>
      <c r="U206" s="1"/>
      <c r="V206" s="1">
        <v>0</v>
      </c>
      <c r="W206" s="1">
        <v>0</v>
      </c>
      <c r="X206" s="1">
        <f>0</f>
        <v>0</v>
      </c>
      <c r="Y206" s="1">
        <f>0</f>
        <v>0</v>
      </c>
      <c r="Z206" s="1">
        <f>0</f>
        <v>0</v>
      </c>
      <c r="AA206" s="1"/>
      <c r="AB206" s="5"/>
      <c r="AC206" s="5"/>
      <c r="AD206" s="1" t="e">
        <f>ABS(NETWORKDAYS.INTL("7/19/24", "7/15/24", 1, {"01/01/2024","01/15/2024","02/19/2024","05/27/2024","07/04/2024","09/02/2024","10/14/2024","11/11/2024","11/28/2024","12/25/2024","12/25/2024","12/26/2024","12/27/2024","12/28/2024","12/29/2024","12/30/2024","31/25/2024","01/01/2024","01/02/2024","01/03/2024","01/04/2024","01/05/2024"}))</f>
        <v>#VALUE!</v>
      </c>
      <c r="AE206" s="1">
        <f>0</f>
        <v>0</v>
      </c>
      <c r="AF206" s="1">
        <f>0</f>
        <v>0</v>
      </c>
      <c r="AG206" s="1">
        <f>0</f>
        <v>0</v>
      </c>
      <c r="AH206" s="1">
        <f>0</f>
        <v>0</v>
      </c>
      <c r="AI206" s="1">
        <f>0</f>
        <v>0</v>
      </c>
      <c r="AJ206" s="1" t="b">
        <v>1</v>
      </c>
      <c r="AK206" s="1"/>
      <c r="AL206" s="1"/>
      <c r="AM206" s="1"/>
      <c r="AN206" s="1"/>
      <c r="AO206" s="1"/>
      <c r="AP206" s="1"/>
      <c r="AQ206" s="1"/>
      <c r="AR206" s="1"/>
      <c r="AS206" s="1"/>
      <c r="AT206" s="1"/>
      <c r="AU206" s="1"/>
      <c r="AV206" s="1"/>
      <c r="AW206" s="1"/>
      <c r="AX206" s="1"/>
      <c r="AY206" s="1"/>
      <c r="AZ206" s="1"/>
    </row>
    <row r="207" spans="1:52" ht="15" customHeight="1" x14ac:dyDescent="0.35">
      <c r="A207" s="1" t="s">
        <v>1148</v>
      </c>
      <c r="B207" s="1" t="s">
        <v>462</v>
      </c>
      <c r="C207" s="1" t="s">
        <v>1149</v>
      </c>
      <c r="D207" s="1"/>
      <c r="E207" s="1" t="s">
        <v>1150</v>
      </c>
      <c r="F207" s="9" t="s">
        <v>1151</v>
      </c>
      <c r="G207" s="1" t="s">
        <v>463</v>
      </c>
      <c r="H2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7" s="11">
        <f>0</f>
        <v>0</v>
      </c>
      <c r="J207" s="1">
        <f>0</f>
        <v>0</v>
      </c>
      <c r="K207" s="1"/>
      <c r="L207" s="1">
        <v>0</v>
      </c>
      <c r="M207" s="1">
        <f>0</f>
        <v>0</v>
      </c>
      <c r="N207" s="1">
        <f>0</f>
        <v>0</v>
      </c>
      <c r="O207" s="1">
        <f>0</f>
        <v>0</v>
      </c>
      <c r="P207" s="1"/>
      <c r="Q207" s="1">
        <v>0</v>
      </c>
      <c r="R207" s="1">
        <v>0</v>
      </c>
      <c r="S207" s="1">
        <f>0</f>
        <v>0</v>
      </c>
      <c r="T207" s="1">
        <f>0</f>
        <v>0</v>
      </c>
      <c r="U207" s="1"/>
      <c r="V207" s="1">
        <v>0</v>
      </c>
      <c r="W207" s="1">
        <v>0</v>
      </c>
      <c r="X207" s="1">
        <f>0</f>
        <v>0</v>
      </c>
      <c r="Y207" s="1">
        <f>0</f>
        <v>0</v>
      </c>
      <c r="Z207" s="1">
        <f>0</f>
        <v>0</v>
      </c>
      <c r="AA207" s="1"/>
      <c r="AB207" s="5"/>
      <c r="AC207" s="5"/>
      <c r="AD207" s="1">
        <f>0</f>
        <v>0</v>
      </c>
      <c r="AE207" s="1">
        <f>0</f>
        <v>0</v>
      </c>
      <c r="AF207" s="1">
        <f>0</f>
        <v>0</v>
      </c>
      <c r="AG207" s="1">
        <f>0</f>
        <v>0</v>
      </c>
      <c r="AH207" s="1">
        <f>0</f>
        <v>0</v>
      </c>
      <c r="AI207" s="1">
        <f>0</f>
        <v>0</v>
      </c>
      <c r="AJ207" s="1"/>
      <c r="AK207" s="1" t="b">
        <v>1</v>
      </c>
      <c r="AL207" s="1"/>
      <c r="AM207" s="1" t="b">
        <v>1</v>
      </c>
      <c r="AN207" s="1" t="b">
        <v>1</v>
      </c>
      <c r="AO207" s="1"/>
      <c r="AP207" s="1"/>
      <c r="AQ207" s="1"/>
      <c r="AR207" s="1"/>
      <c r="AS207" s="1"/>
      <c r="AT207" s="1"/>
      <c r="AU207" s="1"/>
      <c r="AV207" s="1"/>
      <c r="AW207" s="1"/>
      <c r="AX207" s="1"/>
      <c r="AY207" s="1"/>
      <c r="AZ207" s="1"/>
    </row>
    <row r="208" spans="1:52" ht="15" customHeight="1" x14ac:dyDescent="0.35">
      <c r="A208" s="1" t="s">
        <v>1152</v>
      </c>
      <c r="B208" s="1" t="s">
        <v>464</v>
      </c>
      <c r="C208" s="1" t="s">
        <v>1149</v>
      </c>
      <c r="D208" s="1"/>
      <c r="E208" s="1" t="s">
        <v>1150</v>
      </c>
      <c r="F208" s="9" t="s">
        <v>1153</v>
      </c>
      <c r="G208" s="1" t="s">
        <v>463</v>
      </c>
      <c r="H2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8" s="11">
        <f>0</f>
        <v>0</v>
      </c>
      <c r="J208" s="1">
        <f>0</f>
        <v>0</v>
      </c>
      <c r="K208" s="1"/>
      <c r="L208" s="1">
        <v>0</v>
      </c>
      <c r="M208" s="1">
        <f>0</f>
        <v>0</v>
      </c>
      <c r="N208" s="1">
        <f>0</f>
        <v>0</v>
      </c>
      <c r="O208" s="1">
        <f>0</f>
        <v>0</v>
      </c>
      <c r="P208" s="1"/>
      <c r="Q208" s="1">
        <v>0</v>
      </c>
      <c r="R208" s="1">
        <v>0</v>
      </c>
      <c r="S208" s="1">
        <f>0</f>
        <v>0</v>
      </c>
      <c r="T208" s="1">
        <f>0</f>
        <v>0</v>
      </c>
      <c r="U208" s="1"/>
      <c r="V208" s="1">
        <v>0</v>
      </c>
      <c r="W208" s="1">
        <v>0</v>
      </c>
      <c r="X208" s="1">
        <f>0</f>
        <v>0</v>
      </c>
      <c r="Y208" s="1">
        <f>0</f>
        <v>0</v>
      </c>
      <c r="Z208" s="1">
        <f>0</f>
        <v>0</v>
      </c>
      <c r="AA208" s="1"/>
      <c r="AB208" s="5"/>
      <c r="AC208" s="5"/>
      <c r="AD208" s="1">
        <f>0</f>
        <v>0</v>
      </c>
      <c r="AE208" s="1">
        <f>0</f>
        <v>0</v>
      </c>
      <c r="AF208" s="1">
        <f>0</f>
        <v>0</v>
      </c>
      <c r="AG208" s="1">
        <f>0</f>
        <v>0</v>
      </c>
      <c r="AH208" s="1">
        <f>0</f>
        <v>0</v>
      </c>
      <c r="AI208" s="1">
        <f>0</f>
        <v>0</v>
      </c>
      <c r="AJ208" s="1"/>
      <c r="AK208" s="1" t="b">
        <v>1</v>
      </c>
      <c r="AL208" s="1"/>
      <c r="AM208" s="1" t="b">
        <v>1</v>
      </c>
      <c r="AN208" s="1" t="b">
        <v>1</v>
      </c>
      <c r="AO208" s="1"/>
      <c r="AP208" s="1"/>
      <c r="AQ208" s="1"/>
      <c r="AR208" s="1"/>
      <c r="AS208" s="1"/>
      <c r="AT208" s="1"/>
      <c r="AU208" s="1"/>
      <c r="AV208" s="1"/>
      <c r="AW208" s="1"/>
      <c r="AX208" s="1"/>
      <c r="AY208" s="1"/>
      <c r="AZ208" s="1"/>
    </row>
    <row r="209" spans="1:52" ht="15" customHeight="1" x14ac:dyDescent="0.35">
      <c r="A209" s="1" t="s">
        <v>1154</v>
      </c>
      <c r="B209" s="1" t="s">
        <v>465</v>
      </c>
      <c r="C209" s="1" t="s">
        <v>1149</v>
      </c>
      <c r="D209" s="1"/>
      <c r="E209" s="1" t="s">
        <v>1150</v>
      </c>
      <c r="F209" s="9" t="s">
        <v>1153</v>
      </c>
      <c r="G209" s="1" t="s">
        <v>463</v>
      </c>
      <c r="H2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09" s="11">
        <f>0</f>
        <v>0</v>
      </c>
      <c r="J209" s="1">
        <f>0</f>
        <v>0</v>
      </c>
      <c r="K209" s="1"/>
      <c r="L209" s="1">
        <v>0</v>
      </c>
      <c r="M209" s="1">
        <f>0</f>
        <v>0</v>
      </c>
      <c r="N209" s="1">
        <f>0</f>
        <v>0</v>
      </c>
      <c r="O209" s="1">
        <f>0</f>
        <v>0</v>
      </c>
      <c r="P209" s="1"/>
      <c r="Q209" s="1">
        <v>0</v>
      </c>
      <c r="R209" s="1">
        <v>0</v>
      </c>
      <c r="S209" s="1">
        <f>0</f>
        <v>0</v>
      </c>
      <c r="T209" s="1">
        <f>0</f>
        <v>0</v>
      </c>
      <c r="U209" s="1"/>
      <c r="V209" s="1">
        <v>0</v>
      </c>
      <c r="W209" s="1">
        <v>0</v>
      </c>
      <c r="X209" s="1">
        <f>0</f>
        <v>0</v>
      </c>
      <c r="Y209" s="1">
        <f>0</f>
        <v>0</v>
      </c>
      <c r="Z209" s="1">
        <f>0</f>
        <v>0</v>
      </c>
      <c r="AA209" s="1"/>
      <c r="AB209" s="5"/>
      <c r="AC209" s="5"/>
      <c r="AD209" s="1">
        <f>0</f>
        <v>0</v>
      </c>
      <c r="AE209" s="1">
        <f>0</f>
        <v>0</v>
      </c>
      <c r="AF209" s="1">
        <f>0</f>
        <v>0</v>
      </c>
      <c r="AG209" s="1">
        <f>0</f>
        <v>0</v>
      </c>
      <c r="AH209" s="1">
        <f>0</f>
        <v>0</v>
      </c>
      <c r="AI209" s="1">
        <f>0</f>
        <v>0</v>
      </c>
      <c r="AJ209" s="1"/>
      <c r="AK209" s="1" t="b">
        <v>1</v>
      </c>
      <c r="AL209" s="1"/>
      <c r="AM209" s="1" t="b">
        <v>1</v>
      </c>
      <c r="AN209" s="1" t="b">
        <v>1</v>
      </c>
      <c r="AO209" s="1"/>
      <c r="AP209" s="1"/>
      <c r="AQ209" s="1"/>
      <c r="AR209" s="1"/>
      <c r="AS209" s="1"/>
      <c r="AT209" s="1"/>
      <c r="AU209" s="1"/>
      <c r="AV209" s="1"/>
      <c r="AW209" s="1"/>
      <c r="AX209" s="1"/>
      <c r="AY209" s="1"/>
      <c r="AZ209" s="1"/>
    </row>
    <row r="210" spans="1:52" ht="15" customHeight="1" x14ac:dyDescent="0.35">
      <c r="A210" s="1" t="s">
        <v>1155</v>
      </c>
      <c r="B210" s="1" t="s">
        <v>466</v>
      </c>
      <c r="C210" s="1" t="s">
        <v>1149</v>
      </c>
      <c r="D210" s="1"/>
      <c r="E210" s="1" t="s">
        <v>1150</v>
      </c>
      <c r="F210" s="9" t="s">
        <v>1153</v>
      </c>
      <c r="G210" s="1" t="s">
        <v>463</v>
      </c>
      <c r="H2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210" s="11">
        <f>0</f>
        <v>0</v>
      </c>
      <c r="J210" s="1">
        <f>0</f>
        <v>0</v>
      </c>
      <c r="K210" s="1"/>
      <c r="L210" s="1">
        <v>0</v>
      </c>
      <c r="M210" s="1">
        <f>0</f>
        <v>0</v>
      </c>
      <c r="N210" s="1">
        <f>0</f>
        <v>0</v>
      </c>
      <c r="O210" s="1">
        <f>0</f>
        <v>0</v>
      </c>
      <c r="P210" s="1"/>
      <c r="Q210" s="1">
        <v>0</v>
      </c>
      <c r="R210" s="1">
        <v>0</v>
      </c>
      <c r="S210" s="1">
        <f>0</f>
        <v>0</v>
      </c>
      <c r="T210" s="1">
        <f>0</f>
        <v>0</v>
      </c>
      <c r="U210" s="1"/>
      <c r="V210" s="1">
        <v>0</v>
      </c>
      <c r="W210" s="1">
        <v>0</v>
      </c>
      <c r="X210" s="1">
        <f>0</f>
        <v>0</v>
      </c>
      <c r="Y210" s="1">
        <f>0</f>
        <v>0</v>
      </c>
      <c r="Z210" s="1">
        <f>0</f>
        <v>0</v>
      </c>
      <c r="AA210" s="1"/>
      <c r="AB210" s="5"/>
      <c r="AC210" s="5"/>
      <c r="AD210" s="1">
        <f>0</f>
        <v>0</v>
      </c>
      <c r="AE210" s="1">
        <f>0</f>
        <v>0</v>
      </c>
      <c r="AF210" s="1">
        <f>0</f>
        <v>0</v>
      </c>
      <c r="AG210" s="1">
        <f>0</f>
        <v>0</v>
      </c>
      <c r="AH210" s="1">
        <f>0</f>
        <v>0</v>
      </c>
      <c r="AI210" s="1">
        <f>0</f>
        <v>0</v>
      </c>
      <c r="AJ210" s="1"/>
      <c r="AK210" s="1" t="b">
        <v>1</v>
      </c>
      <c r="AL210" s="1"/>
      <c r="AM210" s="1" t="b">
        <v>1</v>
      </c>
      <c r="AN210" s="1" t="b">
        <v>1</v>
      </c>
      <c r="AO210" s="1"/>
      <c r="AP210" s="1"/>
      <c r="AQ210" s="1"/>
      <c r="AR210" s="1"/>
      <c r="AS210" s="1"/>
      <c r="AT210" s="1"/>
      <c r="AU210" s="1"/>
      <c r="AV210" s="1"/>
      <c r="AW210" s="1"/>
      <c r="AX210" s="1"/>
      <c r="AY210" s="1"/>
      <c r="AZ210" s="1"/>
    </row>
    <row r="211" spans="1:52" ht="15" customHeight="1" x14ac:dyDescent="0.35">
      <c r="A211" s="1" t="s">
        <v>1156</v>
      </c>
      <c r="B211" s="1" t="s">
        <v>467</v>
      </c>
      <c r="C211" s="1" t="s">
        <v>1157</v>
      </c>
      <c r="D211" s="1" t="s">
        <v>1158</v>
      </c>
      <c r="E211" s="1" t="s">
        <v>1159</v>
      </c>
      <c r="F211" s="9" t="s">
        <v>1160</v>
      </c>
      <c r="G211" s="1" t="s">
        <v>463</v>
      </c>
      <c r="H2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1" s="11" t="e">
        <f>ABS(NETWORKDAYS.INTL("05/24/24", "05/29/24", 1, {"01/01/2024","01/15/2024","02/19/2024","05/27/2024","07/04/2024","09/02/2024","10/14/2024","11/11/2024","11/28/2024","12/25/2024","12/25/2024","12/26/2024","12/27/2024","12/28/2024","12/29/2024","12/30/2024","31/25/2024","01/01/2024","01/02/2024","01/03/2024","01/04/2024","01/05/2024"}))</f>
        <v>#VALUE!</v>
      </c>
      <c r="J211" s="1">
        <f>0</f>
        <v>0</v>
      </c>
      <c r="K211" s="1"/>
      <c r="L211" s="1">
        <v>1</v>
      </c>
      <c r="M211" s="1" t="e">
        <f>ABS(NETWORKDAYS.INTL("05/29/24", "05/29/24", 1, {"01/01/2024","01/15/2024","02/19/2024","05/27/2024","07/04/2024","09/02/2024","10/14/2024","11/11/2024","11/28/2024","12/25/2024","12/25/2024","12/26/2024","12/27/2024","12/28/2024","12/29/2024","12/30/2024","31/25/2024","01/01/2024","01/02/2024","01/03/2024","01/04/2024","01/05/2024"}))</f>
        <v>#VALUE!</v>
      </c>
      <c r="N211" s="1">
        <f>0</f>
        <v>0</v>
      </c>
      <c r="O211" s="1">
        <f>0</f>
        <v>0</v>
      </c>
      <c r="P211" s="1"/>
      <c r="Q211" s="1">
        <v>1</v>
      </c>
      <c r="R211" s="1">
        <v>1</v>
      </c>
      <c r="S211" s="1" t="e">
        <f>ABS(NETWORKDAYS.INTL("06/03/24", "06/03/24", 1, {"01/01/2024","01/15/2024","02/19/2024","05/27/2024","07/04/2024","09/02/2024","10/14/2024","11/11/2024","11/28/2024","12/25/2024","12/25/2024","12/26/2024","12/27/2024","12/28/2024","12/29/2024","12/30/2024","31/25/2024","01/01/2024","01/02/2024","01/03/2024","01/04/2024","01/05/2024"}))</f>
        <v>#VALUE!</v>
      </c>
      <c r="T211" s="1">
        <f>0</f>
        <v>0</v>
      </c>
      <c r="U211" s="1"/>
      <c r="V211" s="1">
        <v>2</v>
      </c>
      <c r="W211" s="1">
        <v>1</v>
      </c>
      <c r="X211" s="1" t="e">
        <f>ABS(NETWORKDAYS.INTL("06/05/24", "06/05/24", 1, {"01/01/2024","01/15/2024","02/19/2024","05/27/2024","07/04/2024","09/02/2024","10/14/2024","11/11/2024","11/28/2024","12/25/2024","12/25/2024","12/26/2024","12/27/2024","12/28/2024","12/29/2024","12/30/2024","31/25/2024","01/01/2024","01/02/2024","01/03/2024","01/04/2024","01/05/2024"}))</f>
        <v>#VALUE!</v>
      </c>
      <c r="Y211"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11" s="1" t="e">
        <f>ABS(NETWORKDAYS.INTL("06/05/2024", "06/11/2024", 1, {"01/01/2024","01/15/2024","02/19/2024","05/27/2024","07/04/2024","09/02/2024","10/14/2024","11/11/2024","11/28/2024","12/25/2024","12/25/2024","12/26/2024","12/27/2024","12/28/2024","12/29/2024","12/30/2024","31/25/2024","01/01/2024","01/02/2024","01/03/2024","01/04/2024","01/05/2024"}))</f>
        <v>#VALUE!</v>
      </c>
      <c r="AA211" s="1"/>
      <c r="AB211" s="5"/>
      <c r="AC211" s="5"/>
      <c r="AD211" s="1" t="e">
        <f>ABS(NETWORKDAYS.INTL("05/29/24", "05/29/24", 1, {"01/01/2024","01/15/2024","02/19/2024","05/27/2024","07/04/2024","09/02/2024","10/14/2024","11/11/2024","11/28/2024","12/25/2024","12/25/2024","12/26/2024","12/27/2024","12/28/2024","12/29/2024","12/30/2024","31/25/2024","01/01/2024","01/02/2024","01/03/2024","01/04/2024","01/05/2024"}))</f>
        <v>#VALUE!</v>
      </c>
      <c r="AE211" s="1">
        <f>0</f>
        <v>0</v>
      </c>
      <c r="AF211" s="1" t="e">
        <f>ABS(NETWORKDAYS.INTL("05/31/24", "05/29/24", 1, {"01/01/2024","01/15/2024","02/19/2024","05/27/2024","07/04/2024","09/02/2024","10/14/2024","11/11/2024","11/28/2024","12/25/2024","12/25/2024","12/26/2024","12/27/2024","12/28/2024","12/29/2024","12/30/2024","31/25/2024","01/01/2024","01/02/2024","01/03/2024","01/04/2024","01/05/2024"}))</f>
        <v>#VALUE!</v>
      </c>
      <c r="AG211" s="1" t="e">
        <f>ABS(NETWORKDAYS.INTL("06/03/24", "05/31/24", 1, {"01/01/2024","01/15/2024","02/19/2024","05/27/2024","07/04/2024","09/02/2024","10/14/2024","11/11/2024","11/28/2024","12/25/2024","12/25/2024","12/26/2024","12/27/2024","12/28/2024","12/29/2024","12/30/2024","31/25/2024","01/01/2024","01/02/2024","01/03/2024","01/04/2024","01/05/2024"}))</f>
        <v>#VALUE!</v>
      </c>
      <c r="AH211" s="1" t="e">
        <f>ABS(NETWORKDAYS.INTL("06/05/24", "06/03/24", 1, {"01/01/2024","01/15/2024","02/19/2024","05/27/2024","07/04/2024","09/02/2024","10/14/2024","11/11/2024","11/28/2024","12/25/2024","12/25/2024","12/26/2024","12/27/2024","12/28/2024","12/29/2024","12/30/2024","31/25/2024","01/01/2024","01/02/2024","01/03/2024","01/04/2024","01/05/2024"}))</f>
        <v>#VALUE!</v>
      </c>
      <c r="AI211" s="1">
        <f>0</f>
        <v>0</v>
      </c>
      <c r="AJ211" s="1" t="b">
        <v>1</v>
      </c>
      <c r="AK211" s="1"/>
      <c r="AL211" s="1"/>
      <c r="AM211" s="1"/>
      <c r="AN211" s="1"/>
      <c r="AO211" s="1"/>
      <c r="AP211" s="1"/>
      <c r="AQ211" s="1"/>
      <c r="AR211" s="1"/>
      <c r="AS211" s="1"/>
      <c r="AT211" s="1"/>
      <c r="AU211" s="1"/>
      <c r="AV211" s="1"/>
      <c r="AW211" s="1"/>
      <c r="AX211" s="1"/>
      <c r="AY211" s="1"/>
      <c r="AZ211" s="1"/>
    </row>
    <row r="212" spans="1:52" ht="15" customHeight="1" x14ac:dyDescent="0.35">
      <c r="A212" s="1" t="s">
        <v>1161</v>
      </c>
      <c r="B212" s="1" t="s">
        <v>468</v>
      </c>
      <c r="C212" s="1" t="s">
        <v>1157</v>
      </c>
      <c r="D212" s="1" t="s">
        <v>1158</v>
      </c>
      <c r="E212" s="1" t="s">
        <v>1159</v>
      </c>
      <c r="F212" s="9" t="s">
        <v>1162</v>
      </c>
      <c r="G212" s="1" t="s">
        <v>463</v>
      </c>
      <c r="H2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2" s="11" t="e">
        <f>ABS(NETWORKDAYS.INTL("05/24/24", "05/29/24", 1, {"01/01/2024","01/15/2024","02/19/2024","05/27/2024","07/04/2024","09/02/2024","10/14/2024","11/11/2024","11/28/2024","12/25/2024","12/25/2024","12/26/2024","12/27/2024","12/28/2024","12/29/2024","12/30/2024","31/25/2024","01/01/2024","01/02/2024","01/03/2024","01/04/2024","01/05/2024"}))</f>
        <v>#VALUE!</v>
      </c>
      <c r="J212" s="1">
        <f>0</f>
        <v>0</v>
      </c>
      <c r="K212" s="1"/>
      <c r="L212" s="1">
        <v>1</v>
      </c>
      <c r="M212" s="1" t="e">
        <f>ABS(NETWORKDAYS.INTL("05/29/24", "05/29/24", 1, {"01/01/2024","01/15/2024","02/19/2024","05/27/2024","07/04/2024","09/02/2024","10/14/2024","11/11/2024","11/28/2024","12/25/2024","12/25/2024","12/26/2024","12/27/2024","12/28/2024","12/29/2024","12/30/2024","31/25/2024","01/01/2024","01/02/2024","01/03/2024","01/04/2024","01/05/2024"}))</f>
        <v>#VALUE!</v>
      </c>
      <c r="N212" s="1">
        <f>0</f>
        <v>0</v>
      </c>
      <c r="O212" s="1">
        <f>0</f>
        <v>0</v>
      </c>
      <c r="P212" s="1"/>
      <c r="Q212" s="1">
        <v>1</v>
      </c>
      <c r="R212" s="1">
        <v>1</v>
      </c>
      <c r="S212" s="1" t="e">
        <f>ABS(NETWORKDAYS.INTL("06/03/24", "06/03/24", 1, {"01/01/2024","01/15/2024","02/19/2024","05/27/2024","07/04/2024","09/02/2024","10/14/2024","11/11/2024","11/28/2024","12/25/2024","12/25/2024","12/26/2024","12/27/2024","12/28/2024","12/29/2024","12/30/2024","31/25/2024","01/01/2024","01/02/2024","01/03/2024","01/04/2024","01/05/2024"}))</f>
        <v>#VALUE!</v>
      </c>
      <c r="T212" s="1">
        <f>0</f>
        <v>0</v>
      </c>
      <c r="U212" s="1"/>
      <c r="V212" s="1">
        <v>2</v>
      </c>
      <c r="W212" s="1">
        <v>1</v>
      </c>
      <c r="X212" s="1" t="e">
        <f>ABS(NETWORKDAYS.INTL("06/05/24", "06/05/24", 1, {"01/01/2024","01/15/2024","02/19/2024","05/27/2024","07/04/2024","09/02/2024","10/14/2024","11/11/2024","11/28/2024","12/25/2024","12/25/2024","12/26/2024","12/27/2024","12/28/2024","12/29/2024","12/30/2024","31/25/2024","01/01/2024","01/02/2024","01/03/2024","01/04/2024","01/05/2024"}))</f>
        <v>#VALUE!</v>
      </c>
      <c r="Y212"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12" s="1" t="e">
        <f>ABS(NETWORKDAYS.INTL("06/05/2024", "06/11/2024", 1, {"01/01/2024","01/15/2024","02/19/2024","05/27/2024","07/04/2024","09/02/2024","10/14/2024","11/11/2024","11/28/2024","12/25/2024","12/25/2024","12/26/2024","12/27/2024","12/28/2024","12/29/2024","12/30/2024","31/25/2024","01/01/2024","01/02/2024","01/03/2024","01/04/2024","01/05/2024"}))</f>
        <v>#VALUE!</v>
      </c>
      <c r="AA212" s="1"/>
      <c r="AB212" s="5"/>
      <c r="AC212" s="5"/>
      <c r="AD212" s="1" t="e">
        <f>ABS(NETWORKDAYS.INTL("05/29/24", "05/29/24", 1, {"01/01/2024","01/15/2024","02/19/2024","05/27/2024","07/04/2024","09/02/2024","10/14/2024","11/11/2024","11/28/2024","12/25/2024","12/25/2024","12/26/2024","12/27/2024","12/28/2024","12/29/2024","12/30/2024","31/25/2024","01/01/2024","01/02/2024","01/03/2024","01/04/2024","01/05/2024"}))</f>
        <v>#VALUE!</v>
      </c>
      <c r="AE212" s="1">
        <f>0</f>
        <v>0</v>
      </c>
      <c r="AF212" s="1" t="e">
        <f>ABS(NETWORKDAYS.INTL("05/31/24", "05/29/24", 1, {"01/01/2024","01/15/2024","02/19/2024","05/27/2024","07/04/2024","09/02/2024","10/14/2024","11/11/2024","11/28/2024","12/25/2024","12/25/2024","12/26/2024","12/27/2024","12/28/2024","12/29/2024","12/30/2024","31/25/2024","01/01/2024","01/02/2024","01/03/2024","01/04/2024","01/05/2024"}))</f>
        <v>#VALUE!</v>
      </c>
      <c r="AG212" s="1" t="e">
        <f>ABS(NETWORKDAYS.INTL("06/03/24", "05/31/24", 1, {"01/01/2024","01/15/2024","02/19/2024","05/27/2024","07/04/2024","09/02/2024","10/14/2024","11/11/2024","11/28/2024","12/25/2024","12/25/2024","12/26/2024","12/27/2024","12/28/2024","12/29/2024","12/30/2024","31/25/2024","01/01/2024","01/02/2024","01/03/2024","01/04/2024","01/05/2024"}))</f>
        <v>#VALUE!</v>
      </c>
      <c r="AH212" s="1" t="e">
        <f>ABS(NETWORKDAYS.INTL("06/05/24", "06/03/24", 1, {"01/01/2024","01/15/2024","02/19/2024","05/27/2024","07/04/2024","09/02/2024","10/14/2024","11/11/2024","11/28/2024","12/25/2024","12/25/2024","12/26/2024","12/27/2024","12/28/2024","12/29/2024","12/30/2024","31/25/2024","01/01/2024","01/02/2024","01/03/2024","01/04/2024","01/05/2024"}))</f>
        <v>#VALUE!</v>
      </c>
      <c r="AI212" s="1">
        <f>0</f>
        <v>0</v>
      </c>
      <c r="AJ212" s="1" t="b">
        <v>1</v>
      </c>
      <c r="AK212" s="1"/>
      <c r="AL212" s="1"/>
      <c r="AM212" s="1"/>
      <c r="AN212" s="1"/>
      <c r="AO212" s="1"/>
      <c r="AP212" s="1"/>
      <c r="AQ212" s="1"/>
      <c r="AR212" s="1"/>
      <c r="AS212" s="1"/>
      <c r="AT212" s="1"/>
      <c r="AU212" s="1"/>
      <c r="AV212" s="1"/>
      <c r="AW212" s="1"/>
      <c r="AX212" s="1"/>
      <c r="AY212" s="1"/>
      <c r="AZ212" s="1"/>
    </row>
    <row r="213" spans="1:52" ht="15" customHeight="1" x14ac:dyDescent="0.35">
      <c r="A213" s="1" t="s">
        <v>1163</v>
      </c>
      <c r="B213" s="1" t="s">
        <v>469</v>
      </c>
      <c r="C213" s="1" t="s">
        <v>1157</v>
      </c>
      <c r="D213" s="1" t="s">
        <v>1158</v>
      </c>
      <c r="E213" s="1" t="s">
        <v>1159</v>
      </c>
      <c r="F213" s="9" t="s">
        <v>1164</v>
      </c>
      <c r="G213" s="1" t="s">
        <v>463</v>
      </c>
      <c r="H2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3" s="11" t="e">
        <f>ABS(NETWORKDAYS.INTL("05/24/24", "05/29/24", 1, {"01/01/2024","01/15/2024","02/19/2024","05/27/2024","07/04/2024","09/02/2024","10/14/2024","11/11/2024","11/28/2024","12/25/2024","12/25/2024","12/26/2024","12/27/2024","12/28/2024","12/29/2024","12/30/2024","31/25/2024","01/01/2024","01/02/2024","01/03/2024","01/04/2024","01/05/2024"}))</f>
        <v>#VALUE!</v>
      </c>
      <c r="J213" s="1">
        <f>0</f>
        <v>0</v>
      </c>
      <c r="K213" s="1"/>
      <c r="L213" s="1">
        <v>1</v>
      </c>
      <c r="M213" s="1" t="e">
        <f>ABS(NETWORKDAYS.INTL("05/29/24", "05/29/24", 1, {"01/01/2024","01/15/2024","02/19/2024","05/27/2024","07/04/2024","09/02/2024","10/14/2024","11/11/2024","11/28/2024","12/25/2024","12/25/2024","12/26/2024","12/27/2024","12/28/2024","12/29/2024","12/30/2024","31/25/2024","01/01/2024","01/02/2024","01/03/2024","01/04/2024","01/05/2024"}))</f>
        <v>#VALUE!</v>
      </c>
      <c r="N213" s="1">
        <f>0</f>
        <v>0</v>
      </c>
      <c r="O213" s="1">
        <f>0</f>
        <v>0</v>
      </c>
      <c r="P213" s="1"/>
      <c r="Q213" s="1">
        <v>1</v>
      </c>
      <c r="R213" s="1">
        <v>1</v>
      </c>
      <c r="S213" s="1" t="e">
        <f>ABS(NETWORKDAYS.INTL("06/03/24", "06/03/24", 1, {"01/01/2024","01/15/2024","02/19/2024","05/27/2024","07/04/2024","09/02/2024","10/14/2024","11/11/2024","11/28/2024","12/25/2024","12/25/2024","12/26/2024","12/27/2024","12/28/2024","12/29/2024","12/30/2024","31/25/2024","01/01/2024","01/02/2024","01/03/2024","01/04/2024","01/05/2024"}))</f>
        <v>#VALUE!</v>
      </c>
      <c r="T213" s="1">
        <f>0</f>
        <v>0</v>
      </c>
      <c r="U213" s="1"/>
      <c r="V213" s="1">
        <v>2</v>
      </c>
      <c r="W213" s="1">
        <v>1</v>
      </c>
      <c r="X213" s="1" t="e">
        <f>ABS(NETWORKDAYS.INTL("06/05/24", "06/05/24", 1, {"01/01/2024","01/15/2024","02/19/2024","05/27/2024","07/04/2024","09/02/2024","10/14/2024","11/11/2024","11/28/2024","12/25/2024","12/25/2024","12/26/2024","12/27/2024","12/28/2024","12/29/2024","12/30/2024","31/25/2024","01/01/2024","01/02/2024","01/03/2024","01/04/2024","01/05/2024"}))</f>
        <v>#VALUE!</v>
      </c>
      <c r="Y213"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13" s="1" t="e">
        <f>ABS(NETWORKDAYS.INTL("06/05/2024", "06/11/2024", 1, {"01/01/2024","01/15/2024","02/19/2024","05/27/2024","07/04/2024","09/02/2024","10/14/2024","11/11/2024","11/28/2024","12/25/2024","12/25/2024","12/26/2024","12/27/2024","12/28/2024","12/29/2024","12/30/2024","31/25/2024","01/01/2024","01/02/2024","01/03/2024","01/04/2024","01/05/2024"}))</f>
        <v>#VALUE!</v>
      </c>
      <c r="AA213" s="1"/>
      <c r="AB213" s="5"/>
      <c r="AC213" s="5"/>
      <c r="AD213" s="1" t="e">
        <f>ABS(NETWORKDAYS.INTL("05/29/24", "05/29/24", 1, {"01/01/2024","01/15/2024","02/19/2024","05/27/2024","07/04/2024","09/02/2024","10/14/2024","11/11/2024","11/28/2024","12/25/2024","12/25/2024","12/26/2024","12/27/2024","12/28/2024","12/29/2024","12/30/2024","31/25/2024","01/01/2024","01/02/2024","01/03/2024","01/04/2024","01/05/2024"}))</f>
        <v>#VALUE!</v>
      </c>
      <c r="AE213" s="1">
        <f>0</f>
        <v>0</v>
      </c>
      <c r="AF213" s="1" t="e">
        <f>ABS(NETWORKDAYS.INTL("05/31/24", "05/29/24", 1, {"01/01/2024","01/15/2024","02/19/2024","05/27/2024","07/04/2024","09/02/2024","10/14/2024","11/11/2024","11/28/2024","12/25/2024","12/25/2024","12/26/2024","12/27/2024","12/28/2024","12/29/2024","12/30/2024","31/25/2024","01/01/2024","01/02/2024","01/03/2024","01/04/2024","01/05/2024"}))</f>
        <v>#VALUE!</v>
      </c>
      <c r="AG213" s="1" t="e">
        <f>ABS(NETWORKDAYS.INTL("06/03/24", "05/31/24", 1, {"01/01/2024","01/15/2024","02/19/2024","05/27/2024","07/04/2024","09/02/2024","10/14/2024","11/11/2024","11/28/2024","12/25/2024","12/25/2024","12/26/2024","12/27/2024","12/28/2024","12/29/2024","12/30/2024","31/25/2024","01/01/2024","01/02/2024","01/03/2024","01/04/2024","01/05/2024"}))</f>
        <v>#VALUE!</v>
      </c>
      <c r="AH213" s="1" t="e">
        <f>ABS(NETWORKDAYS.INTL("06/05/24", "06/03/24", 1, {"01/01/2024","01/15/2024","02/19/2024","05/27/2024","07/04/2024","09/02/2024","10/14/2024","11/11/2024","11/28/2024","12/25/2024","12/25/2024","12/26/2024","12/27/2024","12/28/2024","12/29/2024","12/30/2024","31/25/2024","01/01/2024","01/02/2024","01/03/2024","01/04/2024","01/05/2024"}))</f>
        <v>#VALUE!</v>
      </c>
      <c r="AI213" s="1">
        <f>0</f>
        <v>0</v>
      </c>
      <c r="AJ213" s="1" t="b">
        <v>1</v>
      </c>
      <c r="AK213" s="1"/>
      <c r="AL213" s="1"/>
      <c r="AM213" s="1"/>
      <c r="AN213" s="1"/>
      <c r="AO213" s="1"/>
      <c r="AP213" s="1"/>
      <c r="AQ213" s="1"/>
      <c r="AR213" s="1"/>
      <c r="AS213" s="1"/>
      <c r="AT213" s="1"/>
      <c r="AU213" s="1"/>
      <c r="AV213" s="1"/>
      <c r="AW213" s="1"/>
      <c r="AX213" s="1"/>
      <c r="AY213" s="1"/>
      <c r="AZ213" s="1"/>
    </row>
    <row r="214" spans="1:52" ht="15" customHeight="1" x14ac:dyDescent="0.35">
      <c r="A214" s="1" t="s">
        <v>1165</v>
      </c>
      <c r="B214" s="1" t="s">
        <v>470</v>
      </c>
      <c r="C214" s="1" t="s">
        <v>1157</v>
      </c>
      <c r="D214" s="1" t="s">
        <v>1158</v>
      </c>
      <c r="E214" s="1" t="s">
        <v>1159</v>
      </c>
      <c r="F214" s="9" t="s">
        <v>1166</v>
      </c>
      <c r="G214" s="1" t="s">
        <v>463</v>
      </c>
      <c r="H2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14" s="11" t="e">
        <f>ABS(NETWORKDAYS.INTL("05/24/24", "05/29/24", 1, {"01/01/2024","01/15/2024","02/19/2024","05/27/2024","07/04/2024","09/02/2024","10/14/2024","11/11/2024","11/28/2024","12/25/2024","12/25/2024","12/26/2024","12/27/2024","12/28/2024","12/29/2024","12/30/2024","31/25/2024","01/01/2024","01/02/2024","01/03/2024","01/04/2024","01/05/2024"}))</f>
        <v>#VALUE!</v>
      </c>
      <c r="J214" s="1">
        <f>0</f>
        <v>0</v>
      </c>
      <c r="K214" s="1"/>
      <c r="L214" s="1">
        <v>1</v>
      </c>
      <c r="M214" s="1" t="e">
        <f>ABS(NETWORKDAYS.INTL("05/29/24", "05/29/24", 1, {"01/01/2024","01/15/2024","02/19/2024","05/27/2024","07/04/2024","09/02/2024","10/14/2024","11/11/2024","11/28/2024","12/25/2024","12/25/2024","12/26/2024","12/27/2024","12/28/2024","12/29/2024","12/30/2024","31/25/2024","01/01/2024","01/02/2024","01/03/2024","01/04/2024","01/05/2024"}))</f>
        <v>#VALUE!</v>
      </c>
      <c r="N214" s="1">
        <f>0</f>
        <v>0</v>
      </c>
      <c r="O214" s="1">
        <f>0</f>
        <v>0</v>
      </c>
      <c r="P214" s="1"/>
      <c r="Q214" s="1">
        <v>1</v>
      </c>
      <c r="R214" s="1">
        <v>1</v>
      </c>
      <c r="S214" s="1" t="e">
        <f>ABS(NETWORKDAYS.INTL("06/03/24", "06/03/24", 1, {"01/01/2024","01/15/2024","02/19/2024","05/27/2024","07/04/2024","09/02/2024","10/14/2024","11/11/2024","11/28/2024","12/25/2024","12/25/2024","12/26/2024","12/27/2024","12/28/2024","12/29/2024","12/30/2024","31/25/2024","01/01/2024","01/02/2024","01/03/2024","01/04/2024","01/05/2024"}))</f>
        <v>#VALUE!</v>
      </c>
      <c r="T214" s="1">
        <f>0</f>
        <v>0</v>
      </c>
      <c r="U214" s="1"/>
      <c r="V214" s="1">
        <v>2</v>
      </c>
      <c r="W214" s="1">
        <v>1</v>
      </c>
      <c r="X214" s="1" t="e">
        <f>ABS(NETWORKDAYS.INTL("06/05/24", "06/05/24", 1, {"01/01/2024","01/15/2024","02/19/2024","05/27/2024","07/04/2024","09/02/2024","10/14/2024","11/11/2024","11/28/2024","12/25/2024","12/25/2024","12/26/2024","12/27/2024","12/28/2024","12/29/2024","12/30/2024","31/25/2024","01/01/2024","01/02/2024","01/03/2024","01/04/2024","01/05/2024"}))</f>
        <v>#VALUE!</v>
      </c>
      <c r="Y214"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14" s="1" t="e">
        <f>ABS(NETWORKDAYS.INTL("06/05/2024", "06/11/2024", 1, {"01/01/2024","01/15/2024","02/19/2024","05/27/2024","07/04/2024","09/02/2024","10/14/2024","11/11/2024","11/28/2024","12/25/2024","12/25/2024","12/26/2024","12/27/2024","12/28/2024","12/29/2024","12/30/2024","31/25/2024","01/01/2024","01/02/2024","01/03/2024","01/04/2024","01/05/2024"}))</f>
        <v>#VALUE!</v>
      </c>
      <c r="AA214" s="1"/>
      <c r="AB214" s="5"/>
      <c r="AC214" s="5"/>
      <c r="AD214" s="1" t="e">
        <f>ABS(NETWORKDAYS.INTL("05/29/24", "05/29/24", 1, {"01/01/2024","01/15/2024","02/19/2024","05/27/2024","07/04/2024","09/02/2024","10/14/2024","11/11/2024","11/28/2024","12/25/2024","12/25/2024","12/26/2024","12/27/2024","12/28/2024","12/29/2024","12/30/2024","31/25/2024","01/01/2024","01/02/2024","01/03/2024","01/04/2024","01/05/2024"}))</f>
        <v>#VALUE!</v>
      </c>
      <c r="AE214" s="1">
        <f>0</f>
        <v>0</v>
      </c>
      <c r="AF214" s="1" t="e">
        <f>ABS(NETWORKDAYS.INTL("05/31/24", "05/29/24", 1, {"01/01/2024","01/15/2024","02/19/2024","05/27/2024","07/04/2024","09/02/2024","10/14/2024","11/11/2024","11/28/2024","12/25/2024","12/25/2024","12/26/2024","12/27/2024","12/28/2024","12/29/2024","12/30/2024","31/25/2024","01/01/2024","01/02/2024","01/03/2024","01/04/2024","01/05/2024"}))</f>
        <v>#VALUE!</v>
      </c>
      <c r="AG214" s="1" t="e">
        <f>ABS(NETWORKDAYS.INTL("06/03/24", "05/31/24", 1, {"01/01/2024","01/15/2024","02/19/2024","05/27/2024","07/04/2024","09/02/2024","10/14/2024","11/11/2024","11/28/2024","12/25/2024","12/25/2024","12/26/2024","12/27/2024","12/28/2024","12/29/2024","12/30/2024","31/25/2024","01/01/2024","01/02/2024","01/03/2024","01/04/2024","01/05/2024"}))</f>
        <v>#VALUE!</v>
      </c>
      <c r="AH214" s="1" t="e">
        <f>ABS(NETWORKDAYS.INTL("06/05/24", "06/03/24", 1, {"01/01/2024","01/15/2024","02/19/2024","05/27/2024","07/04/2024","09/02/2024","10/14/2024","11/11/2024","11/28/2024","12/25/2024","12/25/2024","12/26/2024","12/27/2024","12/28/2024","12/29/2024","12/30/2024","31/25/2024","01/01/2024","01/02/2024","01/03/2024","01/04/2024","01/05/2024"}))</f>
        <v>#VALUE!</v>
      </c>
      <c r="AI214" s="1">
        <f>0</f>
        <v>0</v>
      </c>
      <c r="AJ214" s="1" t="b">
        <v>1</v>
      </c>
      <c r="AK214" s="1"/>
      <c r="AL214" s="1"/>
      <c r="AM214" s="1"/>
      <c r="AN214" s="1"/>
      <c r="AO214" s="1"/>
      <c r="AP214" s="1"/>
      <c r="AQ214" s="1"/>
      <c r="AR214" s="1"/>
      <c r="AS214" s="1"/>
      <c r="AT214" s="1"/>
      <c r="AU214" s="1"/>
      <c r="AV214" s="1"/>
      <c r="AW214" s="1"/>
      <c r="AX214" s="1"/>
      <c r="AY214" s="1"/>
      <c r="AZ214" s="1"/>
    </row>
    <row r="215" spans="1:52" ht="15" customHeight="1" x14ac:dyDescent="0.35">
      <c r="A215" s="1" t="s">
        <v>1167</v>
      </c>
      <c r="B215" s="1" t="s">
        <v>471</v>
      </c>
      <c r="C215" s="1" t="s">
        <v>988</v>
      </c>
      <c r="D215" s="1" t="s">
        <v>1168</v>
      </c>
      <c r="E215" s="1" t="s">
        <v>1169</v>
      </c>
      <c r="F215" s="9" t="s">
        <v>1170</v>
      </c>
      <c r="G215" s="1" t="s">
        <v>463</v>
      </c>
      <c r="H2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5" s="11" t="e">
        <f>ABS(NETWORKDAYS.INTL("05/30/24", "05/30/24", 1, {"01/01/2024","01/15/2024","02/19/2024","05/27/2024","07/04/2024","09/02/2024","10/14/2024","11/11/2024","11/28/2024","12/25/2024","12/25/2024","12/26/2024","12/27/2024","12/28/2024","12/29/2024","12/30/2024","31/25/2024","01/01/2024","01/02/2024","01/03/2024","01/04/2024","01/05/2024"}))</f>
        <v>#VALUE!</v>
      </c>
      <c r="J215" s="1">
        <f>0</f>
        <v>0</v>
      </c>
      <c r="K215" s="1"/>
      <c r="L215" s="1">
        <v>1</v>
      </c>
      <c r="M215" s="1" t="e">
        <f>ABS(NETWORKDAYS.INTL("06/03/24", "06/04/24", 1, {"01/01/2024","01/15/2024","02/19/2024","05/27/2024","07/04/2024","09/02/2024","10/14/2024","11/11/2024","11/28/2024","12/25/2024","12/25/2024","12/26/2024","12/27/2024","12/28/2024","12/29/2024","12/30/2024","31/25/2024","01/01/2024","01/02/2024","01/03/2024","01/04/2024","01/05/2024"}))</f>
        <v>#VALUE!</v>
      </c>
      <c r="N215" s="1">
        <f>0</f>
        <v>0</v>
      </c>
      <c r="O215" s="1">
        <f>0</f>
        <v>0</v>
      </c>
      <c r="P215" s="1"/>
      <c r="Q215" s="1">
        <v>1</v>
      </c>
      <c r="R215" s="1">
        <v>1</v>
      </c>
      <c r="S215" s="1" t="e">
        <f>ABS(NETWORKDAYS.INTL("06/05/24", "06/11/24", 1, {"01/01/2024","01/15/2024","02/19/2024","05/27/2024","07/04/2024","09/02/2024","10/14/2024","11/11/2024","11/28/2024","12/25/2024","12/25/2024","12/26/2024","12/27/2024","12/28/2024","12/29/2024","12/30/2024","31/25/2024","01/01/2024","01/02/2024","01/03/2024","01/04/2024","01/05/2024"}))</f>
        <v>#VALUE!</v>
      </c>
      <c r="T215" s="1">
        <f>0</f>
        <v>0</v>
      </c>
      <c r="U215" s="1"/>
      <c r="V215" s="1">
        <v>2</v>
      </c>
      <c r="W215" s="1">
        <v>2</v>
      </c>
      <c r="X215" s="1" t="e">
        <f>ABS(NETWORKDAYS.INTL("06/17/24", "06/17/24", 1, {"01/01/2024","01/15/2024","02/19/2024","05/27/2024","07/04/2024","09/02/2024","10/14/2024","11/11/2024","11/28/2024","12/25/2024","12/25/2024","12/26/2024","12/27/2024","12/28/2024","12/29/2024","12/30/2024","31/25/2024","01/01/2024","01/02/2024","01/03/2024","01/04/2024","01/05/2024"})+NETWORKDAYS.INTL("06/28/24", "06/28/24", 1, {"01/01/2024","01/15/2024","02/19/2024","05/27/2024","07/04/2024","09/02/2024","10/14/2024","11/11/2024","11/28/2024","12/25/2024","12/25/2024","12/26/2024","12/27/2024","12/28/2024","12/29/2024","12/30/2024","31/25/2024","01/01/2024","01/02/2024","01/03/2024","01/04/2024","01/05/2024"}))</f>
        <v>#VALUE!</v>
      </c>
      <c r="Y215" s="1" t="e">
        <f>ABS(NETWORKDAYS.INTL("06/17/24", "06/19/24", 1, {"01/01/2024","01/15/2024","02/19/2024","05/27/2024","07/04/2024","09/02/2024","10/14/2024","11/11/2024","11/28/2024","12/25/2024","12/25/2024","12/26/2024","12/27/2024","12/28/2024","12/29/2024","12/30/2024","31/25/2024","01/01/2024","01/02/2024","01/03/2024","01/04/2024","01/05/2024"}))</f>
        <v>#VALUE!</v>
      </c>
      <c r="Z215" s="1">
        <f>0</f>
        <v>0</v>
      </c>
      <c r="AA215" s="1"/>
      <c r="AB215" s="5">
        <v>45471</v>
      </c>
      <c r="AC215" s="5">
        <v>45471</v>
      </c>
      <c r="AD215" s="1" t="e">
        <f>ABS(NETWORKDAYS.INTL("06/03/24", "05/30/24", 1, {"01/01/2024","01/15/2024","02/19/2024","05/27/2024","07/04/2024","09/02/2024","10/14/2024","11/11/2024","11/28/2024","12/25/2024","12/25/2024","12/26/2024","12/27/2024","12/28/2024","12/29/2024","12/30/2024","31/25/2024","01/01/2024","01/02/2024","01/03/2024","01/04/2024","01/05/2024"}))</f>
        <v>#VALUE!</v>
      </c>
      <c r="AE215" s="1">
        <f>0</f>
        <v>0</v>
      </c>
      <c r="AF215" s="1" t="e">
        <f>ABS(NETWORKDAYS.INTL("06/05/24", "06/04/24", 1, {"01/01/2024","01/15/2024","02/19/2024","05/27/2024","07/04/2024","09/02/2024","10/14/2024","11/11/2024","11/28/2024","12/25/2024","12/25/2024","12/26/2024","12/27/2024","12/28/2024","12/29/2024","12/30/2024","31/25/2024","01/01/2024","01/02/2024","01/03/2024","01/04/2024","01/05/2024"}))</f>
        <v>#VALUE!</v>
      </c>
      <c r="AG215" s="1" t="e">
        <f>ABS(NETWORKDAYS.INTL("06/13/24", "06/05/24", 1, {"01/01/2024","01/15/2024","02/19/2024","05/27/2024","07/04/2024","09/02/2024","10/14/2024","11/11/2024","11/28/2024","12/25/2024","12/25/2024","12/26/2024","12/27/2024","12/28/2024","12/29/2024","12/30/2024","31/25/2024","01/01/2024","01/02/2024","01/03/2024","01/04/2024","01/05/2024"}))</f>
        <v>#VALUE!</v>
      </c>
      <c r="AH215" s="1" t="e">
        <f>ABS(NETWORKDAYS.INTL("06/17/24", "06/13/24", 1, {"01/01/2024","01/15/2024","02/19/2024","05/27/2024","07/04/2024","09/02/2024","10/14/2024","11/11/2024","11/28/2024","12/25/2024","12/25/2024","12/26/2024","12/27/2024","12/28/2024","12/29/2024","12/30/2024","31/25/2024","01/01/2024","01/02/2024","01/03/2024","01/04/2024","01/05/2024"}))</f>
        <v>#VALUE!</v>
      </c>
      <c r="AI215" s="1" t="e">
        <f>ABS(NETWORKDAYS.INTL("06/28/24", "06/28/24", 1, {"01/01/2024","01/15/2024","02/19/2024","05/27/2024","07/04/2024","09/02/2024","10/14/2024","11/11/2024","11/28/2024","12/25/2024","12/25/2024","12/26/2024","12/27/2024","12/28/2024","12/29/2024","12/30/2024","31/25/2024","01/01/2024","01/02/2024","01/03/2024","01/04/2024","01/05/2024"}))</f>
        <v>#VALUE!</v>
      </c>
      <c r="AJ215" s="1"/>
      <c r="AK215" s="1"/>
      <c r="AL215" s="1"/>
      <c r="AM215" s="1"/>
      <c r="AN215" s="1"/>
      <c r="AO215" s="1"/>
      <c r="AP215" s="1"/>
      <c r="AQ215" s="1"/>
      <c r="AR215" s="1"/>
      <c r="AS215" s="1"/>
      <c r="AT215" s="1"/>
      <c r="AU215" s="1"/>
      <c r="AV215" s="1"/>
      <c r="AW215" s="1"/>
      <c r="AX215" s="1"/>
      <c r="AY215" s="1"/>
      <c r="AZ215" s="1"/>
    </row>
    <row r="216" spans="1:52" ht="15" customHeight="1" x14ac:dyDescent="0.35">
      <c r="A216" s="1" t="s">
        <v>1171</v>
      </c>
      <c r="B216" s="1" t="s">
        <v>472</v>
      </c>
      <c r="C216" s="1" t="s">
        <v>988</v>
      </c>
      <c r="D216" s="1" t="s">
        <v>1168</v>
      </c>
      <c r="E216" s="1" t="s">
        <v>1169</v>
      </c>
      <c r="F216" s="9" t="s">
        <v>1172</v>
      </c>
      <c r="G216" s="1" t="s">
        <v>463</v>
      </c>
      <c r="H2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6" s="11" t="e">
        <f>ABS(NETWORKDAYS.INTL("05/30/24", "05/30/24", 1, {"01/01/2024","01/15/2024","02/19/2024","05/27/2024","07/04/2024","09/02/2024","10/14/2024","11/11/2024","11/28/2024","12/25/2024","12/25/2024","12/26/2024","12/27/2024","12/28/2024","12/29/2024","12/30/2024","31/25/2024","01/01/2024","01/02/2024","01/03/2024","01/04/2024","01/05/2024"}))</f>
        <v>#VALUE!</v>
      </c>
      <c r="J216" s="1">
        <f>0</f>
        <v>0</v>
      </c>
      <c r="K216" s="1"/>
      <c r="L216" s="1">
        <v>1</v>
      </c>
      <c r="M216" s="1" t="e">
        <f>ABS(NETWORKDAYS.INTL("06/03/24", "06/04/24", 1, {"01/01/2024","01/15/2024","02/19/2024","05/27/2024","07/04/2024","09/02/2024","10/14/2024","11/11/2024","11/28/2024","12/25/2024","12/25/2024","12/26/2024","12/27/2024","12/28/2024","12/29/2024","12/30/2024","31/25/2024","01/01/2024","01/02/2024","01/03/2024","01/04/2024","01/05/2024"}))</f>
        <v>#VALUE!</v>
      </c>
      <c r="N216" s="1">
        <f>0</f>
        <v>0</v>
      </c>
      <c r="O216" s="1">
        <f>0</f>
        <v>0</v>
      </c>
      <c r="P216" s="1"/>
      <c r="Q216" s="1">
        <v>1</v>
      </c>
      <c r="R216" s="1">
        <v>1</v>
      </c>
      <c r="S216" s="1" t="e">
        <f>ABS(NETWORKDAYS.INTL("06/05/24", "06/11/24", 1, {"01/01/2024","01/15/2024","02/19/2024","05/27/2024","07/04/2024","09/02/2024","10/14/2024","11/11/2024","11/28/2024","12/25/2024","12/25/2024","12/26/2024","12/27/2024","12/28/2024","12/29/2024","12/30/2024","31/25/2024","01/01/2024","01/02/2024","01/03/2024","01/04/2024","01/05/2024"}))</f>
        <v>#VALUE!</v>
      </c>
      <c r="T216" s="1">
        <f>0</f>
        <v>0</v>
      </c>
      <c r="U216" s="1"/>
      <c r="V216" s="1">
        <v>2</v>
      </c>
      <c r="W216" s="1">
        <v>2</v>
      </c>
      <c r="X216" s="1" t="e">
        <f>ABS(NETWORKDAYS.INTL("06/17/24", "06/17/24", 1, {"01/01/2024","01/15/2024","02/19/2024","05/27/2024","07/04/2024","09/02/2024","10/14/2024","11/11/2024","11/28/2024","12/25/2024","12/25/2024","12/26/2024","12/27/2024","12/28/2024","12/29/2024","12/30/2024","31/25/2024","01/01/2024","01/02/2024","01/03/2024","01/04/2024","01/05/2024"})+NETWORKDAYS.INTL("06/28/24", "06/28/24", 1, {"01/01/2024","01/15/2024","02/19/2024","05/27/2024","07/04/2024","09/02/2024","10/14/2024","11/11/2024","11/28/2024","12/25/2024","12/25/2024","12/26/2024","12/27/2024","12/28/2024","12/29/2024","12/30/2024","31/25/2024","01/01/2024","01/02/2024","01/03/2024","01/04/2024","01/05/2024"}))</f>
        <v>#VALUE!</v>
      </c>
      <c r="Y216" s="1" t="e">
        <f>ABS(NETWORKDAYS.INTL("06/17/24", "06/19/24", 1, {"01/01/2024","01/15/2024","02/19/2024","05/27/2024","07/04/2024","09/02/2024","10/14/2024","11/11/2024","11/28/2024","12/25/2024","12/25/2024","12/26/2024","12/27/2024","12/28/2024","12/29/2024","12/30/2024","31/25/2024","01/01/2024","01/02/2024","01/03/2024","01/04/2024","01/05/2024"}))</f>
        <v>#VALUE!</v>
      </c>
      <c r="Z216" s="1">
        <f>0</f>
        <v>0</v>
      </c>
      <c r="AA216" s="1"/>
      <c r="AB216" s="5">
        <v>45471</v>
      </c>
      <c r="AC216" s="5">
        <v>45471</v>
      </c>
      <c r="AD216" s="1" t="e">
        <f>ABS(NETWORKDAYS.INTL("06/03/24", "05/30/24", 1, {"01/01/2024","01/15/2024","02/19/2024","05/27/2024","07/04/2024","09/02/2024","10/14/2024","11/11/2024","11/28/2024","12/25/2024","12/25/2024","12/26/2024","12/27/2024","12/28/2024","12/29/2024","12/30/2024","31/25/2024","01/01/2024","01/02/2024","01/03/2024","01/04/2024","01/05/2024"}))</f>
        <v>#VALUE!</v>
      </c>
      <c r="AE216" s="1">
        <f>0</f>
        <v>0</v>
      </c>
      <c r="AF216" s="1" t="e">
        <f>ABS(NETWORKDAYS.INTL("06/05/24", "06/04/24", 1, {"01/01/2024","01/15/2024","02/19/2024","05/27/2024","07/04/2024","09/02/2024","10/14/2024","11/11/2024","11/28/2024","12/25/2024","12/25/2024","12/26/2024","12/27/2024","12/28/2024","12/29/2024","12/30/2024","31/25/2024","01/01/2024","01/02/2024","01/03/2024","01/04/2024","01/05/2024"}))</f>
        <v>#VALUE!</v>
      </c>
      <c r="AG216" s="1" t="e">
        <f>ABS(NETWORKDAYS.INTL("06/13/24", "06/05/24", 1, {"01/01/2024","01/15/2024","02/19/2024","05/27/2024","07/04/2024","09/02/2024","10/14/2024","11/11/2024","11/28/2024","12/25/2024","12/25/2024","12/26/2024","12/27/2024","12/28/2024","12/29/2024","12/30/2024","31/25/2024","01/01/2024","01/02/2024","01/03/2024","01/04/2024","01/05/2024"}))</f>
        <v>#VALUE!</v>
      </c>
      <c r="AH216" s="1" t="e">
        <f>ABS(NETWORKDAYS.INTL("06/17/24", "06/13/24", 1, {"01/01/2024","01/15/2024","02/19/2024","05/27/2024","07/04/2024","09/02/2024","10/14/2024","11/11/2024","11/28/2024","12/25/2024","12/25/2024","12/26/2024","12/27/2024","12/28/2024","12/29/2024","12/30/2024","31/25/2024","01/01/2024","01/02/2024","01/03/2024","01/04/2024","01/05/2024"}))</f>
        <v>#VALUE!</v>
      </c>
      <c r="AI216" s="1" t="e">
        <f>ABS(NETWORKDAYS.INTL("06/28/24", "06/28/24", 1, {"01/01/2024","01/15/2024","02/19/2024","05/27/2024","07/04/2024","09/02/2024","10/14/2024","11/11/2024","11/28/2024","12/25/2024","12/25/2024","12/26/2024","12/27/2024","12/28/2024","12/29/2024","12/30/2024","31/25/2024","01/01/2024","01/02/2024","01/03/2024","01/04/2024","01/05/2024"}))</f>
        <v>#VALUE!</v>
      </c>
      <c r="AJ216" s="1"/>
      <c r="AK216" s="1"/>
      <c r="AL216" s="1"/>
      <c r="AM216" s="1"/>
      <c r="AN216" s="1"/>
      <c r="AO216" s="1"/>
      <c r="AP216" s="1"/>
      <c r="AQ216" s="1"/>
      <c r="AR216" s="1"/>
      <c r="AS216" s="1"/>
      <c r="AT216" s="1"/>
      <c r="AU216" s="1"/>
      <c r="AV216" s="1"/>
      <c r="AW216" s="1"/>
      <c r="AX216" s="1"/>
      <c r="AY216" s="1"/>
      <c r="AZ216" s="1"/>
    </row>
    <row r="217" spans="1:52" ht="15" customHeight="1" x14ac:dyDescent="0.35">
      <c r="A217" s="1" t="s">
        <v>1173</v>
      </c>
      <c r="B217" s="1" t="s">
        <v>473</v>
      </c>
      <c r="C217" s="1" t="s">
        <v>988</v>
      </c>
      <c r="D217" s="1" t="s">
        <v>1168</v>
      </c>
      <c r="E217" s="1" t="s">
        <v>1169</v>
      </c>
      <c r="F217" s="9" t="s">
        <v>1172</v>
      </c>
      <c r="G217" s="1" t="s">
        <v>463</v>
      </c>
      <c r="H2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7" s="11" t="e">
        <f>ABS(NETWORKDAYS.INTL("05/30/24", "05/30/24", 1, {"01/01/2024","01/15/2024","02/19/2024","05/27/2024","07/04/2024","09/02/2024","10/14/2024","11/11/2024","11/28/2024","12/25/2024","12/25/2024","12/26/2024","12/27/2024","12/28/2024","12/29/2024","12/30/2024","31/25/2024","01/01/2024","01/02/2024","01/03/2024","01/04/2024","01/05/2024"}))</f>
        <v>#VALUE!</v>
      </c>
      <c r="J217" s="1">
        <f>0</f>
        <v>0</v>
      </c>
      <c r="K217" s="1"/>
      <c r="L217" s="1">
        <v>1</v>
      </c>
      <c r="M217" s="1" t="e">
        <f>ABS(NETWORKDAYS.INTL("06/03/24", "06/04/24", 1, {"01/01/2024","01/15/2024","02/19/2024","05/27/2024","07/04/2024","09/02/2024","10/14/2024","11/11/2024","11/28/2024","12/25/2024","12/25/2024","12/26/2024","12/27/2024","12/28/2024","12/29/2024","12/30/2024","31/25/2024","01/01/2024","01/02/2024","01/03/2024","01/04/2024","01/05/2024"}))</f>
        <v>#VALUE!</v>
      </c>
      <c r="N217" s="1">
        <f>0</f>
        <v>0</v>
      </c>
      <c r="O217" s="1">
        <f>0</f>
        <v>0</v>
      </c>
      <c r="P217" s="1"/>
      <c r="Q217" s="1">
        <v>1</v>
      </c>
      <c r="R217" s="1">
        <v>1</v>
      </c>
      <c r="S217" s="1" t="e">
        <f>ABS(NETWORKDAYS.INTL("06/05/24", "06/11/24", 1, {"01/01/2024","01/15/2024","02/19/2024","05/27/2024","07/04/2024","09/02/2024","10/14/2024","11/11/2024","11/28/2024","12/25/2024","12/25/2024","12/26/2024","12/27/2024","12/28/2024","12/29/2024","12/30/2024","31/25/2024","01/01/2024","01/02/2024","01/03/2024","01/04/2024","01/05/2024"}))</f>
        <v>#VALUE!</v>
      </c>
      <c r="T217" s="1">
        <f>0</f>
        <v>0</v>
      </c>
      <c r="U217" s="1"/>
      <c r="V217" s="1">
        <v>2</v>
      </c>
      <c r="W217" s="1">
        <v>2</v>
      </c>
      <c r="X217" s="1" t="e">
        <f>ABS(NETWORKDAYS.INTL("06/17/24", "06/17/24", 1, {"01/01/2024","01/15/2024","02/19/2024","05/27/2024","07/04/2024","09/02/2024","10/14/2024","11/11/2024","11/28/2024","12/25/2024","12/25/2024","12/26/2024","12/27/2024","12/28/2024","12/29/2024","12/30/2024","31/25/2024","01/01/2024","01/02/2024","01/03/2024","01/04/2024","01/05/2024"})+NETWORKDAYS.INTL("06/28/24", "06/28/24", 1, {"01/01/2024","01/15/2024","02/19/2024","05/27/2024","07/04/2024","09/02/2024","10/14/2024","11/11/2024","11/28/2024","12/25/2024","12/25/2024","12/26/2024","12/27/2024","12/28/2024","12/29/2024","12/30/2024","31/25/2024","01/01/2024","01/02/2024","01/03/2024","01/04/2024","01/05/2024"}))</f>
        <v>#VALUE!</v>
      </c>
      <c r="Y217" s="1" t="e">
        <f>ABS(NETWORKDAYS.INTL("06/17/24", "06/19/24", 1, {"01/01/2024","01/15/2024","02/19/2024","05/27/2024","07/04/2024","09/02/2024","10/14/2024","11/11/2024","11/28/2024","12/25/2024","12/25/2024","12/26/2024","12/27/2024","12/28/2024","12/29/2024","12/30/2024","31/25/2024","01/01/2024","01/02/2024","01/03/2024","01/04/2024","01/05/2024"}))</f>
        <v>#VALUE!</v>
      </c>
      <c r="Z217" s="1">
        <f>0</f>
        <v>0</v>
      </c>
      <c r="AA217" s="1"/>
      <c r="AB217" s="5">
        <v>45471</v>
      </c>
      <c r="AC217" s="5">
        <v>45471</v>
      </c>
      <c r="AD217" s="1" t="e">
        <f>ABS(NETWORKDAYS.INTL("06/03/24", "05/30/24", 1, {"01/01/2024","01/15/2024","02/19/2024","05/27/2024","07/04/2024","09/02/2024","10/14/2024","11/11/2024","11/28/2024","12/25/2024","12/25/2024","12/26/2024","12/27/2024","12/28/2024","12/29/2024","12/30/2024","31/25/2024","01/01/2024","01/02/2024","01/03/2024","01/04/2024","01/05/2024"}))</f>
        <v>#VALUE!</v>
      </c>
      <c r="AE217" s="1">
        <f>0</f>
        <v>0</v>
      </c>
      <c r="AF217" s="1" t="e">
        <f>ABS(NETWORKDAYS.INTL("06/05/24", "06/04/24", 1, {"01/01/2024","01/15/2024","02/19/2024","05/27/2024","07/04/2024","09/02/2024","10/14/2024","11/11/2024","11/28/2024","12/25/2024","12/25/2024","12/26/2024","12/27/2024","12/28/2024","12/29/2024","12/30/2024","31/25/2024","01/01/2024","01/02/2024","01/03/2024","01/04/2024","01/05/2024"}))</f>
        <v>#VALUE!</v>
      </c>
      <c r="AG217" s="1" t="e">
        <f>ABS(NETWORKDAYS.INTL("06/13/24", "06/05/24", 1, {"01/01/2024","01/15/2024","02/19/2024","05/27/2024","07/04/2024","09/02/2024","10/14/2024","11/11/2024","11/28/2024","12/25/2024","12/25/2024","12/26/2024","12/27/2024","12/28/2024","12/29/2024","12/30/2024","31/25/2024","01/01/2024","01/02/2024","01/03/2024","01/04/2024","01/05/2024"}))</f>
        <v>#VALUE!</v>
      </c>
      <c r="AH217" s="1" t="e">
        <f>ABS(NETWORKDAYS.INTL("06/17/24", "06/13/24", 1, {"01/01/2024","01/15/2024","02/19/2024","05/27/2024","07/04/2024","09/02/2024","10/14/2024","11/11/2024","11/28/2024","12/25/2024","12/25/2024","12/26/2024","12/27/2024","12/28/2024","12/29/2024","12/30/2024","31/25/2024","01/01/2024","01/02/2024","01/03/2024","01/04/2024","01/05/2024"}))</f>
        <v>#VALUE!</v>
      </c>
      <c r="AI217" s="1" t="e">
        <f>ABS(NETWORKDAYS.INTL("06/28/24", "06/28/24", 1, {"01/01/2024","01/15/2024","02/19/2024","05/27/2024","07/04/2024","09/02/2024","10/14/2024","11/11/2024","11/28/2024","12/25/2024","12/25/2024","12/26/2024","12/27/2024","12/28/2024","12/29/2024","12/30/2024","31/25/2024","01/01/2024","01/02/2024","01/03/2024","01/04/2024","01/05/2024"}))</f>
        <v>#VALUE!</v>
      </c>
      <c r="AJ217" s="1"/>
      <c r="AK217" s="1"/>
      <c r="AL217" s="1"/>
      <c r="AM217" s="1"/>
      <c r="AN217" s="1"/>
      <c r="AO217" s="1"/>
      <c r="AP217" s="1"/>
      <c r="AQ217" s="1"/>
      <c r="AR217" s="1"/>
      <c r="AS217" s="1"/>
      <c r="AT217" s="1"/>
      <c r="AU217" s="1"/>
      <c r="AV217" s="1"/>
      <c r="AW217" s="1"/>
      <c r="AX217" s="1"/>
      <c r="AY217" s="1"/>
      <c r="AZ217" s="1"/>
    </row>
    <row r="218" spans="1:52" ht="15" customHeight="1" x14ac:dyDescent="0.35">
      <c r="A218" s="1" t="s">
        <v>1174</v>
      </c>
      <c r="B218" s="1" t="s">
        <v>474</v>
      </c>
      <c r="C218" s="1" t="s">
        <v>988</v>
      </c>
      <c r="D218" s="1" t="s">
        <v>1168</v>
      </c>
      <c r="E218" s="1" t="s">
        <v>1169</v>
      </c>
      <c r="F218" s="9" t="s">
        <v>1172</v>
      </c>
      <c r="G218" s="1" t="s">
        <v>463</v>
      </c>
      <c r="H2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8" s="11" t="e">
        <f>ABS(NETWORKDAYS.INTL("05/30/24", "05/30/24", 1, {"01/01/2024","01/15/2024","02/19/2024","05/27/2024","07/04/2024","09/02/2024","10/14/2024","11/11/2024","11/28/2024","12/25/2024","12/25/2024","12/26/2024","12/27/2024","12/28/2024","12/29/2024","12/30/2024","31/25/2024","01/01/2024","01/02/2024","01/03/2024","01/04/2024","01/05/2024"}))</f>
        <v>#VALUE!</v>
      </c>
      <c r="J218" s="1">
        <f>0</f>
        <v>0</v>
      </c>
      <c r="K218" s="1"/>
      <c r="L218" s="1">
        <v>1</v>
      </c>
      <c r="M218" s="1" t="e">
        <f>ABS(NETWORKDAYS.INTL("06/03/24", "06/04/24", 1, {"01/01/2024","01/15/2024","02/19/2024","05/27/2024","07/04/2024","09/02/2024","10/14/2024","11/11/2024","11/28/2024","12/25/2024","12/25/2024","12/26/2024","12/27/2024","12/28/2024","12/29/2024","12/30/2024","31/25/2024","01/01/2024","01/02/2024","01/03/2024","01/04/2024","01/05/2024"}))</f>
        <v>#VALUE!</v>
      </c>
      <c r="N218" s="1">
        <f>0</f>
        <v>0</v>
      </c>
      <c r="O218" s="1">
        <f>0</f>
        <v>0</v>
      </c>
      <c r="P218" s="1"/>
      <c r="Q218" s="1">
        <v>1</v>
      </c>
      <c r="R218" s="1">
        <v>1</v>
      </c>
      <c r="S218" s="1" t="e">
        <f>ABS(NETWORKDAYS.INTL("06/05/24", "06/11/24", 1, {"01/01/2024","01/15/2024","02/19/2024","05/27/2024","07/04/2024","09/02/2024","10/14/2024","11/11/2024","11/28/2024","12/25/2024","12/25/2024","12/26/2024","12/27/2024","12/28/2024","12/29/2024","12/30/2024","31/25/2024","01/01/2024","01/02/2024","01/03/2024","01/04/2024","01/05/2024"}))</f>
        <v>#VALUE!</v>
      </c>
      <c r="T218" s="1">
        <f>0</f>
        <v>0</v>
      </c>
      <c r="U218" s="1"/>
      <c r="V218" s="1">
        <v>2</v>
      </c>
      <c r="W218" s="1">
        <v>2</v>
      </c>
      <c r="X218" s="1" t="e">
        <f>ABS(NETWORKDAYS.INTL("06/17/24", "06/17/24", 1, {"01/01/2024","01/15/2024","02/19/2024","05/27/2024","07/04/2024","09/02/2024","10/14/2024","11/11/2024","11/28/2024","12/25/2024","12/25/2024","12/26/2024","12/27/2024","12/28/2024","12/29/2024","12/30/2024","31/25/2024","01/01/2024","01/02/2024","01/03/2024","01/04/2024","01/05/2024"})+NETWORKDAYS.INTL("06/28/24", "06/28/24", 1, {"01/01/2024","01/15/2024","02/19/2024","05/27/2024","07/04/2024","09/02/2024","10/14/2024","11/11/2024","11/28/2024","12/25/2024","12/25/2024","12/26/2024","12/27/2024","12/28/2024","12/29/2024","12/30/2024","31/25/2024","01/01/2024","01/02/2024","01/03/2024","01/04/2024","01/05/2024"}))</f>
        <v>#VALUE!</v>
      </c>
      <c r="Y218" s="1" t="e">
        <f>ABS(NETWORKDAYS.INTL("06/17/24", "06/19/24", 1, {"01/01/2024","01/15/2024","02/19/2024","05/27/2024","07/04/2024","09/02/2024","10/14/2024","11/11/2024","11/28/2024","12/25/2024","12/25/2024","12/26/2024","12/27/2024","12/28/2024","12/29/2024","12/30/2024","31/25/2024","01/01/2024","01/02/2024","01/03/2024","01/04/2024","01/05/2024"}))</f>
        <v>#VALUE!</v>
      </c>
      <c r="Z218" s="1">
        <f>0</f>
        <v>0</v>
      </c>
      <c r="AA218" s="1"/>
      <c r="AB218" s="5">
        <v>45471</v>
      </c>
      <c r="AC218" s="5">
        <v>45471</v>
      </c>
      <c r="AD218" s="1" t="e">
        <f>ABS(NETWORKDAYS.INTL("06/03/24", "05/30/24", 1, {"01/01/2024","01/15/2024","02/19/2024","05/27/2024","07/04/2024","09/02/2024","10/14/2024","11/11/2024","11/28/2024","12/25/2024","12/25/2024","12/26/2024","12/27/2024","12/28/2024","12/29/2024","12/30/2024","31/25/2024","01/01/2024","01/02/2024","01/03/2024","01/04/2024","01/05/2024"}))</f>
        <v>#VALUE!</v>
      </c>
      <c r="AE218" s="1">
        <f>0</f>
        <v>0</v>
      </c>
      <c r="AF218" s="1" t="e">
        <f>ABS(NETWORKDAYS.INTL("06/05/24", "06/04/24", 1, {"01/01/2024","01/15/2024","02/19/2024","05/27/2024","07/04/2024","09/02/2024","10/14/2024","11/11/2024","11/28/2024","12/25/2024","12/25/2024","12/26/2024","12/27/2024","12/28/2024","12/29/2024","12/30/2024","31/25/2024","01/01/2024","01/02/2024","01/03/2024","01/04/2024","01/05/2024"}))</f>
        <v>#VALUE!</v>
      </c>
      <c r="AG218" s="1" t="e">
        <f>ABS(NETWORKDAYS.INTL("06/13/24", "06/05/24", 1, {"01/01/2024","01/15/2024","02/19/2024","05/27/2024","07/04/2024","09/02/2024","10/14/2024","11/11/2024","11/28/2024","12/25/2024","12/25/2024","12/26/2024","12/27/2024","12/28/2024","12/29/2024","12/30/2024","31/25/2024","01/01/2024","01/02/2024","01/03/2024","01/04/2024","01/05/2024"}))</f>
        <v>#VALUE!</v>
      </c>
      <c r="AH218" s="1" t="e">
        <f>ABS(NETWORKDAYS.INTL("06/17/24", "06/13/24", 1, {"01/01/2024","01/15/2024","02/19/2024","05/27/2024","07/04/2024","09/02/2024","10/14/2024","11/11/2024","11/28/2024","12/25/2024","12/25/2024","12/26/2024","12/27/2024","12/28/2024","12/29/2024","12/30/2024","31/25/2024","01/01/2024","01/02/2024","01/03/2024","01/04/2024","01/05/2024"}))</f>
        <v>#VALUE!</v>
      </c>
      <c r="AI218" s="1" t="e">
        <f>ABS(NETWORKDAYS.INTL("06/28/24", "06/28/24", 1, {"01/01/2024","01/15/2024","02/19/2024","05/27/2024","07/04/2024","09/02/2024","10/14/2024","11/11/2024","11/28/2024","12/25/2024","12/25/2024","12/26/2024","12/27/2024","12/28/2024","12/29/2024","12/30/2024","31/25/2024","01/01/2024","01/02/2024","01/03/2024","01/04/2024","01/05/2024"}))</f>
        <v>#VALUE!</v>
      </c>
      <c r="AJ218" s="1"/>
      <c r="AK218" s="1"/>
      <c r="AL218" s="1"/>
      <c r="AM218" s="1"/>
      <c r="AN218" s="1"/>
      <c r="AO218" s="1"/>
      <c r="AP218" s="1"/>
      <c r="AQ218" s="1"/>
      <c r="AR218" s="1"/>
      <c r="AS218" s="1"/>
      <c r="AT218" s="1"/>
      <c r="AU218" s="1"/>
      <c r="AV218" s="1"/>
      <c r="AW218" s="1"/>
      <c r="AX218" s="1"/>
      <c r="AY218" s="1"/>
      <c r="AZ218" s="1"/>
    </row>
    <row r="219" spans="1:52" ht="15" customHeight="1" x14ac:dyDescent="0.35">
      <c r="A219" s="1" t="s">
        <v>1175</v>
      </c>
      <c r="B219" s="1" t="s">
        <v>475</v>
      </c>
      <c r="C219" s="1" t="s">
        <v>988</v>
      </c>
      <c r="D219" s="1" t="s">
        <v>1168</v>
      </c>
      <c r="E219" s="1" t="s">
        <v>1169</v>
      </c>
      <c r="F219" s="9" t="s">
        <v>1176</v>
      </c>
      <c r="G219" s="1" t="s">
        <v>463</v>
      </c>
      <c r="H2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19" s="11" t="e">
        <f>ABS(NETWORKDAYS.INTL("05/30/24", "05/30/24", 1, {"01/01/2024","01/15/2024","02/19/2024","05/27/2024","07/04/2024","09/02/2024","10/14/2024","11/11/2024","11/28/2024","12/25/2024","12/25/2024","12/26/2024","12/27/2024","12/28/2024","12/29/2024","12/30/2024","31/25/2024","01/01/2024","01/02/2024","01/03/2024","01/04/2024","01/05/2024"}))</f>
        <v>#VALUE!</v>
      </c>
      <c r="J219" s="1">
        <f>0</f>
        <v>0</v>
      </c>
      <c r="K219" s="1"/>
      <c r="L219" s="1">
        <v>1</v>
      </c>
      <c r="M219" s="1" t="e">
        <f>ABS(NETWORKDAYS.INTL("06/03/24", "06/04/24", 1, {"01/01/2024","01/15/2024","02/19/2024","05/27/2024","07/04/2024","09/02/2024","10/14/2024","11/11/2024","11/28/2024","12/25/2024","12/25/2024","12/26/2024","12/27/2024","12/28/2024","12/29/2024","12/30/2024","31/25/2024","01/01/2024","01/02/2024","01/03/2024","01/04/2024","01/05/2024"}))</f>
        <v>#VALUE!</v>
      </c>
      <c r="N219" s="1">
        <f>0</f>
        <v>0</v>
      </c>
      <c r="O219" s="1">
        <f>0</f>
        <v>0</v>
      </c>
      <c r="P219" s="1"/>
      <c r="Q219" s="1">
        <v>1</v>
      </c>
      <c r="R219" s="1">
        <v>1</v>
      </c>
      <c r="S219" s="1" t="e">
        <f>ABS(NETWORKDAYS.INTL("06/05/24", "06/11/24", 1, {"01/01/2024","01/15/2024","02/19/2024","05/27/2024","07/04/2024","09/02/2024","10/14/2024","11/11/2024","11/28/2024","12/25/2024","12/25/2024","12/26/2024","12/27/2024","12/28/2024","12/29/2024","12/30/2024","31/25/2024","01/01/2024","01/02/2024","01/03/2024","01/04/2024","01/05/2024"}))</f>
        <v>#VALUE!</v>
      </c>
      <c r="T219" s="1">
        <f>0</f>
        <v>0</v>
      </c>
      <c r="U219" s="1"/>
      <c r="V219" s="1">
        <v>2</v>
      </c>
      <c r="W219" s="1">
        <v>2</v>
      </c>
      <c r="X219" s="1" t="e">
        <f>ABS(NETWORKDAYS.INTL("06/17/24", "06/17/24",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219" s="1" t="e">
        <f>ABS(NETWORKDAYS.INTL("06/17/24", "06/19/24", 1, {"01/01/2024","01/15/2024","02/19/2024","05/27/2024","07/04/2024","09/02/2024","10/14/2024","11/11/2024","11/28/2024","12/25/2024","12/25/2024","12/26/2024","12/27/2024","12/28/2024","12/29/2024","12/30/2024","31/25/2024","01/01/2024","01/02/2024","01/03/2024","01/04/2024","01/05/2024"}))</f>
        <v>#VALUE!</v>
      </c>
      <c r="Z219" s="1">
        <f>0</f>
        <v>0</v>
      </c>
      <c r="AA219" s="1"/>
      <c r="AB219" s="5">
        <v>45470</v>
      </c>
      <c r="AC219" s="5">
        <v>45470</v>
      </c>
      <c r="AD219" s="1" t="e">
        <f>ABS(NETWORKDAYS.INTL("06/03/24", "05/30/24", 1, {"01/01/2024","01/15/2024","02/19/2024","05/27/2024","07/04/2024","09/02/2024","10/14/2024","11/11/2024","11/28/2024","12/25/2024","12/25/2024","12/26/2024","12/27/2024","12/28/2024","12/29/2024","12/30/2024","31/25/2024","01/01/2024","01/02/2024","01/03/2024","01/04/2024","01/05/2024"}))</f>
        <v>#VALUE!</v>
      </c>
      <c r="AE219" s="1">
        <f>0</f>
        <v>0</v>
      </c>
      <c r="AF219" s="1" t="e">
        <f>ABS(NETWORKDAYS.INTL("06/05/24", "06/04/24", 1, {"01/01/2024","01/15/2024","02/19/2024","05/27/2024","07/04/2024","09/02/2024","10/14/2024","11/11/2024","11/28/2024","12/25/2024","12/25/2024","12/26/2024","12/27/2024","12/28/2024","12/29/2024","12/30/2024","31/25/2024","01/01/2024","01/02/2024","01/03/2024","01/04/2024","01/05/2024"}))</f>
        <v>#VALUE!</v>
      </c>
      <c r="AG219" s="1" t="e">
        <f>ABS(NETWORKDAYS.INTL("06/13/24", "06/05/24", 1, {"01/01/2024","01/15/2024","02/19/2024","05/27/2024","07/04/2024","09/02/2024","10/14/2024","11/11/2024","11/28/2024","12/25/2024","12/25/2024","12/26/2024","12/27/2024","12/28/2024","12/29/2024","12/30/2024","31/25/2024","01/01/2024","01/02/2024","01/03/2024","01/04/2024","01/05/2024"}))</f>
        <v>#VALUE!</v>
      </c>
      <c r="AH219" s="1" t="e">
        <f>ABS(NETWORKDAYS.INTL("06/17/24", "06/13/24", 1, {"01/01/2024","01/15/2024","02/19/2024","05/27/2024","07/04/2024","09/02/2024","10/14/2024","11/11/2024","11/28/2024","12/25/2024","12/25/2024","12/26/2024","12/27/2024","12/28/2024","12/29/2024","12/30/2024","31/25/2024","01/01/2024","01/02/2024","01/03/2024","01/04/2024","01/05/2024"}))</f>
        <v>#VALUE!</v>
      </c>
      <c r="AI219" s="1" t="e">
        <f>ABS(NETWORKDAYS.INTL("06/27/24", "06/27/24", 1, {"01/01/2024","01/15/2024","02/19/2024","05/27/2024","07/04/2024","09/02/2024","10/14/2024","11/11/2024","11/28/2024","12/25/2024","12/25/2024","12/26/2024","12/27/2024","12/28/2024","12/29/2024","12/30/2024","31/25/2024","01/01/2024","01/02/2024","01/03/2024","01/04/2024","01/05/2024"}))</f>
        <v>#VALUE!</v>
      </c>
      <c r="AJ219" s="1"/>
      <c r="AK219" s="1"/>
      <c r="AL219" s="1"/>
      <c r="AM219" s="1"/>
      <c r="AN219" s="1"/>
      <c r="AO219" s="1"/>
      <c r="AP219" s="1"/>
      <c r="AQ219" s="1"/>
      <c r="AR219" s="1"/>
      <c r="AS219" s="1"/>
      <c r="AT219" s="1"/>
      <c r="AU219" s="1"/>
      <c r="AV219" s="1"/>
      <c r="AW219" s="1"/>
      <c r="AX219" s="1"/>
      <c r="AY219" s="1"/>
      <c r="AZ219" s="1"/>
    </row>
    <row r="220" spans="1:52" ht="15" customHeight="1" x14ac:dyDescent="0.35">
      <c r="A220" s="1" t="s">
        <v>1177</v>
      </c>
      <c r="B220" s="1" t="s">
        <v>476</v>
      </c>
      <c r="C220" s="1" t="s">
        <v>988</v>
      </c>
      <c r="D220" s="1" t="s">
        <v>1168</v>
      </c>
      <c r="E220" s="1" t="s">
        <v>1169</v>
      </c>
      <c r="F220" s="9" t="s">
        <v>1178</v>
      </c>
      <c r="G220" s="1" t="s">
        <v>463</v>
      </c>
      <c r="H2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0" s="11" t="e">
        <f>ABS(NETWORKDAYS.INTL("05/30/24", "05/30/24", 1, {"01/01/2024","01/15/2024","02/19/2024","05/27/2024","07/04/2024","09/02/2024","10/14/2024","11/11/2024","11/28/2024","12/25/2024","12/25/2024","12/26/2024","12/27/2024","12/28/2024","12/29/2024","12/30/2024","31/25/2024","01/01/2024","01/02/2024","01/03/2024","01/04/2024","01/05/2024"}))</f>
        <v>#VALUE!</v>
      </c>
      <c r="J220" s="1">
        <f>0</f>
        <v>0</v>
      </c>
      <c r="K220" s="1"/>
      <c r="L220" s="1">
        <v>1</v>
      </c>
      <c r="M220" s="1" t="e">
        <f>ABS(NETWORKDAYS.INTL("06/03/24", "06/04/24", 1, {"01/01/2024","01/15/2024","02/19/2024","05/27/2024","07/04/2024","09/02/2024","10/14/2024","11/11/2024","11/28/2024","12/25/2024","12/25/2024","12/26/2024","12/27/2024","12/28/2024","12/29/2024","12/30/2024","31/25/2024","01/01/2024","01/02/2024","01/03/2024","01/04/2024","01/05/2024"}))</f>
        <v>#VALUE!</v>
      </c>
      <c r="N220" s="1">
        <f>0</f>
        <v>0</v>
      </c>
      <c r="O220" s="1">
        <f>0</f>
        <v>0</v>
      </c>
      <c r="P220" s="1"/>
      <c r="Q220" s="1">
        <v>1</v>
      </c>
      <c r="R220" s="1">
        <v>1</v>
      </c>
      <c r="S220" s="1" t="e">
        <f>ABS(NETWORKDAYS.INTL("06/05/24", "06/11/24", 1, {"01/01/2024","01/15/2024","02/19/2024","05/27/2024","07/04/2024","09/02/2024","10/14/2024","11/11/2024","11/28/2024","12/25/2024","12/25/2024","12/26/2024","12/27/2024","12/28/2024","12/29/2024","12/30/2024","31/25/2024","01/01/2024","01/02/2024","01/03/2024","01/04/2024","01/05/2024"}))</f>
        <v>#VALUE!</v>
      </c>
      <c r="T220" s="1">
        <f>0</f>
        <v>0</v>
      </c>
      <c r="U220" s="1"/>
      <c r="V220" s="1">
        <v>2</v>
      </c>
      <c r="W220" s="1">
        <v>2</v>
      </c>
      <c r="X220"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20" s="1" t="e">
        <f>ABS(NETWORKDAYS.INTL("06/17/24", "06/19/24", 1, {"01/01/2024","01/15/2024","02/19/2024","05/27/2024","07/04/2024","09/02/2024","10/14/2024","11/11/2024","11/28/2024","12/25/2024","12/25/2024","12/26/2024","12/27/2024","12/28/2024","12/29/2024","12/30/2024","31/25/2024","01/01/2024","01/02/2024","01/03/2024","01/04/2024","01/05/2024"}))</f>
        <v>#VALUE!</v>
      </c>
      <c r="Z220" s="1">
        <f>0</f>
        <v>0</v>
      </c>
      <c r="AA220" s="1"/>
      <c r="AB220" s="5">
        <v>45467</v>
      </c>
      <c r="AC220" s="5">
        <v>45467</v>
      </c>
      <c r="AD220" s="1" t="e">
        <f>ABS(NETWORKDAYS.INTL("06/03/24", "05/30/24", 1, {"01/01/2024","01/15/2024","02/19/2024","05/27/2024","07/04/2024","09/02/2024","10/14/2024","11/11/2024","11/28/2024","12/25/2024","12/25/2024","12/26/2024","12/27/2024","12/28/2024","12/29/2024","12/30/2024","31/25/2024","01/01/2024","01/02/2024","01/03/2024","01/04/2024","01/05/2024"}))</f>
        <v>#VALUE!</v>
      </c>
      <c r="AE220" s="1">
        <f>0</f>
        <v>0</v>
      </c>
      <c r="AF220" s="1" t="e">
        <f>ABS(NETWORKDAYS.INTL("06/05/24", "06/04/24", 1, {"01/01/2024","01/15/2024","02/19/2024","05/27/2024","07/04/2024","09/02/2024","10/14/2024","11/11/2024","11/28/2024","12/25/2024","12/25/2024","12/26/2024","12/27/2024","12/28/2024","12/29/2024","12/30/2024","31/25/2024","01/01/2024","01/02/2024","01/03/2024","01/04/2024","01/05/2024"}))</f>
        <v>#VALUE!</v>
      </c>
      <c r="AG220" s="1" t="e">
        <f>ABS(NETWORKDAYS.INTL("06/13/24", "06/05/24", 1, {"01/01/2024","01/15/2024","02/19/2024","05/27/2024","07/04/2024","09/02/2024","10/14/2024","11/11/2024","11/28/2024","12/25/2024","12/25/2024","12/26/2024","12/27/2024","12/28/2024","12/29/2024","12/30/2024","31/25/2024","01/01/2024","01/02/2024","01/03/2024","01/04/2024","01/05/2024"}))</f>
        <v>#VALUE!</v>
      </c>
      <c r="AH220" s="1" t="e">
        <f>ABS(NETWORKDAYS.INTL("06/17/24", "06/13/24", 1, {"01/01/2024","01/15/2024","02/19/2024","05/27/2024","07/04/2024","09/02/2024","10/14/2024","11/11/2024","11/28/2024","12/25/2024","12/25/2024","12/26/2024","12/27/2024","12/28/2024","12/29/2024","12/30/2024","31/25/2024","01/01/2024","01/02/2024","01/03/2024","01/04/2024","01/05/2024"}))</f>
        <v>#VALUE!</v>
      </c>
      <c r="AI220" s="1" t="e">
        <f>ABS(NETWORKDAYS.INTL("06/24/24", "06/24/24", 1, {"01/01/2024","01/15/2024","02/19/2024","05/27/2024","07/04/2024","09/02/2024","10/14/2024","11/11/2024","11/28/2024","12/25/2024","12/25/2024","12/26/2024","12/27/2024","12/28/2024","12/29/2024","12/30/2024","31/25/2024","01/01/2024","01/02/2024","01/03/2024","01/04/2024","01/05/2024"}))</f>
        <v>#VALUE!</v>
      </c>
      <c r="AJ220" s="1"/>
      <c r="AK220" s="1"/>
      <c r="AL220" s="1"/>
      <c r="AM220" s="1"/>
      <c r="AN220" s="1"/>
      <c r="AO220" s="1"/>
      <c r="AP220" s="1"/>
      <c r="AQ220" s="1"/>
      <c r="AR220" s="1"/>
      <c r="AS220" s="1"/>
      <c r="AT220" s="1"/>
      <c r="AU220" s="1"/>
      <c r="AV220" s="1"/>
      <c r="AW220" s="1"/>
      <c r="AX220" s="1"/>
      <c r="AY220" s="1"/>
      <c r="AZ220" s="1"/>
    </row>
    <row r="221" spans="1:52" ht="15" customHeight="1" x14ac:dyDescent="0.35">
      <c r="A221" s="1" t="s">
        <v>1179</v>
      </c>
      <c r="B221" s="1" t="s">
        <v>477</v>
      </c>
      <c r="C221" s="1" t="s">
        <v>988</v>
      </c>
      <c r="D221" s="1" t="s">
        <v>1168</v>
      </c>
      <c r="E221" s="1" t="s">
        <v>1169</v>
      </c>
      <c r="F221" s="9" t="s">
        <v>1178</v>
      </c>
      <c r="G221" s="1" t="s">
        <v>463</v>
      </c>
      <c r="H2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1" s="11" t="e">
        <f>ABS(NETWORKDAYS.INTL("05/30/24", "05/30/24", 1, {"01/01/2024","01/15/2024","02/19/2024","05/27/2024","07/04/2024","09/02/2024","10/14/2024","11/11/2024","11/28/2024","12/25/2024","12/25/2024","12/26/2024","12/27/2024","12/28/2024","12/29/2024","12/30/2024","31/25/2024","01/01/2024","01/02/2024","01/03/2024","01/04/2024","01/05/2024"}))</f>
        <v>#VALUE!</v>
      </c>
      <c r="J221" s="1">
        <f>0</f>
        <v>0</v>
      </c>
      <c r="K221" s="1"/>
      <c r="L221" s="1">
        <v>1</v>
      </c>
      <c r="M221" s="1" t="e">
        <f>ABS(NETWORKDAYS.INTL("06/03/24", "06/04/24", 1, {"01/01/2024","01/15/2024","02/19/2024","05/27/2024","07/04/2024","09/02/2024","10/14/2024","11/11/2024","11/28/2024","12/25/2024","12/25/2024","12/26/2024","12/27/2024","12/28/2024","12/29/2024","12/30/2024","31/25/2024","01/01/2024","01/02/2024","01/03/2024","01/04/2024","01/05/2024"}))</f>
        <v>#VALUE!</v>
      </c>
      <c r="N221" s="1">
        <f>0</f>
        <v>0</v>
      </c>
      <c r="O221" s="1">
        <f>0</f>
        <v>0</v>
      </c>
      <c r="P221" s="1"/>
      <c r="Q221" s="1">
        <v>1</v>
      </c>
      <c r="R221" s="1">
        <v>1</v>
      </c>
      <c r="S221" s="1" t="e">
        <f>ABS(NETWORKDAYS.INTL("06/05/24", "06/11/24", 1, {"01/01/2024","01/15/2024","02/19/2024","05/27/2024","07/04/2024","09/02/2024","10/14/2024","11/11/2024","11/28/2024","12/25/2024","12/25/2024","12/26/2024","12/27/2024","12/28/2024","12/29/2024","12/30/2024","31/25/2024","01/01/2024","01/02/2024","01/03/2024","01/04/2024","01/05/2024"}))</f>
        <v>#VALUE!</v>
      </c>
      <c r="T221" s="1">
        <f>0</f>
        <v>0</v>
      </c>
      <c r="U221" s="1"/>
      <c r="V221" s="1">
        <v>2</v>
      </c>
      <c r="W221" s="1">
        <v>2</v>
      </c>
      <c r="X221"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21" s="1" t="e">
        <f>ABS(NETWORKDAYS.INTL("06/17/24", "06/19/24", 1, {"01/01/2024","01/15/2024","02/19/2024","05/27/2024","07/04/2024","09/02/2024","10/14/2024","11/11/2024","11/28/2024","12/25/2024","12/25/2024","12/26/2024","12/27/2024","12/28/2024","12/29/2024","12/30/2024","31/25/2024","01/01/2024","01/02/2024","01/03/2024","01/04/2024","01/05/2024"}))</f>
        <v>#VALUE!</v>
      </c>
      <c r="Z221" s="1">
        <f>0</f>
        <v>0</v>
      </c>
      <c r="AA221" s="1"/>
      <c r="AB221" s="5">
        <v>45467</v>
      </c>
      <c r="AC221" s="5">
        <v>45467</v>
      </c>
      <c r="AD221" s="1" t="e">
        <f>ABS(NETWORKDAYS.INTL("06/03/24", "05/30/24", 1, {"01/01/2024","01/15/2024","02/19/2024","05/27/2024","07/04/2024","09/02/2024","10/14/2024","11/11/2024","11/28/2024","12/25/2024","12/25/2024","12/26/2024","12/27/2024","12/28/2024","12/29/2024","12/30/2024","31/25/2024","01/01/2024","01/02/2024","01/03/2024","01/04/2024","01/05/2024"}))</f>
        <v>#VALUE!</v>
      </c>
      <c r="AE221" s="1">
        <f>0</f>
        <v>0</v>
      </c>
      <c r="AF221" s="1" t="e">
        <f>ABS(NETWORKDAYS.INTL("06/05/24", "06/04/24", 1, {"01/01/2024","01/15/2024","02/19/2024","05/27/2024","07/04/2024","09/02/2024","10/14/2024","11/11/2024","11/28/2024","12/25/2024","12/25/2024","12/26/2024","12/27/2024","12/28/2024","12/29/2024","12/30/2024","31/25/2024","01/01/2024","01/02/2024","01/03/2024","01/04/2024","01/05/2024"}))</f>
        <v>#VALUE!</v>
      </c>
      <c r="AG221" s="1" t="e">
        <f>ABS(NETWORKDAYS.INTL("06/13/24", "06/05/24", 1, {"01/01/2024","01/15/2024","02/19/2024","05/27/2024","07/04/2024","09/02/2024","10/14/2024","11/11/2024","11/28/2024","12/25/2024","12/25/2024","12/26/2024","12/27/2024","12/28/2024","12/29/2024","12/30/2024","31/25/2024","01/01/2024","01/02/2024","01/03/2024","01/04/2024","01/05/2024"}))</f>
        <v>#VALUE!</v>
      </c>
      <c r="AH221" s="1" t="e">
        <f>ABS(NETWORKDAYS.INTL("06/17/24", "06/13/24", 1, {"01/01/2024","01/15/2024","02/19/2024","05/27/2024","07/04/2024","09/02/2024","10/14/2024","11/11/2024","11/28/2024","12/25/2024","12/25/2024","12/26/2024","12/27/2024","12/28/2024","12/29/2024","12/30/2024","31/25/2024","01/01/2024","01/02/2024","01/03/2024","01/04/2024","01/05/2024"}))</f>
        <v>#VALUE!</v>
      </c>
      <c r="AI221" s="1" t="e">
        <f>ABS(NETWORKDAYS.INTL("06/24/24", "06/24/24", 1, {"01/01/2024","01/15/2024","02/19/2024","05/27/2024","07/04/2024","09/02/2024","10/14/2024","11/11/2024","11/28/2024","12/25/2024","12/25/2024","12/26/2024","12/27/2024","12/28/2024","12/29/2024","12/30/2024","31/25/2024","01/01/2024","01/02/2024","01/03/2024","01/04/2024","01/05/2024"}))</f>
        <v>#VALUE!</v>
      </c>
      <c r="AJ221" s="1"/>
      <c r="AK221" s="1"/>
      <c r="AL221" s="1"/>
      <c r="AM221" s="1"/>
      <c r="AN221" s="1"/>
      <c r="AO221" s="1"/>
      <c r="AP221" s="1"/>
      <c r="AQ221" s="1"/>
      <c r="AR221" s="1"/>
      <c r="AS221" s="1"/>
      <c r="AT221" s="1"/>
      <c r="AU221" s="1"/>
      <c r="AV221" s="1"/>
      <c r="AW221" s="1"/>
      <c r="AX221" s="1"/>
      <c r="AY221" s="1"/>
      <c r="AZ221" s="1"/>
    </row>
    <row r="222" spans="1:52" ht="15" customHeight="1" x14ac:dyDescent="0.35">
      <c r="A222" s="1" t="s">
        <v>1180</v>
      </c>
      <c r="B222" s="1" t="s">
        <v>478</v>
      </c>
      <c r="C222" s="1" t="s">
        <v>1157</v>
      </c>
      <c r="D222" s="1" t="s">
        <v>1168</v>
      </c>
      <c r="E222" s="1" t="s">
        <v>1169</v>
      </c>
      <c r="F222" s="9" t="s">
        <v>1181</v>
      </c>
      <c r="G222" s="1" t="s">
        <v>463</v>
      </c>
      <c r="H2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2" s="11" t="e">
        <f>ABS(NETWORKDAYS.INTL("06/10/24", "06/12/24", 1, {"01/01/2024","01/15/2024","02/19/2024","05/27/2024","07/04/2024","09/02/2024","10/14/2024","11/11/2024","11/28/2024","12/25/2024","12/25/2024","12/26/2024","12/27/2024","12/28/2024","12/29/2024","12/30/2024","31/25/2024","01/01/2024","01/02/2024","01/03/2024","01/04/2024","01/05/2024"}))</f>
        <v>#VALUE!</v>
      </c>
      <c r="J222" s="1">
        <f>0</f>
        <v>0</v>
      </c>
      <c r="K222" s="1"/>
      <c r="L222" s="1">
        <v>1</v>
      </c>
      <c r="M222" s="1" t="e">
        <f>ABS(NETWORKDAYS.INTL("06/12/24", "06/12/24", 1, {"01/01/2024","01/15/2024","02/19/2024","05/27/2024","07/04/2024","09/02/2024","10/14/2024","11/11/2024","11/28/2024","12/25/2024","12/25/2024","12/26/2024","12/27/2024","12/28/2024","12/29/2024","12/30/2024","31/25/2024","01/01/2024","01/02/2024","01/03/2024","01/04/2024","01/05/2024"}))</f>
        <v>#VALUE!</v>
      </c>
      <c r="N222" s="1">
        <f>0</f>
        <v>0</v>
      </c>
      <c r="O222" s="1">
        <f>0</f>
        <v>0</v>
      </c>
      <c r="P222" s="1"/>
      <c r="Q222" s="1">
        <v>1</v>
      </c>
      <c r="R222" s="1">
        <v>1</v>
      </c>
      <c r="S222" s="1">
        <f>0</f>
        <v>0</v>
      </c>
      <c r="T222" s="1">
        <f>0</f>
        <v>0</v>
      </c>
      <c r="U222" s="1"/>
      <c r="V222" s="1">
        <v>3</v>
      </c>
      <c r="W222" s="1">
        <v>2</v>
      </c>
      <c r="X222"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2" s="1" t="e">
        <f>ABS(NETWORKDAYS.INTL("06/14/24", "06/18/24", 1, {"01/01/2024","01/15/2024","02/19/2024","05/27/2024","07/04/2024","09/02/2024","10/14/2024","11/11/2024","11/28/2024","12/25/2024","12/25/2024","12/26/2024","12/27/2024","12/28/2024","12/29/2024","12/30/2024","31/25/2024","01/01/2024","01/02/2024","01/03/2024","01/04/2024","01/05/2024"})+NETWORKDAYS.INTL("06/26/24", "07/02/24", 1, {"01/01/2024","01/15/2024","02/19/2024","05/27/2024","07/04/2024","09/02/2024","10/14/2024","11/11/2024","11/28/2024","12/25/2024","12/25/2024","12/26/2024","12/27/2024","12/28/2024","12/29/2024","12/30/2024","31/25/2024","01/01/2024","01/02/2024","01/03/2024","01/04/2024","01/05/2024"}))</f>
        <v>#VALUE!</v>
      </c>
      <c r="Z222" s="1">
        <f>0</f>
        <v>0</v>
      </c>
      <c r="AA222" s="1"/>
      <c r="AB222" s="5"/>
      <c r="AC222" s="5"/>
      <c r="AD222" s="1" t="e">
        <f>ABS(NETWORKDAYS.INTL("06/12/24", "06/12/24", 1, {"01/01/2024","01/15/2024","02/19/2024","05/27/2024","07/04/2024","09/02/2024","10/14/2024","11/11/2024","11/28/2024","12/25/2024","12/25/2024","12/26/2024","12/27/2024","12/28/2024","12/29/2024","12/30/2024","31/25/2024","01/01/2024","01/02/2024","01/03/2024","01/04/2024","01/05/2024"}))</f>
        <v>#VALUE!</v>
      </c>
      <c r="AE222" s="1">
        <f>0</f>
        <v>0</v>
      </c>
      <c r="AF222" s="1" t="e">
        <f>ABS(NETWORKDAYS.INTL("06/13/24", "06/12/24", 1, {"01/01/2024","01/15/2024","02/19/2024","05/27/2024","07/04/2024","09/02/2024","10/14/2024","11/11/2024","11/28/2024","12/25/2024","12/25/2024","12/26/2024","12/27/2024","12/28/2024","12/29/2024","12/30/2024","31/25/2024","01/01/2024","01/02/2024","01/03/2024","01/04/2024","01/05/2024"}))</f>
        <v>#VALUE!</v>
      </c>
      <c r="AG222" s="1" t="e">
        <f>ABS(NETWORKDAYS.INTL("06/13/24", "06/13/24", 1, {"01/01/2024","01/15/2024","02/19/2024","05/27/2024","07/04/2024","09/02/2024","10/14/2024","11/11/2024","11/28/2024","12/25/2024","12/25/2024","12/26/2024","12/27/2024","12/28/2024","12/29/2024","12/30/2024","31/25/2024","01/01/2024","01/02/2024","01/03/2024","01/04/2024","01/05/2024"}))</f>
        <v>#VALUE!</v>
      </c>
      <c r="AH222" s="1" t="e">
        <f>ABS(NETWORKDAYS.INTL("06/13/24", "06/13/24", 1, {"01/01/2024","01/15/2024","02/19/2024","05/27/2024","07/04/2024","09/02/2024","10/14/2024","11/11/2024","11/28/2024","12/25/2024","12/25/2024","12/26/2024","12/27/2024","12/28/2024","12/29/2024","12/30/2024","31/25/2024","01/01/2024","01/02/2024","01/03/2024","01/04/2024","01/05/2024"}))</f>
        <v>#VALUE!</v>
      </c>
      <c r="AI222" s="1">
        <f>0</f>
        <v>0</v>
      </c>
      <c r="AJ222" s="1"/>
      <c r="AK222" s="1"/>
      <c r="AL222" s="1"/>
      <c r="AM222" s="1"/>
      <c r="AN222" s="1"/>
      <c r="AO222" s="1"/>
      <c r="AP222" s="1"/>
      <c r="AQ222" s="1"/>
      <c r="AR222" s="1"/>
      <c r="AS222" s="1"/>
      <c r="AT222" s="1"/>
      <c r="AU222" s="1"/>
      <c r="AV222" s="1"/>
      <c r="AW222" s="1"/>
      <c r="AX222" s="1"/>
      <c r="AY222" s="1"/>
      <c r="AZ222" s="1"/>
    </row>
    <row r="223" spans="1:52" ht="15" customHeight="1" x14ac:dyDescent="0.35">
      <c r="A223" s="1" t="s">
        <v>1182</v>
      </c>
      <c r="B223" s="1" t="s">
        <v>479</v>
      </c>
      <c r="C223" s="1" t="s">
        <v>629</v>
      </c>
      <c r="D223" s="1" t="s">
        <v>1168</v>
      </c>
      <c r="E223" s="1" t="s">
        <v>1169</v>
      </c>
      <c r="F223" s="9" t="s">
        <v>1183</v>
      </c>
      <c r="G223" s="1" t="s">
        <v>463</v>
      </c>
      <c r="H2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3" s="11" t="e">
        <f>ABS(NETWORKDAYS.INTL("06/10/24", "06/12/24", 1, {"01/01/2024","01/15/2024","02/19/2024","05/27/2024","07/04/2024","09/02/2024","10/14/2024","11/11/2024","11/28/2024","12/25/2024","12/25/2024","12/26/2024","12/27/2024","12/28/2024","12/29/2024","12/30/2024","31/25/2024","01/01/2024","01/02/2024","01/03/2024","01/04/2024","01/05/2024"}))</f>
        <v>#VALUE!</v>
      </c>
      <c r="J223" s="1">
        <f>0</f>
        <v>0</v>
      </c>
      <c r="K223" s="1"/>
      <c r="L223" s="1">
        <v>1</v>
      </c>
      <c r="M223" s="1" t="e">
        <f>ABS(NETWORKDAYS.INTL("06/12/24", "06/12/24", 1, {"01/01/2024","01/15/2024","02/19/2024","05/27/2024","07/04/2024","09/02/2024","10/14/2024","11/11/2024","11/28/2024","12/25/2024","12/25/2024","12/26/2024","12/27/2024","12/28/2024","12/29/2024","12/30/2024","31/25/2024","01/01/2024","01/02/2024","01/03/2024","01/04/2024","01/05/2024"}))</f>
        <v>#VALUE!</v>
      </c>
      <c r="N223" s="1">
        <f>0</f>
        <v>0</v>
      </c>
      <c r="O223" s="1">
        <f>0</f>
        <v>0</v>
      </c>
      <c r="P223" s="1"/>
      <c r="Q223" s="1">
        <v>1</v>
      </c>
      <c r="R223" s="1">
        <v>1</v>
      </c>
      <c r="S223" s="1">
        <f>0</f>
        <v>0</v>
      </c>
      <c r="T223" s="1">
        <f>0</f>
        <v>0</v>
      </c>
      <c r="U223" s="1"/>
      <c r="V223" s="1">
        <v>3</v>
      </c>
      <c r="W223" s="1">
        <v>2</v>
      </c>
      <c r="X223"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3" s="1" t="e">
        <f>ABS(NETWORKDAYS.INTL("06/14/24", "06/18/24", 1, {"01/01/2024","01/15/2024","02/19/2024","05/27/2024","07/04/2024","09/02/2024","10/14/2024","11/11/2024","11/28/2024","12/25/2024","12/25/2024","12/26/2024","12/27/2024","12/28/2024","12/29/2024","12/30/2024","31/25/2024","01/01/2024","01/02/2024","01/03/2024","01/04/2024","01/05/2024"})+NETWORKDAYS.INTL("06/26/24", "07/02/24", 1, {"01/01/2024","01/15/2024","02/19/2024","05/27/2024","07/04/2024","09/02/2024","10/14/2024","11/11/2024","11/28/2024","12/25/2024","12/25/2024","12/26/2024","12/27/2024","12/28/2024","12/29/2024","12/30/2024","31/25/2024","01/01/2024","01/02/2024","01/03/2024","01/04/2024","01/05/2024"}))</f>
        <v>#VALUE!</v>
      </c>
      <c r="Z223" s="1">
        <f>0</f>
        <v>0</v>
      </c>
      <c r="AA223" s="1"/>
      <c r="AB223" s="5"/>
      <c r="AC223" s="5"/>
      <c r="AD223" s="1" t="e">
        <f>ABS(NETWORKDAYS.INTL("06/12/24", "06/12/24", 1, {"01/01/2024","01/15/2024","02/19/2024","05/27/2024","07/04/2024","09/02/2024","10/14/2024","11/11/2024","11/28/2024","12/25/2024","12/25/2024","12/26/2024","12/27/2024","12/28/2024","12/29/2024","12/30/2024","31/25/2024","01/01/2024","01/02/2024","01/03/2024","01/04/2024","01/05/2024"}))</f>
        <v>#VALUE!</v>
      </c>
      <c r="AE223" s="1">
        <f>0</f>
        <v>0</v>
      </c>
      <c r="AF223" s="1" t="e">
        <f>ABS(NETWORKDAYS.INTL("06/13/24", "06/12/24", 1, {"01/01/2024","01/15/2024","02/19/2024","05/27/2024","07/04/2024","09/02/2024","10/14/2024","11/11/2024","11/28/2024","12/25/2024","12/25/2024","12/26/2024","12/27/2024","12/28/2024","12/29/2024","12/30/2024","31/25/2024","01/01/2024","01/02/2024","01/03/2024","01/04/2024","01/05/2024"}))</f>
        <v>#VALUE!</v>
      </c>
      <c r="AG223" s="1" t="e">
        <f>ABS(NETWORKDAYS.INTL("06/13/24", "06/13/24", 1, {"01/01/2024","01/15/2024","02/19/2024","05/27/2024","07/04/2024","09/02/2024","10/14/2024","11/11/2024","11/28/2024","12/25/2024","12/25/2024","12/26/2024","12/27/2024","12/28/2024","12/29/2024","12/30/2024","31/25/2024","01/01/2024","01/02/2024","01/03/2024","01/04/2024","01/05/2024"}))</f>
        <v>#VALUE!</v>
      </c>
      <c r="AH223" s="1" t="e">
        <f>ABS(NETWORKDAYS.INTL("06/13/24", "06/13/24", 1, {"01/01/2024","01/15/2024","02/19/2024","05/27/2024","07/04/2024","09/02/2024","10/14/2024","11/11/2024","11/28/2024","12/25/2024","12/25/2024","12/26/2024","12/27/2024","12/28/2024","12/29/2024","12/30/2024","31/25/2024","01/01/2024","01/02/2024","01/03/2024","01/04/2024","01/05/2024"}))</f>
        <v>#VALUE!</v>
      </c>
      <c r="AI223" s="1">
        <f>0</f>
        <v>0</v>
      </c>
      <c r="AJ223" s="1"/>
      <c r="AK223" s="1"/>
      <c r="AL223" s="1"/>
      <c r="AM223" s="1"/>
      <c r="AN223" s="1"/>
      <c r="AO223" s="1"/>
      <c r="AP223" s="1"/>
      <c r="AQ223" s="1"/>
      <c r="AR223" s="1"/>
      <c r="AS223" s="1"/>
      <c r="AT223" s="1"/>
      <c r="AU223" s="1"/>
      <c r="AV223" s="1"/>
      <c r="AW223" s="1"/>
      <c r="AX223" s="1"/>
      <c r="AY223" s="1"/>
      <c r="AZ223" s="1"/>
    </row>
    <row r="224" spans="1:52" ht="15" customHeight="1" x14ac:dyDescent="0.35">
      <c r="A224" s="1" t="s">
        <v>1184</v>
      </c>
      <c r="B224" s="1" t="s">
        <v>480</v>
      </c>
      <c r="C224" s="1" t="s">
        <v>629</v>
      </c>
      <c r="D224" s="1" t="s">
        <v>1168</v>
      </c>
      <c r="E224" s="1" t="s">
        <v>1169</v>
      </c>
      <c r="F224" s="9" t="s">
        <v>1183</v>
      </c>
      <c r="G224" s="1" t="s">
        <v>463</v>
      </c>
      <c r="H2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4" s="11" t="e">
        <f>ABS(NETWORKDAYS.INTL("06/10/24", "06/12/24", 1, {"01/01/2024","01/15/2024","02/19/2024","05/27/2024","07/04/2024","09/02/2024","10/14/2024","11/11/2024","11/28/2024","12/25/2024","12/25/2024","12/26/2024","12/27/2024","12/28/2024","12/29/2024","12/30/2024","31/25/2024","01/01/2024","01/02/2024","01/03/2024","01/04/2024","01/05/2024"}))</f>
        <v>#VALUE!</v>
      </c>
      <c r="J224" s="1">
        <f>0</f>
        <v>0</v>
      </c>
      <c r="K224" s="1"/>
      <c r="L224" s="1">
        <v>1</v>
      </c>
      <c r="M224" s="1" t="e">
        <f>ABS(NETWORKDAYS.INTL("06/12/24", "06/12/24", 1, {"01/01/2024","01/15/2024","02/19/2024","05/27/2024","07/04/2024","09/02/2024","10/14/2024","11/11/2024","11/28/2024","12/25/2024","12/25/2024","12/26/2024","12/27/2024","12/28/2024","12/29/2024","12/30/2024","31/25/2024","01/01/2024","01/02/2024","01/03/2024","01/04/2024","01/05/2024"}))</f>
        <v>#VALUE!</v>
      </c>
      <c r="N224" s="1">
        <f>0</f>
        <v>0</v>
      </c>
      <c r="O224" s="1">
        <f>0</f>
        <v>0</v>
      </c>
      <c r="P224" s="1"/>
      <c r="Q224" s="1">
        <v>1</v>
      </c>
      <c r="R224" s="1">
        <v>1</v>
      </c>
      <c r="S224" s="1">
        <f>0</f>
        <v>0</v>
      </c>
      <c r="T224" s="1">
        <f>0</f>
        <v>0</v>
      </c>
      <c r="U224" s="1"/>
      <c r="V224" s="1">
        <v>3</v>
      </c>
      <c r="W224" s="1">
        <v>2</v>
      </c>
      <c r="X224"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4" s="1" t="e">
        <f>ABS(NETWORKDAYS.INTL("06/14/24", "06/18/24", 1, {"01/01/2024","01/15/2024","02/19/2024","05/27/2024","07/04/2024","09/02/2024","10/14/2024","11/11/2024","11/28/2024","12/25/2024","12/25/2024","12/26/2024","12/27/2024","12/28/2024","12/29/2024","12/30/2024","31/25/2024","01/01/2024","01/02/2024","01/03/2024","01/04/2024","01/05/2024"})+NETWORKDAYS.INTL("06/26/24", "07/02/24", 1, {"01/01/2024","01/15/2024","02/19/2024","05/27/2024","07/04/2024","09/02/2024","10/14/2024","11/11/2024","11/28/2024","12/25/2024","12/25/2024","12/26/2024","12/27/2024","12/28/2024","12/29/2024","12/30/2024","31/25/2024","01/01/2024","01/02/2024","01/03/2024","01/04/2024","01/05/2024"}))</f>
        <v>#VALUE!</v>
      </c>
      <c r="Z224" s="1">
        <f>0</f>
        <v>0</v>
      </c>
      <c r="AA224" s="1"/>
      <c r="AB224" s="5"/>
      <c r="AC224" s="5"/>
      <c r="AD224" s="1" t="e">
        <f>ABS(NETWORKDAYS.INTL("06/12/24", "06/12/24", 1, {"01/01/2024","01/15/2024","02/19/2024","05/27/2024","07/04/2024","09/02/2024","10/14/2024","11/11/2024","11/28/2024","12/25/2024","12/25/2024","12/26/2024","12/27/2024","12/28/2024","12/29/2024","12/30/2024","31/25/2024","01/01/2024","01/02/2024","01/03/2024","01/04/2024","01/05/2024"}))</f>
        <v>#VALUE!</v>
      </c>
      <c r="AE224" s="1">
        <f>0</f>
        <v>0</v>
      </c>
      <c r="AF224" s="1" t="e">
        <f>ABS(NETWORKDAYS.INTL("06/13/24", "06/12/24", 1, {"01/01/2024","01/15/2024","02/19/2024","05/27/2024","07/04/2024","09/02/2024","10/14/2024","11/11/2024","11/28/2024","12/25/2024","12/25/2024","12/26/2024","12/27/2024","12/28/2024","12/29/2024","12/30/2024","31/25/2024","01/01/2024","01/02/2024","01/03/2024","01/04/2024","01/05/2024"}))</f>
        <v>#VALUE!</v>
      </c>
      <c r="AG224" s="1" t="e">
        <f>ABS(NETWORKDAYS.INTL("06/13/24", "06/13/24", 1, {"01/01/2024","01/15/2024","02/19/2024","05/27/2024","07/04/2024","09/02/2024","10/14/2024","11/11/2024","11/28/2024","12/25/2024","12/25/2024","12/26/2024","12/27/2024","12/28/2024","12/29/2024","12/30/2024","31/25/2024","01/01/2024","01/02/2024","01/03/2024","01/04/2024","01/05/2024"}))</f>
        <v>#VALUE!</v>
      </c>
      <c r="AH224" s="1" t="e">
        <f>ABS(NETWORKDAYS.INTL("06/13/24", "06/13/24", 1, {"01/01/2024","01/15/2024","02/19/2024","05/27/2024","07/04/2024","09/02/2024","10/14/2024","11/11/2024","11/28/2024","12/25/2024","12/25/2024","12/26/2024","12/27/2024","12/28/2024","12/29/2024","12/30/2024","31/25/2024","01/01/2024","01/02/2024","01/03/2024","01/04/2024","01/05/2024"}))</f>
        <v>#VALUE!</v>
      </c>
      <c r="AI224" s="1">
        <f>0</f>
        <v>0</v>
      </c>
      <c r="AJ224" s="1"/>
      <c r="AK224" s="1"/>
      <c r="AL224" s="1"/>
      <c r="AM224" s="1"/>
      <c r="AN224" s="1"/>
      <c r="AO224" s="1"/>
      <c r="AP224" s="1"/>
      <c r="AQ224" s="1"/>
      <c r="AR224" s="1"/>
      <c r="AS224" s="1"/>
      <c r="AT224" s="1"/>
      <c r="AU224" s="1"/>
      <c r="AV224" s="1"/>
      <c r="AW224" s="1"/>
      <c r="AX224" s="1"/>
      <c r="AY224" s="1"/>
      <c r="AZ224" s="1"/>
    </row>
    <row r="225" spans="1:52" ht="15" customHeight="1" x14ac:dyDescent="0.35">
      <c r="A225" s="1" t="s">
        <v>1185</v>
      </c>
      <c r="B225" s="1" t="s">
        <v>481</v>
      </c>
      <c r="C225" s="1" t="s">
        <v>629</v>
      </c>
      <c r="D225" s="1" t="s">
        <v>1168</v>
      </c>
      <c r="E225" s="1" t="s">
        <v>1169</v>
      </c>
      <c r="F225" s="9" t="s">
        <v>1186</v>
      </c>
      <c r="G225" s="1" t="s">
        <v>463</v>
      </c>
      <c r="H2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5" s="11" t="e">
        <f>ABS(NETWORKDAYS.INTL("06/10/24", "06/12/24", 1, {"01/01/2024","01/15/2024","02/19/2024","05/27/2024","07/04/2024","09/02/2024","10/14/2024","11/11/2024","11/28/2024","12/25/2024","12/25/2024","12/26/2024","12/27/2024","12/28/2024","12/29/2024","12/30/2024","31/25/2024","01/01/2024","01/02/2024","01/03/2024","01/04/2024","01/05/2024"}))</f>
        <v>#VALUE!</v>
      </c>
      <c r="J225" s="1">
        <f>0</f>
        <v>0</v>
      </c>
      <c r="K225" s="1"/>
      <c r="L225" s="1">
        <v>1</v>
      </c>
      <c r="M225" s="1" t="e">
        <f>ABS(NETWORKDAYS.INTL("06/12/24", "06/12/24", 1, {"01/01/2024","01/15/2024","02/19/2024","05/27/2024","07/04/2024","09/02/2024","10/14/2024","11/11/2024","11/28/2024","12/25/2024","12/25/2024","12/26/2024","12/27/2024","12/28/2024","12/29/2024","12/30/2024","31/25/2024","01/01/2024","01/02/2024","01/03/2024","01/04/2024","01/05/2024"}))</f>
        <v>#VALUE!</v>
      </c>
      <c r="N225" s="1">
        <f>0</f>
        <v>0</v>
      </c>
      <c r="O225" s="1">
        <f>0</f>
        <v>0</v>
      </c>
      <c r="P225" s="1"/>
      <c r="Q225" s="1">
        <v>1</v>
      </c>
      <c r="R225" s="1">
        <v>1</v>
      </c>
      <c r="S225" s="1">
        <f>0</f>
        <v>0</v>
      </c>
      <c r="T225" s="1">
        <f>0</f>
        <v>0</v>
      </c>
      <c r="U225" s="1"/>
      <c r="V225" s="1">
        <v>3</v>
      </c>
      <c r="W225" s="1">
        <v>2</v>
      </c>
      <c r="X225"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5" s="1" t="e">
        <f>ABS(NETWORKDAYS.INTL("06/14/24", "06/18/24", 1, {"01/01/2024","01/15/2024","02/19/2024","05/27/2024","07/04/2024","09/02/2024","10/14/2024","11/11/2024","11/28/2024","12/25/2024","12/25/2024","12/26/2024","12/27/2024","12/28/2024","12/29/2024","12/30/2024","31/25/2024","01/01/2024","01/02/2024","01/03/2024","01/04/2024","01/05/2024"})+NETWORKDAYS.INTL("06/26/24", "07/02/24", 1, {"01/01/2024","01/15/2024","02/19/2024","05/27/2024","07/04/2024","09/02/2024","10/14/2024","11/11/2024","11/28/2024","12/25/2024","12/25/2024","12/26/2024","12/27/2024","12/28/2024","12/29/2024","12/30/2024","31/25/2024","01/01/2024","01/02/2024","01/03/2024","01/04/2024","01/05/2024"}))</f>
        <v>#VALUE!</v>
      </c>
      <c r="Z225" s="1">
        <f>0</f>
        <v>0</v>
      </c>
      <c r="AA225" s="1"/>
      <c r="AB225" s="5"/>
      <c r="AC225" s="5"/>
      <c r="AD225" s="1" t="e">
        <f>ABS(NETWORKDAYS.INTL("06/12/24", "06/12/24", 1, {"01/01/2024","01/15/2024","02/19/2024","05/27/2024","07/04/2024","09/02/2024","10/14/2024","11/11/2024","11/28/2024","12/25/2024","12/25/2024","12/26/2024","12/27/2024","12/28/2024","12/29/2024","12/30/2024","31/25/2024","01/01/2024","01/02/2024","01/03/2024","01/04/2024","01/05/2024"}))</f>
        <v>#VALUE!</v>
      </c>
      <c r="AE225" s="1">
        <f>0</f>
        <v>0</v>
      </c>
      <c r="AF225" s="1" t="e">
        <f>ABS(NETWORKDAYS.INTL("06/13/24", "06/12/24", 1, {"01/01/2024","01/15/2024","02/19/2024","05/27/2024","07/04/2024","09/02/2024","10/14/2024","11/11/2024","11/28/2024","12/25/2024","12/25/2024","12/26/2024","12/27/2024","12/28/2024","12/29/2024","12/30/2024","31/25/2024","01/01/2024","01/02/2024","01/03/2024","01/04/2024","01/05/2024"}))</f>
        <v>#VALUE!</v>
      </c>
      <c r="AG225" s="1" t="e">
        <f>ABS(NETWORKDAYS.INTL("06/13/24", "06/13/24", 1, {"01/01/2024","01/15/2024","02/19/2024","05/27/2024","07/04/2024","09/02/2024","10/14/2024","11/11/2024","11/28/2024","12/25/2024","12/25/2024","12/26/2024","12/27/2024","12/28/2024","12/29/2024","12/30/2024","31/25/2024","01/01/2024","01/02/2024","01/03/2024","01/04/2024","01/05/2024"}))</f>
        <v>#VALUE!</v>
      </c>
      <c r="AH225" s="1" t="e">
        <f>ABS(NETWORKDAYS.INTL("06/13/24", "06/13/24", 1, {"01/01/2024","01/15/2024","02/19/2024","05/27/2024","07/04/2024","09/02/2024","10/14/2024","11/11/2024","11/28/2024","12/25/2024","12/25/2024","12/26/2024","12/27/2024","12/28/2024","12/29/2024","12/30/2024","31/25/2024","01/01/2024","01/02/2024","01/03/2024","01/04/2024","01/05/2024"}))</f>
        <v>#VALUE!</v>
      </c>
      <c r="AI225" s="1">
        <f>0</f>
        <v>0</v>
      </c>
      <c r="AJ225" s="1"/>
      <c r="AK225" s="1"/>
      <c r="AL225" s="1"/>
      <c r="AM225" s="1"/>
      <c r="AN225" s="1"/>
      <c r="AO225" s="1"/>
      <c r="AP225" s="1"/>
      <c r="AQ225" s="1"/>
      <c r="AR225" s="1"/>
      <c r="AS225" s="1"/>
      <c r="AT225" s="1"/>
      <c r="AU225" s="1"/>
      <c r="AV225" s="1"/>
      <c r="AW225" s="1"/>
      <c r="AX225" s="1"/>
      <c r="AY225" s="1"/>
      <c r="AZ225" s="1"/>
    </row>
    <row r="226" spans="1:52" ht="15" customHeight="1" x14ac:dyDescent="0.35">
      <c r="A226" s="1" t="s">
        <v>1187</v>
      </c>
      <c r="B226" s="1" t="s">
        <v>482</v>
      </c>
      <c r="C226" s="1" t="s">
        <v>629</v>
      </c>
      <c r="D226" s="1" t="s">
        <v>1168</v>
      </c>
      <c r="E226" s="1" t="s">
        <v>1169</v>
      </c>
      <c r="F226" s="9" t="s">
        <v>1183</v>
      </c>
      <c r="G226" s="1" t="s">
        <v>463</v>
      </c>
      <c r="H2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26" s="11" t="e">
        <f>ABS(NETWORKDAYS.INTL("06/10/24", "06/12/24", 1, {"01/01/2024","01/15/2024","02/19/2024","05/27/2024","07/04/2024","09/02/2024","10/14/2024","11/11/2024","11/28/2024","12/25/2024","12/25/2024","12/26/2024","12/27/2024","12/28/2024","12/29/2024","12/30/2024","31/25/2024","01/01/2024","01/02/2024","01/03/2024","01/04/2024","01/05/2024"}))</f>
        <v>#VALUE!</v>
      </c>
      <c r="J226" s="1">
        <f>0</f>
        <v>0</v>
      </c>
      <c r="K226" s="1"/>
      <c r="L226" s="1">
        <v>1</v>
      </c>
      <c r="M226" s="1" t="e">
        <f>ABS(NETWORKDAYS.INTL("06/12/24", "06/12/24", 1, {"01/01/2024","01/15/2024","02/19/2024","05/27/2024","07/04/2024","09/02/2024","10/14/2024","11/11/2024","11/28/2024","12/25/2024","12/25/2024","12/26/2024","12/27/2024","12/28/2024","12/29/2024","12/30/2024","31/25/2024","01/01/2024","01/02/2024","01/03/2024","01/04/2024","01/05/2024"}))</f>
        <v>#VALUE!</v>
      </c>
      <c r="N226" s="1">
        <f>0</f>
        <v>0</v>
      </c>
      <c r="O226" s="1">
        <f>0</f>
        <v>0</v>
      </c>
      <c r="P226" s="1"/>
      <c r="Q226" s="1">
        <v>1</v>
      </c>
      <c r="R226" s="1">
        <v>1</v>
      </c>
      <c r="S226" s="1">
        <f>0</f>
        <v>0</v>
      </c>
      <c r="T226" s="1">
        <f>0</f>
        <v>0</v>
      </c>
      <c r="U226" s="1"/>
      <c r="V226" s="1">
        <v>3</v>
      </c>
      <c r="W226" s="1">
        <v>2</v>
      </c>
      <c r="X226"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6" s="1" t="e">
        <f>ABS(NETWORKDAYS.INTL("06/14/24", "06/18/24", 1, {"01/01/2024","01/15/2024","02/19/2024","05/27/2024","07/04/2024","09/02/2024","10/14/2024","11/11/2024","11/28/2024","12/25/2024","12/25/2024","12/26/2024","12/27/2024","12/28/2024","12/29/2024","12/30/2024","31/25/2024","01/01/2024","01/02/2024","01/03/2024","01/04/2024","01/05/2024"})+NETWORKDAYS.INTL("06/26/24", "07/02/24", 1, {"01/01/2024","01/15/2024","02/19/2024","05/27/2024","07/04/2024","09/02/2024","10/14/2024","11/11/2024","11/28/2024","12/25/2024","12/25/2024","12/26/2024","12/27/2024","12/28/2024","12/29/2024","12/30/2024","31/25/2024","01/01/2024","01/02/2024","01/03/2024","01/04/2024","01/05/2024"}))</f>
        <v>#VALUE!</v>
      </c>
      <c r="Z226" s="1">
        <f>0</f>
        <v>0</v>
      </c>
      <c r="AA226" s="1"/>
      <c r="AB226" s="5"/>
      <c r="AC226" s="5"/>
      <c r="AD226" s="1" t="e">
        <f>ABS(NETWORKDAYS.INTL("06/12/24", "06/12/24", 1, {"01/01/2024","01/15/2024","02/19/2024","05/27/2024","07/04/2024","09/02/2024","10/14/2024","11/11/2024","11/28/2024","12/25/2024","12/25/2024","12/26/2024","12/27/2024","12/28/2024","12/29/2024","12/30/2024","31/25/2024","01/01/2024","01/02/2024","01/03/2024","01/04/2024","01/05/2024"}))</f>
        <v>#VALUE!</v>
      </c>
      <c r="AE226" s="1">
        <f>0</f>
        <v>0</v>
      </c>
      <c r="AF226" s="1" t="e">
        <f>ABS(NETWORKDAYS.INTL("06/13/24", "06/12/24", 1, {"01/01/2024","01/15/2024","02/19/2024","05/27/2024","07/04/2024","09/02/2024","10/14/2024","11/11/2024","11/28/2024","12/25/2024","12/25/2024","12/26/2024","12/27/2024","12/28/2024","12/29/2024","12/30/2024","31/25/2024","01/01/2024","01/02/2024","01/03/2024","01/04/2024","01/05/2024"}))</f>
        <v>#VALUE!</v>
      </c>
      <c r="AG226" s="1" t="e">
        <f>ABS(NETWORKDAYS.INTL("06/13/24", "06/13/24", 1, {"01/01/2024","01/15/2024","02/19/2024","05/27/2024","07/04/2024","09/02/2024","10/14/2024","11/11/2024","11/28/2024","12/25/2024","12/25/2024","12/26/2024","12/27/2024","12/28/2024","12/29/2024","12/30/2024","31/25/2024","01/01/2024","01/02/2024","01/03/2024","01/04/2024","01/05/2024"}))</f>
        <v>#VALUE!</v>
      </c>
      <c r="AH226" s="1" t="e">
        <f>ABS(NETWORKDAYS.INTL("06/13/24", "06/13/24", 1, {"01/01/2024","01/15/2024","02/19/2024","05/27/2024","07/04/2024","09/02/2024","10/14/2024","11/11/2024","11/28/2024","12/25/2024","12/25/2024","12/26/2024","12/27/2024","12/28/2024","12/29/2024","12/30/2024","31/25/2024","01/01/2024","01/02/2024","01/03/2024","01/04/2024","01/05/2024"}))</f>
        <v>#VALUE!</v>
      </c>
      <c r="AI226" s="1">
        <f>0</f>
        <v>0</v>
      </c>
      <c r="AJ226" s="1"/>
      <c r="AK226" s="1"/>
      <c r="AL226" s="1"/>
      <c r="AM226" s="1"/>
      <c r="AN226" s="1"/>
      <c r="AO226" s="1"/>
      <c r="AP226" s="1"/>
      <c r="AQ226" s="1"/>
      <c r="AR226" s="1"/>
      <c r="AS226" s="1"/>
      <c r="AT226" s="1"/>
      <c r="AU226" s="1"/>
      <c r="AV226" s="1"/>
      <c r="AW226" s="1"/>
      <c r="AX226" s="1"/>
      <c r="AY226" s="1"/>
      <c r="AZ226" s="1"/>
    </row>
    <row r="227" spans="1:52" ht="15" customHeight="1" x14ac:dyDescent="0.35">
      <c r="A227" s="1" t="s">
        <v>1188</v>
      </c>
      <c r="B227" s="1" t="s">
        <v>483</v>
      </c>
      <c r="C227" s="1" t="s">
        <v>988</v>
      </c>
      <c r="D227" s="1" t="s">
        <v>1168</v>
      </c>
      <c r="E227" s="1" t="s">
        <v>1169</v>
      </c>
      <c r="F227" s="9" t="s">
        <v>1189</v>
      </c>
      <c r="G227" s="1" t="s">
        <v>463</v>
      </c>
      <c r="H2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7" s="11" t="e">
        <f>ABS(NETWORKDAYS.INTL("06/10/24", "06/12/24", 1, {"01/01/2024","01/15/2024","02/19/2024","05/27/2024","07/04/2024","09/02/2024","10/14/2024","11/11/2024","11/28/2024","12/25/2024","12/25/2024","12/26/2024","12/27/2024","12/28/2024","12/29/2024","12/30/2024","31/25/2024","01/01/2024","01/02/2024","01/03/2024","01/04/2024","01/05/2024"}))</f>
        <v>#VALUE!</v>
      </c>
      <c r="J227" s="1">
        <f>0</f>
        <v>0</v>
      </c>
      <c r="K227" s="1"/>
      <c r="L227" s="1">
        <v>1</v>
      </c>
      <c r="M227" s="1" t="e">
        <f>ABS(NETWORKDAYS.INTL("06/12/24", "06/12/24", 1, {"01/01/2024","01/15/2024","02/19/2024","05/27/2024","07/04/2024","09/02/2024","10/14/2024","11/11/2024","11/28/2024","12/25/2024","12/25/2024","12/26/2024","12/27/2024","12/28/2024","12/29/2024","12/30/2024","31/25/2024","01/01/2024","01/02/2024","01/03/2024","01/04/2024","01/05/2024"}))</f>
        <v>#VALUE!</v>
      </c>
      <c r="N227" s="1">
        <f>0</f>
        <v>0</v>
      </c>
      <c r="O227" s="1">
        <f>0</f>
        <v>0</v>
      </c>
      <c r="P227" s="1"/>
      <c r="Q227" s="1">
        <v>1</v>
      </c>
      <c r="R227" s="1">
        <v>1</v>
      </c>
      <c r="S227" s="1">
        <f>0</f>
        <v>0</v>
      </c>
      <c r="T227" s="1">
        <f>0</f>
        <v>0</v>
      </c>
      <c r="U227" s="1"/>
      <c r="V227" s="1">
        <v>3</v>
      </c>
      <c r="W227" s="1">
        <v>2</v>
      </c>
      <c r="X227" s="1" t="e">
        <f>ABS(NETWORKDAYS.INTL("06/13/24", "06/13/24",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227" s="1" t="e">
        <f>ABS(NETWORKDAYS.INTL("06/14/24", "06/18/24", 1, {"01/01/2024","01/15/2024","02/19/2024","05/27/2024","07/04/2024","09/02/2024","10/14/2024","11/11/2024","11/28/2024","12/25/2024","12/25/2024","12/26/2024","12/27/2024","12/28/2024","12/29/2024","12/30/2024","31/25/2024","01/01/2024","01/02/2024","01/03/2024","01/04/2024","01/05/2024"})+NETWORKDAYS.INTL("06/27/24", "06/28/24", 1, {"01/01/2024","01/15/2024","02/19/2024","05/27/2024","07/04/2024","09/02/2024","10/14/2024","11/11/2024","11/28/2024","12/25/2024","12/25/2024","12/26/2024","12/27/2024","12/28/2024","12/29/2024","12/30/2024","31/25/2024","01/01/2024","01/02/2024","01/03/2024","01/04/2024","01/05/2024"}))</f>
        <v>#VALUE!</v>
      </c>
      <c r="Z227" s="1">
        <f>0</f>
        <v>0</v>
      </c>
      <c r="AA227" s="1"/>
      <c r="AB227" s="5"/>
      <c r="AC227" s="5"/>
      <c r="AD227" s="1" t="e">
        <f>ABS(NETWORKDAYS.INTL("06/12/24", "06/12/24", 1, {"01/01/2024","01/15/2024","02/19/2024","05/27/2024","07/04/2024","09/02/2024","10/14/2024","11/11/2024","11/28/2024","12/25/2024","12/25/2024","12/26/2024","12/27/2024","12/28/2024","12/29/2024","12/30/2024","31/25/2024","01/01/2024","01/02/2024","01/03/2024","01/04/2024","01/05/2024"}))</f>
        <v>#VALUE!</v>
      </c>
      <c r="AE227" s="1">
        <f>0</f>
        <v>0</v>
      </c>
      <c r="AF227" s="1" t="e">
        <f>ABS(NETWORKDAYS.INTL("06/13/24", "06/12/24", 1, {"01/01/2024","01/15/2024","02/19/2024","05/27/2024","07/04/2024","09/02/2024","10/14/2024","11/11/2024","11/28/2024","12/25/2024","12/25/2024","12/26/2024","12/27/2024","12/28/2024","12/29/2024","12/30/2024","31/25/2024","01/01/2024","01/02/2024","01/03/2024","01/04/2024","01/05/2024"}))</f>
        <v>#VALUE!</v>
      </c>
      <c r="AG227" s="1" t="e">
        <f>ABS(NETWORKDAYS.INTL("06/13/24", "06/13/24", 1, {"01/01/2024","01/15/2024","02/19/2024","05/27/2024","07/04/2024","09/02/2024","10/14/2024","11/11/2024","11/28/2024","12/25/2024","12/25/2024","12/26/2024","12/27/2024","12/28/2024","12/29/2024","12/30/2024","31/25/2024","01/01/2024","01/02/2024","01/03/2024","01/04/2024","01/05/2024"}))</f>
        <v>#VALUE!</v>
      </c>
      <c r="AH227" s="1" t="e">
        <f>ABS(NETWORKDAYS.INTL("06/13/24", "06/13/24", 1, {"01/01/2024","01/15/2024","02/19/2024","05/27/2024","07/04/2024","09/02/2024","10/14/2024","11/11/2024","11/28/2024","12/25/2024","12/25/2024","12/26/2024","12/27/2024","12/28/2024","12/29/2024","12/30/2024","31/25/2024","01/01/2024","01/02/2024","01/03/2024","01/04/2024","01/05/2024"}))</f>
        <v>#VALUE!</v>
      </c>
      <c r="AI227" s="1">
        <f>0</f>
        <v>0</v>
      </c>
      <c r="AJ227" s="1"/>
      <c r="AK227" s="1"/>
      <c r="AL227" s="1"/>
      <c r="AM227" s="1"/>
      <c r="AN227" s="1"/>
      <c r="AO227" s="1"/>
      <c r="AP227" s="1"/>
      <c r="AQ227" s="1"/>
      <c r="AR227" s="1"/>
      <c r="AS227" s="1"/>
      <c r="AT227" s="1"/>
      <c r="AU227" s="1"/>
      <c r="AV227" s="1"/>
      <c r="AW227" s="1"/>
      <c r="AX227" s="1"/>
      <c r="AY227" s="1"/>
      <c r="AZ227" s="1"/>
    </row>
    <row r="228" spans="1:52" ht="15" customHeight="1" x14ac:dyDescent="0.35">
      <c r="A228" s="1" t="s">
        <v>1190</v>
      </c>
      <c r="B228" s="1" t="s">
        <v>484</v>
      </c>
      <c r="C228" s="1" t="s">
        <v>988</v>
      </c>
      <c r="D228" s="1" t="s">
        <v>1168</v>
      </c>
      <c r="E228" s="1" t="s">
        <v>1169</v>
      </c>
      <c r="F228" s="9" t="s">
        <v>1191</v>
      </c>
      <c r="G228" s="1" t="s">
        <v>463</v>
      </c>
      <c r="H2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8" s="11" t="e">
        <f>ABS(NETWORKDAYS.INTL("05/27/24", "05/30/24", 1, {"01/01/2024","01/15/2024","02/19/2024","05/27/2024","07/04/2024","09/02/2024","10/14/2024","11/11/2024","11/28/2024","12/25/2024","12/25/2024","12/26/2024","12/27/2024","12/28/2024","12/29/2024","12/30/2024","31/25/2024","01/01/2024","01/02/2024","01/03/2024","01/04/2024","01/05/2024"}))</f>
        <v>#VALUE!</v>
      </c>
      <c r="J228" s="1">
        <f>0</f>
        <v>0</v>
      </c>
      <c r="K228" s="1"/>
      <c r="L228" s="1">
        <v>1</v>
      </c>
      <c r="M228" s="1" t="e">
        <f>ABS(NETWORKDAYS.INTL("05/30/24", "05/30/24", 1, {"01/01/2024","01/15/2024","02/19/2024","05/27/2024","07/04/2024","09/02/2024","10/14/2024","11/11/2024","11/28/2024","12/25/2024","12/25/2024","12/26/2024","12/27/2024","12/28/2024","12/29/2024","12/30/2024","31/25/2024","01/01/2024","01/02/2024","01/03/2024","01/04/2024","01/05/2024"}))</f>
        <v>#VALUE!</v>
      </c>
      <c r="N228" s="1">
        <f>0</f>
        <v>0</v>
      </c>
      <c r="O228" s="1">
        <f>0</f>
        <v>0</v>
      </c>
      <c r="P228" s="1"/>
      <c r="Q228" s="1">
        <v>1</v>
      </c>
      <c r="R228" s="1">
        <v>1</v>
      </c>
      <c r="S228" s="1" t="e">
        <f>ABS(NETWORKDAYS.INTL("06/05/24", "06/11/24", 1, {"01/01/2024","01/15/2024","02/19/2024","05/27/2024","07/04/2024","09/02/2024","10/14/2024","11/11/2024","11/28/2024","12/25/2024","12/25/2024","12/26/2024","12/27/2024","12/28/2024","12/29/2024","12/30/2024","31/25/2024","01/01/2024","01/02/2024","01/03/2024","01/04/2024","01/05/2024"}))</f>
        <v>#VALUE!</v>
      </c>
      <c r="T228" s="1">
        <f>0</f>
        <v>0</v>
      </c>
      <c r="U228" s="1"/>
      <c r="V228" s="1">
        <v>2</v>
      </c>
      <c r="W228" s="1">
        <v>2</v>
      </c>
      <c r="X228"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28" s="1" t="e">
        <f>ABS(NETWORKDAYS.INTL("06/17/24", "06/19/24", 1, {"01/01/2024","01/15/2024","02/19/2024","05/27/2024","07/04/2024","09/02/2024","10/14/2024","11/11/2024","11/28/2024","12/25/2024","12/25/2024","12/26/2024","12/27/2024","12/28/2024","12/29/2024","12/30/2024","31/25/2024","01/01/2024","01/02/2024","01/03/2024","01/04/2024","01/05/2024"}))</f>
        <v>#VALUE!</v>
      </c>
      <c r="Z228" s="1">
        <f>0</f>
        <v>0</v>
      </c>
      <c r="AA228" s="1"/>
      <c r="AB228" s="5">
        <v>45467</v>
      </c>
      <c r="AC228" s="5">
        <v>45467</v>
      </c>
      <c r="AD228" s="1" t="e">
        <f>ABS(NETWORKDAYS.INTL("05/30/24", "05/30/24", 1, {"01/01/2024","01/15/2024","02/19/2024","05/27/2024","07/04/2024","09/02/2024","10/14/2024","11/11/2024","11/28/2024","12/25/2024","12/25/2024","12/26/2024","12/27/2024","12/28/2024","12/29/2024","12/30/2024","31/25/2024","01/01/2024","01/02/2024","01/03/2024","01/04/2024","01/05/2024"}))</f>
        <v>#VALUE!</v>
      </c>
      <c r="AE228" s="1">
        <f>0</f>
        <v>0</v>
      </c>
      <c r="AF228" s="1" t="e">
        <f>ABS(NETWORKDAYS.INTL("06/05/24", "05/30/24", 1, {"01/01/2024","01/15/2024","02/19/2024","05/27/2024","07/04/2024","09/02/2024","10/14/2024","11/11/2024","11/28/2024","12/25/2024","12/25/2024","12/26/2024","12/27/2024","12/28/2024","12/29/2024","12/30/2024","31/25/2024","01/01/2024","01/02/2024","01/03/2024","01/04/2024","01/05/2024"}))</f>
        <v>#VALUE!</v>
      </c>
      <c r="AG228" s="1" t="e">
        <f>ABS(NETWORKDAYS.INTL("06/13/24", "06/05/24", 1, {"01/01/2024","01/15/2024","02/19/2024","05/27/2024","07/04/2024","09/02/2024","10/14/2024","11/11/2024","11/28/2024","12/25/2024","12/25/2024","12/26/2024","12/27/2024","12/28/2024","12/29/2024","12/30/2024","31/25/2024","01/01/2024","01/02/2024","01/03/2024","01/04/2024","01/05/2024"}))</f>
        <v>#VALUE!</v>
      </c>
      <c r="AH228" s="1" t="e">
        <f>ABS(NETWORKDAYS.INTL("06/17/24", "06/13/24", 1, {"01/01/2024","01/15/2024","02/19/2024","05/27/2024","07/04/2024","09/02/2024","10/14/2024","11/11/2024","11/28/2024","12/25/2024","12/25/2024","12/26/2024","12/27/2024","12/28/2024","12/29/2024","12/30/2024","31/25/2024","01/01/2024","01/02/2024","01/03/2024","01/04/2024","01/05/2024"}))</f>
        <v>#VALUE!</v>
      </c>
      <c r="AI228" s="1" t="e">
        <f>ABS(NETWORKDAYS.INTL("06/24/24", "06/24/24", 1, {"01/01/2024","01/15/2024","02/19/2024","05/27/2024","07/04/2024","09/02/2024","10/14/2024","11/11/2024","11/28/2024","12/25/2024","12/25/2024","12/26/2024","12/27/2024","12/28/2024","12/29/2024","12/30/2024","31/25/2024","01/01/2024","01/02/2024","01/03/2024","01/04/2024","01/05/2024"}))</f>
        <v>#VALUE!</v>
      </c>
      <c r="AJ228" s="1"/>
      <c r="AK228" s="1"/>
      <c r="AL228" s="1"/>
      <c r="AM228" s="1"/>
      <c r="AN228" s="1"/>
      <c r="AO228" s="1"/>
      <c r="AP228" s="1"/>
      <c r="AQ228" s="1"/>
      <c r="AR228" s="1"/>
      <c r="AS228" s="1"/>
      <c r="AT228" s="1"/>
      <c r="AU228" s="1"/>
      <c r="AV228" s="1"/>
      <c r="AW228" s="1"/>
      <c r="AX228" s="1"/>
      <c r="AY228" s="1"/>
      <c r="AZ228" s="1"/>
    </row>
    <row r="229" spans="1:52" ht="15" customHeight="1" x14ac:dyDescent="0.35">
      <c r="A229" s="1" t="s">
        <v>1192</v>
      </c>
      <c r="B229" s="1" t="s">
        <v>485</v>
      </c>
      <c r="C229" s="1" t="s">
        <v>988</v>
      </c>
      <c r="D229" s="1" t="s">
        <v>1168</v>
      </c>
      <c r="E229" s="1" t="s">
        <v>1169</v>
      </c>
      <c r="F229" s="9" t="s">
        <v>1191</v>
      </c>
      <c r="G229" s="1" t="s">
        <v>463</v>
      </c>
      <c r="H2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29" s="11" t="e">
        <f>ABS(NETWORKDAYS.INTL("05/27/24", "05/30/24", 1, {"01/01/2024","01/15/2024","02/19/2024","05/27/2024","07/04/2024","09/02/2024","10/14/2024","11/11/2024","11/28/2024","12/25/2024","12/25/2024","12/26/2024","12/27/2024","12/28/2024","12/29/2024","12/30/2024","31/25/2024","01/01/2024","01/02/2024","01/03/2024","01/04/2024","01/05/2024"}))</f>
        <v>#VALUE!</v>
      </c>
      <c r="J229" s="1">
        <f>0</f>
        <v>0</v>
      </c>
      <c r="K229" s="1"/>
      <c r="L229" s="1">
        <v>1</v>
      </c>
      <c r="M229" s="1" t="e">
        <f>ABS(NETWORKDAYS.INTL("05/30/24", "05/30/24", 1, {"01/01/2024","01/15/2024","02/19/2024","05/27/2024","07/04/2024","09/02/2024","10/14/2024","11/11/2024","11/28/2024","12/25/2024","12/25/2024","12/26/2024","12/27/2024","12/28/2024","12/29/2024","12/30/2024","31/25/2024","01/01/2024","01/02/2024","01/03/2024","01/04/2024","01/05/2024"}))</f>
        <v>#VALUE!</v>
      </c>
      <c r="N229" s="1">
        <f>0</f>
        <v>0</v>
      </c>
      <c r="O229" s="1">
        <f>0</f>
        <v>0</v>
      </c>
      <c r="P229" s="1"/>
      <c r="Q229" s="1">
        <v>1</v>
      </c>
      <c r="R229" s="1">
        <v>1</v>
      </c>
      <c r="S229" s="1" t="e">
        <f>ABS(NETWORKDAYS.INTL("06/05/24", "06/11/24", 1, {"01/01/2024","01/15/2024","02/19/2024","05/27/2024","07/04/2024","09/02/2024","10/14/2024","11/11/2024","11/28/2024","12/25/2024","12/25/2024","12/26/2024","12/27/2024","12/28/2024","12/29/2024","12/30/2024","31/25/2024","01/01/2024","01/02/2024","01/03/2024","01/04/2024","01/05/2024"}))</f>
        <v>#VALUE!</v>
      </c>
      <c r="T229" s="1">
        <f>0</f>
        <v>0</v>
      </c>
      <c r="U229" s="1"/>
      <c r="V229" s="1">
        <v>2</v>
      </c>
      <c r="W229" s="1">
        <v>2</v>
      </c>
      <c r="X229"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29" s="1" t="e">
        <f>ABS(NETWORKDAYS.INTL("06/17/24", "06/19/24", 1, {"01/01/2024","01/15/2024","02/19/2024","05/27/2024","07/04/2024","09/02/2024","10/14/2024","11/11/2024","11/28/2024","12/25/2024","12/25/2024","12/26/2024","12/27/2024","12/28/2024","12/29/2024","12/30/2024","31/25/2024","01/01/2024","01/02/2024","01/03/2024","01/04/2024","01/05/2024"}))</f>
        <v>#VALUE!</v>
      </c>
      <c r="Z229" s="1">
        <f>0</f>
        <v>0</v>
      </c>
      <c r="AA229" s="1"/>
      <c r="AB229" s="5">
        <v>45467</v>
      </c>
      <c r="AC229" s="5">
        <v>45467</v>
      </c>
      <c r="AD229" s="1" t="e">
        <f>ABS(NETWORKDAYS.INTL("05/30/24", "05/30/24", 1, {"01/01/2024","01/15/2024","02/19/2024","05/27/2024","07/04/2024","09/02/2024","10/14/2024","11/11/2024","11/28/2024","12/25/2024","12/25/2024","12/26/2024","12/27/2024","12/28/2024","12/29/2024","12/30/2024","31/25/2024","01/01/2024","01/02/2024","01/03/2024","01/04/2024","01/05/2024"}))</f>
        <v>#VALUE!</v>
      </c>
      <c r="AE229" s="1">
        <f>0</f>
        <v>0</v>
      </c>
      <c r="AF229" s="1" t="e">
        <f>ABS(NETWORKDAYS.INTL("06/05/24", "05/30/24", 1, {"01/01/2024","01/15/2024","02/19/2024","05/27/2024","07/04/2024","09/02/2024","10/14/2024","11/11/2024","11/28/2024","12/25/2024","12/25/2024","12/26/2024","12/27/2024","12/28/2024","12/29/2024","12/30/2024","31/25/2024","01/01/2024","01/02/2024","01/03/2024","01/04/2024","01/05/2024"}))</f>
        <v>#VALUE!</v>
      </c>
      <c r="AG229" s="1" t="e">
        <f>ABS(NETWORKDAYS.INTL("06/13/24", "06/05/24", 1, {"01/01/2024","01/15/2024","02/19/2024","05/27/2024","07/04/2024","09/02/2024","10/14/2024","11/11/2024","11/28/2024","12/25/2024","12/25/2024","12/26/2024","12/27/2024","12/28/2024","12/29/2024","12/30/2024","31/25/2024","01/01/2024","01/02/2024","01/03/2024","01/04/2024","01/05/2024"}))</f>
        <v>#VALUE!</v>
      </c>
      <c r="AH229" s="1" t="e">
        <f>ABS(NETWORKDAYS.INTL("06/17/24", "06/13/24", 1, {"01/01/2024","01/15/2024","02/19/2024","05/27/2024","07/04/2024","09/02/2024","10/14/2024","11/11/2024","11/28/2024","12/25/2024","12/25/2024","12/26/2024","12/27/2024","12/28/2024","12/29/2024","12/30/2024","31/25/2024","01/01/2024","01/02/2024","01/03/2024","01/04/2024","01/05/2024"}))</f>
        <v>#VALUE!</v>
      </c>
      <c r="AI229" s="1" t="e">
        <f>ABS(NETWORKDAYS.INTL("06/24/24", "06/24/24", 1, {"01/01/2024","01/15/2024","02/19/2024","05/27/2024","07/04/2024","09/02/2024","10/14/2024","11/11/2024","11/28/2024","12/25/2024","12/25/2024","12/26/2024","12/27/2024","12/28/2024","12/29/2024","12/30/2024","31/25/2024","01/01/2024","01/02/2024","01/03/2024","01/04/2024","01/05/2024"}))</f>
        <v>#VALUE!</v>
      </c>
      <c r="AJ229" s="1"/>
      <c r="AK229" s="1"/>
      <c r="AL229" s="1"/>
      <c r="AM229" s="1"/>
      <c r="AN229" s="1"/>
      <c r="AO229" s="1"/>
      <c r="AP229" s="1"/>
      <c r="AQ229" s="1"/>
      <c r="AR229" s="1"/>
      <c r="AS229" s="1"/>
      <c r="AT229" s="1"/>
      <c r="AU229" s="1"/>
      <c r="AV229" s="1"/>
      <c r="AW229" s="1"/>
      <c r="AX229" s="1"/>
      <c r="AY229" s="1"/>
      <c r="AZ229" s="1"/>
    </row>
    <row r="230" spans="1:52" ht="15" customHeight="1" x14ac:dyDescent="0.35">
      <c r="A230" s="1" t="s">
        <v>1193</v>
      </c>
      <c r="B230" s="1" t="s">
        <v>486</v>
      </c>
      <c r="C230" s="1" t="s">
        <v>988</v>
      </c>
      <c r="D230" s="1" t="s">
        <v>1168</v>
      </c>
      <c r="E230" s="1" t="s">
        <v>1169</v>
      </c>
      <c r="F230" s="9" t="s">
        <v>1191</v>
      </c>
      <c r="G230" s="1" t="s">
        <v>463</v>
      </c>
      <c r="H2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0" s="11" t="e">
        <f>ABS(NETWORKDAYS.INTL("05/27/24", "05/30/24", 1, {"01/01/2024","01/15/2024","02/19/2024","05/27/2024","07/04/2024","09/02/2024","10/14/2024","11/11/2024","11/28/2024","12/25/2024","12/25/2024","12/26/2024","12/27/2024","12/28/2024","12/29/2024","12/30/2024","31/25/2024","01/01/2024","01/02/2024","01/03/2024","01/04/2024","01/05/2024"}))</f>
        <v>#VALUE!</v>
      </c>
      <c r="J230" s="1">
        <f>0</f>
        <v>0</v>
      </c>
      <c r="K230" s="1"/>
      <c r="L230" s="1">
        <v>1</v>
      </c>
      <c r="M230" s="1" t="e">
        <f>ABS(NETWORKDAYS.INTL("05/30/24", "05/30/24", 1, {"01/01/2024","01/15/2024","02/19/2024","05/27/2024","07/04/2024","09/02/2024","10/14/2024","11/11/2024","11/28/2024","12/25/2024","12/25/2024","12/26/2024","12/27/2024","12/28/2024","12/29/2024","12/30/2024","31/25/2024","01/01/2024","01/02/2024","01/03/2024","01/04/2024","01/05/2024"}))</f>
        <v>#VALUE!</v>
      </c>
      <c r="N230" s="1">
        <f>0</f>
        <v>0</v>
      </c>
      <c r="O230" s="1">
        <f>0</f>
        <v>0</v>
      </c>
      <c r="P230" s="1"/>
      <c r="Q230" s="1">
        <v>1</v>
      </c>
      <c r="R230" s="1">
        <v>1</v>
      </c>
      <c r="S230" s="1" t="e">
        <f>ABS(NETWORKDAYS.INTL("06/05/24", "06/11/24", 1, {"01/01/2024","01/15/2024","02/19/2024","05/27/2024","07/04/2024","09/02/2024","10/14/2024","11/11/2024","11/28/2024","12/25/2024","12/25/2024","12/26/2024","12/27/2024","12/28/2024","12/29/2024","12/30/2024","31/25/2024","01/01/2024","01/02/2024","01/03/2024","01/04/2024","01/05/2024"}))</f>
        <v>#VALUE!</v>
      </c>
      <c r="T230" s="1">
        <f>0</f>
        <v>0</v>
      </c>
      <c r="U230" s="1"/>
      <c r="V230" s="1">
        <v>2</v>
      </c>
      <c r="W230" s="1">
        <v>2</v>
      </c>
      <c r="X230"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30" s="1" t="e">
        <f>ABS(NETWORKDAYS.INTL("06/17/24", "06/19/24", 1, {"01/01/2024","01/15/2024","02/19/2024","05/27/2024","07/04/2024","09/02/2024","10/14/2024","11/11/2024","11/28/2024","12/25/2024","12/25/2024","12/26/2024","12/27/2024","12/28/2024","12/29/2024","12/30/2024","31/25/2024","01/01/2024","01/02/2024","01/03/2024","01/04/2024","01/05/2024"}))</f>
        <v>#VALUE!</v>
      </c>
      <c r="Z230" s="1">
        <f>0</f>
        <v>0</v>
      </c>
      <c r="AA230" s="1"/>
      <c r="AB230" s="5">
        <v>45467</v>
      </c>
      <c r="AC230" s="5">
        <v>45467</v>
      </c>
      <c r="AD230" s="1" t="e">
        <f>ABS(NETWORKDAYS.INTL("05/30/24", "05/30/24", 1, {"01/01/2024","01/15/2024","02/19/2024","05/27/2024","07/04/2024","09/02/2024","10/14/2024","11/11/2024","11/28/2024","12/25/2024","12/25/2024","12/26/2024","12/27/2024","12/28/2024","12/29/2024","12/30/2024","31/25/2024","01/01/2024","01/02/2024","01/03/2024","01/04/2024","01/05/2024"}))</f>
        <v>#VALUE!</v>
      </c>
      <c r="AE230" s="1">
        <f>0</f>
        <v>0</v>
      </c>
      <c r="AF230" s="1" t="e">
        <f>ABS(NETWORKDAYS.INTL("06/05/24", "05/30/24", 1, {"01/01/2024","01/15/2024","02/19/2024","05/27/2024","07/04/2024","09/02/2024","10/14/2024","11/11/2024","11/28/2024","12/25/2024","12/25/2024","12/26/2024","12/27/2024","12/28/2024","12/29/2024","12/30/2024","31/25/2024","01/01/2024","01/02/2024","01/03/2024","01/04/2024","01/05/2024"}))</f>
        <v>#VALUE!</v>
      </c>
      <c r="AG230" s="1" t="e">
        <f>ABS(NETWORKDAYS.INTL("06/13/24", "06/05/24", 1, {"01/01/2024","01/15/2024","02/19/2024","05/27/2024","07/04/2024","09/02/2024","10/14/2024","11/11/2024","11/28/2024","12/25/2024","12/25/2024","12/26/2024","12/27/2024","12/28/2024","12/29/2024","12/30/2024","31/25/2024","01/01/2024","01/02/2024","01/03/2024","01/04/2024","01/05/2024"}))</f>
        <v>#VALUE!</v>
      </c>
      <c r="AH230" s="1" t="e">
        <f>ABS(NETWORKDAYS.INTL("06/17/24", "06/13/24", 1, {"01/01/2024","01/15/2024","02/19/2024","05/27/2024","07/04/2024","09/02/2024","10/14/2024","11/11/2024","11/28/2024","12/25/2024","12/25/2024","12/26/2024","12/27/2024","12/28/2024","12/29/2024","12/30/2024","31/25/2024","01/01/2024","01/02/2024","01/03/2024","01/04/2024","01/05/2024"}))</f>
        <v>#VALUE!</v>
      </c>
      <c r="AI230" s="1" t="e">
        <f>ABS(NETWORKDAYS.INTL("06/24/24", "06/24/24", 1, {"01/01/2024","01/15/2024","02/19/2024","05/27/2024","07/04/2024","09/02/2024","10/14/2024","11/11/2024","11/28/2024","12/25/2024","12/25/2024","12/26/2024","12/27/2024","12/28/2024","12/29/2024","12/30/2024","31/25/2024","01/01/2024","01/02/2024","01/03/2024","01/04/2024","01/05/2024"}))</f>
        <v>#VALUE!</v>
      </c>
      <c r="AJ230" s="1"/>
      <c r="AK230" s="1"/>
      <c r="AL230" s="1"/>
      <c r="AM230" s="1"/>
      <c r="AN230" s="1"/>
      <c r="AO230" s="1"/>
      <c r="AP230" s="1"/>
      <c r="AQ230" s="1"/>
      <c r="AR230" s="1"/>
      <c r="AS230" s="1"/>
      <c r="AT230" s="1"/>
      <c r="AU230" s="1"/>
      <c r="AV230" s="1"/>
      <c r="AW230" s="1"/>
      <c r="AX230" s="1"/>
      <c r="AY230" s="1"/>
      <c r="AZ230" s="1"/>
    </row>
    <row r="231" spans="1:52" ht="15" customHeight="1" x14ac:dyDescent="0.35">
      <c r="A231" s="1" t="s">
        <v>1194</v>
      </c>
      <c r="B231" s="1" t="s">
        <v>487</v>
      </c>
      <c r="C231" s="1" t="s">
        <v>988</v>
      </c>
      <c r="D231" s="1" t="s">
        <v>1168</v>
      </c>
      <c r="E231" s="1" t="s">
        <v>1169</v>
      </c>
      <c r="F231" s="9" t="s">
        <v>1191</v>
      </c>
      <c r="G231" s="1" t="s">
        <v>463</v>
      </c>
      <c r="H2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1" s="11" t="e">
        <f>ABS(NETWORKDAYS.INTL("05/27/24", "05/30/24", 1, {"01/01/2024","01/15/2024","02/19/2024","05/27/2024","07/04/2024","09/02/2024","10/14/2024","11/11/2024","11/28/2024","12/25/2024","12/25/2024","12/26/2024","12/27/2024","12/28/2024","12/29/2024","12/30/2024","31/25/2024","01/01/2024","01/02/2024","01/03/2024","01/04/2024","01/05/2024"}))</f>
        <v>#VALUE!</v>
      </c>
      <c r="J231" s="1">
        <f>0</f>
        <v>0</v>
      </c>
      <c r="K231" s="1"/>
      <c r="L231" s="1">
        <v>1</v>
      </c>
      <c r="M231" s="1" t="e">
        <f>ABS(NETWORKDAYS.INTL("05/30/24", "05/30/24", 1, {"01/01/2024","01/15/2024","02/19/2024","05/27/2024","07/04/2024","09/02/2024","10/14/2024","11/11/2024","11/28/2024","12/25/2024","12/25/2024","12/26/2024","12/27/2024","12/28/2024","12/29/2024","12/30/2024","31/25/2024","01/01/2024","01/02/2024","01/03/2024","01/04/2024","01/05/2024"}))</f>
        <v>#VALUE!</v>
      </c>
      <c r="N231" s="1">
        <f>0</f>
        <v>0</v>
      </c>
      <c r="O231" s="1">
        <f>0</f>
        <v>0</v>
      </c>
      <c r="P231" s="1"/>
      <c r="Q231" s="1">
        <v>1</v>
      </c>
      <c r="R231" s="1">
        <v>1</v>
      </c>
      <c r="S231" s="1" t="e">
        <f>ABS(NETWORKDAYS.INTL("06/05/24", "06/11/24", 1, {"01/01/2024","01/15/2024","02/19/2024","05/27/2024","07/04/2024","09/02/2024","10/14/2024","11/11/2024","11/28/2024","12/25/2024","12/25/2024","12/26/2024","12/27/2024","12/28/2024","12/29/2024","12/30/2024","31/25/2024","01/01/2024","01/02/2024","01/03/2024","01/04/2024","01/05/2024"}))</f>
        <v>#VALUE!</v>
      </c>
      <c r="T231" s="1">
        <f>0</f>
        <v>0</v>
      </c>
      <c r="U231" s="1"/>
      <c r="V231" s="1">
        <v>2</v>
      </c>
      <c r="W231" s="1">
        <v>2</v>
      </c>
      <c r="X231"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31" s="1" t="e">
        <f>ABS(NETWORKDAYS.INTL("06/17/24", "06/19/24", 1, {"01/01/2024","01/15/2024","02/19/2024","05/27/2024","07/04/2024","09/02/2024","10/14/2024","11/11/2024","11/28/2024","12/25/2024","12/25/2024","12/26/2024","12/27/2024","12/28/2024","12/29/2024","12/30/2024","31/25/2024","01/01/2024","01/02/2024","01/03/2024","01/04/2024","01/05/2024"}))</f>
        <v>#VALUE!</v>
      </c>
      <c r="Z231" s="1">
        <f>0</f>
        <v>0</v>
      </c>
      <c r="AA231" s="1"/>
      <c r="AB231" s="5">
        <v>45467</v>
      </c>
      <c r="AC231" s="5">
        <v>45467</v>
      </c>
      <c r="AD231" s="1" t="e">
        <f>ABS(NETWORKDAYS.INTL("05/30/24", "05/30/24", 1, {"01/01/2024","01/15/2024","02/19/2024","05/27/2024","07/04/2024","09/02/2024","10/14/2024","11/11/2024","11/28/2024","12/25/2024","12/25/2024","12/26/2024","12/27/2024","12/28/2024","12/29/2024","12/30/2024","31/25/2024","01/01/2024","01/02/2024","01/03/2024","01/04/2024","01/05/2024"}))</f>
        <v>#VALUE!</v>
      </c>
      <c r="AE231" s="1">
        <f>0</f>
        <v>0</v>
      </c>
      <c r="AF231" s="1" t="e">
        <f>ABS(NETWORKDAYS.INTL("06/05/24", "05/30/24", 1, {"01/01/2024","01/15/2024","02/19/2024","05/27/2024","07/04/2024","09/02/2024","10/14/2024","11/11/2024","11/28/2024","12/25/2024","12/25/2024","12/26/2024","12/27/2024","12/28/2024","12/29/2024","12/30/2024","31/25/2024","01/01/2024","01/02/2024","01/03/2024","01/04/2024","01/05/2024"}))</f>
        <v>#VALUE!</v>
      </c>
      <c r="AG231" s="1" t="e">
        <f>ABS(NETWORKDAYS.INTL("06/13/24", "06/05/24", 1, {"01/01/2024","01/15/2024","02/19/2024","05/27/2024","07/04/2024","09/02/2024","10/14/2024","11/11/2024","11/28/2024","12/25/2024","12/25/2024","12/26/2024","12/27/2024","12/28/2024","12/29/2024","12/30/2024","31/25/2024","01/01/2024","01/02/2024","01/03/2024","01/04/2024","01/05/2024"}))</f>
        <v>#VALUE!</v>
      </c>
      <c r="AH231" s="1" t="e">
        <f>ABS(NETWORKDAYS.INTL("06/17/24", "06/13/24", 1, {"01/01/2024","01/15/2024","02/19/2024","05/27/2024","07/04/2024","09/02/2024","10/14/2024","11/11/2024","11/28/2024","12/25/2024","12/25/2024","12/26/2024","12/27/2024","12/28/2024","12/29/2024","12/30/2024","31/25/2024","01/01/2024","01/02/2024","01/03/2024","01/04/2024","01/05/2024"}))</f>
        <v>#VALUE!</v>
      </c>
      <c r="AI231" s="1" t="e">
        <f>ABS(NETWORKDAYS.INTL("06/24/24", "06/24/24", 1, {"01/01/2024","01/15/2024","02/19/2024","05/27/2024","07/04/2024","09/02/2024","10/14/2024","11/11/2024","11/28/2024","12/25/2024","12/25/2024","12/26/2024","12/27/2024","12/28/2024","12/29/2024","12/30/2024","31/25/2024","01/01/2024","01/02/2024","01/03/2024","01/04/2024","01/05/2024"}))</f>
        <v>#VALUE!</v>
      </c>
      <c r="AJ231" s="1"/>
      <c r="AK231" s="1"/>
      <c r="AL231" s="1"/>
      <c r="AM231" s="1"/>
      <c r="AN231" s="1"/>
      <c r="AO231" s="1"/>
      <c r="AP231" s="1"/>
      <c r="AQ231" s="1"/>
      <c r="AR231" s="1"/>
      <c r="AS231" s="1"/>
      <c r="AT231" s="1"/>
      <c r="AU231" s="1"/>
      <c r="AV231" s="1"/>
      <c r="AW231" s="1"/>
      <c r="AX231" s="1"/>
      <c r="AY231" s="1"/>
      <c r="AZ231" s="1"/>
    </row>
    <row r="232" spans="1:52" ht="15" customHeight="1" x14ac:dyDescent="0.35">
      <c r="A232" s="1" t="s">
        <v>1195</v>
      </c>
      <c r="B232" s="1" t="s">
        <v>488</v>
      </c>
      <c r="C232" s="1" t="s">
        <v>988</v>
      </c>
      <c r="D232" s="1" t="s">
        <v>1168</v>
      </c>
      <c r="E232" s="1" t="s">
        <v>1169</v>
      </c>
      <c r="F232" s="9" t="s">
        <v>1191</v>
      </c>
      <c r="G232" s="1" t="s">
        <v>463</v>
      </c>
      <c r="H2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2" s="11" t="e">
        <f>ABS(NETWORKDAYS.INTL("05/27/24", "05/30/24", 1, {"01/01/2024","01/15/2024","02/19/2024","05/27/2024","07/04/2024","09/02/2024","10/14/2024","11/11/2024","11/28/2024","12/25/2024","12/25/2024","12/26/2024","12/27/2024","12/28/2024","12/29/2024","12/30/2024","31/25/2024","01/01/2024","01/02/2024","01/03/2024","01/04/2024","01/05/2024"}))</f>
        <v>#VALUE!</v>
      </c>
      <c r="J232" s="1">
        <f>0</f>
        <v>0</v>
      </c>
      <c r="K232" s="1"/>
      <c r="L232" s="1">
        <v>1</v>
      </c>
      <c r="M232" s="1" t="e">
        <f>ABS(NETWORKDAYS.INTL("05/30/24", "05/30/24", 1, {"01/01/2024","01/15/2024","02/19/2024","05/27/2024","07/04/2024","09/02/2024","10/14/2024","11/11/2024","11/28/2024","12/25/2024","12/25/2024","12/26/2024","12/27/2024","12/28/2024","12/29/2024","12/30/2024","31/25/2024","01/01/2024","01/02/2024","01/03/2024","01/04/2024","01/05/2024"}))</f>
        <v>#VALUE!</v>
      </c>
      <c r="N232" s="1">
        <f>0</f>
        <v>0</v>
      </c>
      <c r="O232" s="1">
        <f>0</f>
        <v>0</v>
      </c>
      <c r="P232" s="1"/>
      <c r="Q232" s="1">
        <v>1</v>
      </c>
      <c r="R232" s="1">
        <v>1</v>
      </c>
      <c r="S232" s="1" t="e">
        <f>ABS(NETWORKDAYS.INTL("06/05/24", "06/11/24", 1, {"01/01/2024","01/15/2024","02/19/2024","05/27/2024","07/04/2024","09/02/2024","10/14/2024","11/11/2024","11/28/2024","12/25/2024","12/25/2024","12/26/2024","12/27/2024","12/28/2024","12/29/2024","12/30/2024","31/25/2024","01/01/2024","01/02/2024","01/03/2024","01/04/2024","01/05/2024"}))</f>
        <v>#VALUE!</v>
      </c>
      <c r="T232" s="1">
        <f>0</f>
        <v>0</v>
      </c>
      <c r="U232" s="1"/>
      <c r="V232" s="1">
        <v>2</v>
      </c>
      <c r="W232" s="1">
        <v>2</v>
      </c>
      <c r="X232"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32" s="1" t="e">
        <f>ABS(NETWORKDAYS.INTL("06/17/24", "06/19/24", 1, {"01/01/2024","01/15/2024","02/19/2024","05/27/2024","07/04/2024","09/02/2024","10/14/2024","11/11/2024","11/28/2024","12/25/2024","12/25/2024","12/26/2024","12/27/2024","12/28/2024","12/29/2024","12/30/2024","31/25/2024","01/01/2024","01/02/2024","01/03/2024","01/04/2024","01/05/2024"}))</f>
        <v>#VALUE!</v>
      </c>
      <c r="Z232" s="1">
        <f>0</f>
        <v>0</v>
      </c>
      <c r="AA232" s="1"/>
      <c r="AB232" s="5">
        <v>45467</v>
      </c>
      <c r="AC232" s="5">
        <v>45467</v>
      </c>
      <c r="AD232" s="1" t="e">
        <f>ABS(NETWORKDAYS.INTL("05/30/24", "05/30/24", 1, {"01/01/2024","01/15/2024","02/19/2024","05/27/2024","07/04/2024","09/02/2024","10/14/2024","11/11/2024","11/28/2024","12/25/2024","12/25/2024","12/26/2024","12/27/2024","12/28/2024","12/29/2024","12/30/2024","31/25/2024","01/01/2024","01/02/2024","01/03/2024","01/04/2024","01/05/2024"}))</f>
        <v>#VALUE!</v>
      </c>
      <c r="AE232" s="1">
        <f>0</f>
        <v>0</v>
      </c>
      <c r="AF232" s="1" t="e">
        <f>ABS(NETWORKDAYS.INTL("06/05/24", "05/30/24", 1, {"01/01/2024","01/15/2024","02/19/2024","05/27/2024","07/04/2024","09/02/2024","10/14/2024","11/11/2024","11/28/2024","12/25/2024","12/25/2024","12/26/2024","12/27/2024","12/28/2024","12/29/2024","12/30/2024","31/25/2024","01/01/2024","01/02/2024","01/03/2024","01/04/2024","01/05/2024"}))</f>
        <v>#VALUE!</v>
      </c>
      <c r="AG232" s="1" t="e">
        <f>ABS(NETWORKDAYS.INTL("06/13/24", "06/05/24", 1, {"01/01/2024","01/15/2024","02/19/2024","05/27/2024","07/04/2024","09/02/2024","10/14/2024","11/11/2024","11/28/2024","12/25/2024","12/25/2024","12/26/2024","12/27/2024","12/28/2024","12/29/2024","12/30/2024","31/25/2024","01/01/2024","01/02/2024","01/03/2024","01/04/2024","01/05/2024"}))</f>
        <v>#VALUE!</v>
      </c>
      <c r="AH232" s="1" t="e">
        <f>ABS(NETWORKDAYS.INTL("06/17/24", "06/13/24", 1, {"01/01/2024","01/15/2024","02/19/2024","05/27/2024","07/04/2024","09/02/2024","10/14/2024","11/11/2024","11/28/2024","12/25/2024","12/25/2024","12/26/2024","12/27/2024","12/28/2024","12/29/2024","12/30/2024","31/25/2024","01/01/2024","01/02/2024","01/03/2024","01/04/2024","01/05/2024"}))</f>
        <v>#VALUE!</v>
      </c>
      <c r="AI232" s="1" t="e">
        <f>ABS(NETWORKDAYS.INTL("06/24/24", "06/24/24", 1, {"01/01/2024","01/15/2024","02/19/2024","05/27/2024","07/04/2024","09/02/2024","10/14/2024","11/11/2024","11/28/2024","12/25/2024","12/25/2024","12/26/2024","12/27/2024","12/28/2024","12/29/2024","12/30/2024","31/25/2024","01/01/2024","01/02/2024","01/03/2024","01/04/2024","01/05/2024"}))</f>
        <v>#VALUE!</v>
      </c>
      <c r="AJ232" s="1"/>
      <c r="AK232" s="1"/>
      <c r="AL232" s="1"/>
      <c r="AM232" s="1"/>
      <c r="AN232" s="1"/>
      <c r="AO232" s="1"/>
      <c r="AP232" s="1"/>
      <c r="AQ232" s="1"/>
      <c r="AR232" s="1"/>
      <c r="AS232" s="1"/>
      <c r="AT232" s="1"/>
      <c r="AU232" s="1"/>
      <c r="AV232" s="1"/>
      <c r="AW232" s="1"/>
      <c r="AX232" s="1"/>
      <c r="AY232" s="1"/>
      <c r="AZ232" s="1"/>
    </row>
    <row r="233" spans="1:52" ht="15" customHeight="1" x14ac:dyDescent="0.35">
      <c r="A233" s="1" t="s">
        <v>1196</v>
      </c>
      <c r="B233" s="1" t="s">
        <v>489</v>
      </c>
      <c r="C233" s="1" t="s">
        <v>988</v>
      </c>
      <c r="D233" s="1" t="s">
        <v>1168</v>
      </c>
      <c r="E233" s="1" t="s">
        <v>1169</v>
      </c>
      <c r="F233" s="9" t="s">
        <v>1191</v>
      </c>
      <c r="G233" s="1" t="s">
        <v>463</v>
      </c>
      <c r="H2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3" s="11" t="e">
        <f>ABS(NETWORKDAYS.INTL("05/27/24", "05/30/24", 1, {"01/01/2024","01/15/2024","02/19/2024","05/27/2024","07/04/2024","09/02/2024","10/14/2024","11/11/2024","11/28/2024","12/25/2024","12/25/2024","12/26/2024","12/27/2024","12/28/2024","12/29/2024","12/30/2024","31/25/2024","01/01/2024","01/02/2024","01/03/2024","01/04/2024","01/05/2024"}))</f>
        <v>#VALUE!</v>
      </c>
      <c r="J233" s="1">
        <f>0</f>
        <v>0</v>
      </c>
      <c r="K233" s="1"/>
      <c r="L233" s="1">
        <v>1</v>
      </c>
      <c r="M233" s="1" t="e">
        <f>ABS(NETWORKDAYS.INTL("05/30/24", "05/30/24", 1, {"01/01/2024","01/15/2024","02/19/2024","05/27/2024","07/04/2024","09/02/2024","10/14/2024","11/11/2024","11/28/2024","12/25/2024","12/25/2024","12/26/2024","12/27/2024","12/28/2024","12/29/2024","12/30/2024","31/25/2024","01/01/2024","01/02/2024","01/03/2024","01/04/2024","01/05/2024"}))</f>
        <v>#VALUE!</v>
      </c>
      <c r="N233" s="1">
        <f>0</f>
        <v>0</v>
      </c>
      <c r="O233" s="1">
        <f>0</f>
        <v>0</v>
      </c>
      <c r="P233" s="1"/>
      <c r="Q233" s="1">
        <v>1</v>
      </c>
      <c r="R233" s="1">
        <v>1</v>
      </c>
      <c r="S233" s="1" t="e">
        <f>ABS(NETWORKDAYS.INTL("06/05/24", "06/11/24", 1, {"01/01/2024","01/15/2024","02/19/2024","05/27/2024","07/04/2024","09/02/2024","10/14/2024","11/11/2024","11/28/2024","12/25/2024","12/25/2024","12/26/2024","12/27/2024","12/28/2024","12/29/2024","12/30/2024","31/25/2024","01/01/2024","01/02/2024","01/03/2024","01/04/2024","01/05/2024"}))</f>
        <v>#VALUE!</v>
      </c>
      <c r="T233" s="1">
        <f>0</f>
        <v>0</v>
      </c>
      <c r="U233" s="1"/>
      <c r="V233" s="1">
        <v>2</v>
      </c>
      <c r="W233" s="1">
        <v>2</v>
      </c>
      <c r="X233"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33" s="1" t="e">
        <f>ABS(NETWORKDAYS.INTL("06/17/24", "06/19/24", 1, {"01/01/2024","01/15/2024","02/19/2024","05/27/2024","07/04/2024","09/02/2024","10/14/2024","11/11/2024","11/28/2024","12/25/2024","12/25/2024","12/26/2024","12/27/2024","12/28/2024","12/29/2024","12/30/2024","31/25/2024","01/01/2024","01/02/2024","01/03/2024","01/04/2024","01/05/2024"}))</f>
        <v>#VALUE!</v>
      </c>
      <c r="Z233" s="1">
        <f>0</f>
        <v>0</v>
      </c>
      <c r="AA233" s="1"/>
      <c r="AB233" s="5">
        <v>45467</v>
      </c>
      <c r="AC233" s="5">
        <v>45467</v>
      </c>
      <c r="AD233" s="1" t="e">
        <f>ABS(NETWORKDAYS.INTL("05/30/24", "05/30/24", 1, {"01/01/2024","01/15/2024","02/19/2024","05/27/2024","07/04/2024","09/02/2024","10/14/2024","11/11/2024","11/28/2024","12/25/2024","12/25/2024","12/26/2024","12/27/2024","12/28/2024","12/29/2024","12/30/2024","31/25/2024","01/01/2024","01/02/2024","01/03/2024","01/04/2024","01/05/2024"}))</f>
        <v>#VALUE!</v>
      </c>
      <c r="AE233" s="1">
        <f>0</f>
        <v>0</v>
      </c>
      <c r="AF233" s="1" t="e">
        <f>ABS(NETWORKDAYS.INTL("06/05/24", "05/30/24", 1, {"01/01/2024","01/15/2024","02/19/2024","05/27/2024","07/04/2024","09/02/2024","10/14/2024","11/11/2024","11/28/2024","12/25/2024","12/25/2024","12/26/2024","12/27/2024","12/28/2024","12/29/2024","12/30/2024","31/25/2024","01/01/2024","01/02/2024","01/03/2024","01/04/2024","01/05/2024"}))</f>
        <v>#VALUE!</v>
      </c>
      <c r="AG233" s="1" t="e">
        <f>ABS(NETWORKDAYS.INTL("06/13/24", "06/05/24", 1, {"01/01/2024","01/15/2024","02/19/2024","05/27/2024","07/04/2024","09/02/2024","10/14/2024","11/11/2024","11/28/2024","12/25/2024","12/25/2024","12/26/2024","12/27/2024","12/28/2024","12/29/2024","12/30/2024","31/25/2024","01/01/2024","01/02/2024","01/03/2024","01/04/2024","01/05/2024"}))</f>
        <v>#VALUE!</v>
      </c>
      <c r="AH233" s="1" t="e">
        <f>ABS(NETWORKDAYS.INTL("06/17/24", "06/13/24", 1, {"01/01/2024","01/15/2024","02/19/2024","05/27/2024","07/04/2024","09/02/2024","10/14/2024","11/11/2024","11/28/2024","12/25/2024","12/25/2024","12/26/2024","12/27/2024","12/28/2024","12/29/2024","12/30/2024","31/25/2024","01/01/2024","01/02/2024","01/03/2024","01/04/2024","01/05/2024"}))</f>
        <v>#VALUE!</v>
      </c>
      <c r="AI233" s="1" t="e">
        <f>ABS(NETWORKDAYS.INTL("06/24/24", "06/24/24", 1, {"01/01/2024","01/15/2024","02/19/2024","05/27/2024","07/04/2024","09/02/2024","10/14/2024","11/11/2024","11/28/2024","12/25/2024","12/25/2024","12/26/2024","12/27/2024","12/28/2024","12/29/2024","12/30/2024","31/25/2024","01/01/2024","01/02/2024","01/03/2024","01/04/2024","01/05/2024"}))</f>
        <v>#VALUE!</v>
      </c>
      <c r="AJ233" s="1"/>
      <c r="AK233" s="1"/>
      <c r="AL233" s="1"/>
      <c r="AM233" s="1"/>
      <c r="AN233" s="1"/>
      <c r="AO233" s="1"/>
      <c r="AP233" s="1"/>
      <c r="AQ233" s="1"/>
      <c r="AR233" s="1"/>
      <c r="AS233" s="1"/>
      <c r="AT233" s="1"/>
      <c r="AU233" s="1"/>
      <c r="AV233" s="1"/>
      <c r="AW233" s="1"/>
      <c r="AX233" s="1"/>
      <c r="AY233" s="1"/>
      <c r="AZ233" s="1"/>
    </row>
    <row r="234" spans="1:52" ht="15" customHeight="1" x14ac:dyDescent="0.35">
      <c r="A234" s="1" t="s">
        <v>1197</v>
      </c>
      <c r="B234" s="1" t="s">
        <v>490</v>
      </c>
      <c r="C234" s="1" t="s">
        <v>988</v>
      </c>
      <c r="D234" s="1" t="s">
        <v>1168</v>
      </c>
      <c r="E234" s="1" t="s">
        <v>1169</v>
      </c>
      <c r="F234" s="9" t="s">
        <v>1191</v>
      </c>
      <c r="G234" s="1" t="s">
        <v>463</v>
      </c>
      <c r="H2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4" s="11" t="e">
        <f>ABS(NETWORKDAYS.INTL("05/27/24", "05/30/24", 1, {"01/01/2024","01/15/2024","02/19/2024","05/27/2024","07/04/2024","09/02/2024","10/14/2024","11/11/2024","11/28/2024","12/25/2024","12/25/2024","12/26/2024","12/27/2024","12/28/2024","12/29/2024","12/30/2024","31/25/2024","01/01/2024","01/02/2024","01/03/2024","01/04/2024","01/05/2024"}))</f>
        <v>#VALUE!</v>
      </c>
      <c r="J234" s="1">
        <f>0</f>
        <v>0</v>
      </c>
      <c r="K234" s="1"/>
      <c r="L234" s="1">
        <v>1</v>
      </c>
      <c r="M234" s="1" t="e">
        <f>ABS(NETWORKDAYS.INTL("05/30/24", "05/30/24", 1, {"01/01/2024","01/15/2024","02/19/2024","05/27/2024","07/04/2024","09/02/2024","10/14/2024","11/11/2024","11/28/2024","12/25/2024","12/25/2024","12/26/2024","12/27/2024","12/28/2024","12/29/2024","12/30/2024","31/25/2024","01/01/2024","01/02/2024","01/03/2024","01/04/2024","01/05/2024"}))</f>
        <v>#VALUE!</v>
      </c>
      <c r="N234" s="1">
        <f>0</f>
        <v>0</v>
      </c>
      <c r="O234" s="1">
        <f>0</f>
        <v>0</v>
      </c>
      <c r="P234" s="1"/>
      <c r="Q234" s="1">
        <v>1</v>
      </c>
      <c r="R234" s="1">
        <v>1</v>
      </c>
      <c r="S234" s="1" t="e">
        <f>ABS(NETWORKDAYS.INTL("06/05/24", "06/11/24", 1, {"01/01/2024","01/15/2024","02/19/2024","05/27/2024","07/04/2024","09/02/2024","10/14/2024","11/11/2024","11/28/2024","12/25/2024","12/25/2024","12/26/2024","12/27/2024","12/28/2024","12/29/2024","12/30/2024","31/25/2024","01/01/2024","01/02/2024","01/03/2024","01/04/2024","01/05/2024"}))</f>
        <v>#VALUE!</v>
      </c>
      <c r="T234" s="1">
        <f>0</f>
        <v>0</v>
      </c>
      <c r="U234" s="1"/>
      <c r="V234" s="1">
        <v>2</v>
      </c>
      <c r="W234" s="1">
        <v>2</v>
      </c>
      <c r="X234"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34" s="1" t="e">
        <f>ABS(NETWORKDAYS.INTL("06/17/24", "06/19/24", 1, {"01/01/2024","01/15/2024","02/19/2024","05/27/2024","07/04/2024","09/02/2024","10/14/2024","11/11/2024","11/28/2024","12/25/2024","12/25/2024","12/26/2024","12/27/2024","12/28/2024","12/29/2024","12/30/2024","31/25/2024","01/01/2024","01/02/2024","01/03/2024","01/04/2024","01/05/2024"}))</f>
        <v>#VALUE!</v>
      </c>
      <c r="Z234" s="1">
        <f>0</f>
        <v>0</v>
      </c>
      <c r="AA234" s="1"/>
      <c r="AB234" s="5">
        <v>45467</v>
      </c>
      <c r="AC234" s="5">
        <v>45467</v>
      </c>
      <c r="AD234" s="1" t="e">
        <f>ABS(NETWORKDAYS.INTL("05/30/24", "05/30/24", 1, {"01/01/2024","01/15/2024","02/19/2024","05/27/2024","07/04/2024","09/02/2024","10/14/2024","11/11/2024","11/28/2024","12/25/2024","12/25/2024","12/26/2024","12/27/2024","12/28/2024","12/29/2024","12/30/2024","31/25/2024","01/01/2024","01/02/2024","01/03/2024","01/04/2024","01/05/2024"}))</f>
        <v>#VALUE!</v>
      </c>
      <c r="AE234" s="1">
        <f>0</f>
        <v>0</v>
      </c>
      <c r="AF234" s="1" t="e">
        <f>ABS(NETWORKDAYS.INTL("06/05/24", "05/30/24", 1, {"01/01/2024","01/15/2024","02/19/2024","05/27/2024","07/04/2024","09/02/2024","10/14/2024","11/11/2024","11/28/2024","12/25/2024","12/25/2024","12/26/2024","12/27/2024","12/28/2024","12/29/2024","12/30/2024","31/25/2024","01/01/2024","01/02/2024","01/03/2024","01/04/2024","01/05/2024"}))</f>
        <v>#VALUE!</v>
      </c>
      <c r="AG234" s="1" t="e">
        <f>ABS(NETWORKDAYS.INTL("06/13/24", "06/05/24", 1, {"01/01/2024","01/15/2024","02/19/2024","05/27/2024","07/04/2024","09/02/2024","10/14/2024","11/11/2024","11/28/2024","12/25/2024","12/25/2024","12/26/2024","12/27/2024","12/28/2024","12/29/2024","12/30/2024","31/25/2024","01/01/2024","01/02/2024","01/03/2024","01/04/2024","01/05/2024"}))</f>
        <v>#VALUE!</v>
      </c>
      <c r="AH234" s="1" t="e">
        <f>ABS(NETWORKDAYS.INTL("06/17/24", "06/13/24", 1, {"01/01/2024","01/15/2024","02/19/2024","05/27/2024","07/04/2024","09/02/2024","10/14/2024","11/11/2024","11/28/2024","12/25/2024","12/25/2024","12/26/2024","12/27/2024","12/28/2024","12/29/2024","12/30/2024","31/25/2024","01/01/2024","01/02/2024","01/03/2024","01/04/2024","01/05/2024"}))</f>
        <v>#VALUE!</v>
      </c>
      <c r="AI234" s="1" t="e">
        <f>ABS(NETWORKDAYS.INTL("06/24/24", "06/24/24", 1, {"01/01/2024","01/15/2024","02/19/2024","05/27/2024","07/04/2024","09/02/2024","10/14/2024","11/11/2024","11/28/2024","12/25/2024","12/25/2024","12/26/2024","12/27/2024","12/28/2024","12/29/2024","12/30/2024","31/25/2024","01/01/2024","01/02/2024","01/03/2024","01/04/2024","01/05/2024"}))</f>
        <v>#VALUE!</v>
      </c>
      <c r="AJ234" s="1"/>
      <c r="AK234" s="1"/>
      <c r="AL234" s="1"/>
      <c r="AM234" s="1"/>
      <c r="AN234" s="1"/>
      <c r="AO234" s="1"/>
      <c r="AP234" s="1"/>
      <c r="AQ234" s="1"/>
      <c r="AR234" s="1"/>
      <c r="AS234" s="1"/>
      <c r="AT234" s="1"/>
      <c r="AU234" s="1"/>
      <c r="AV234" s="1"/>
      <c r="AW234" s="1"/>
      <c r="AX234" s="1"/>
      <c r="AY234" s="1"/>
      <c r="AZ234" s="1"/>
    </row>
    <row r="235" spans="1:52" ht="15" customHeight="1" x14ac:dyDescent="0.35">
      <c r="A235" s="1" t="s">
        <v>1198</v>
      </c>
      <c r="B235" s="1" t="s">
        <v>491</v>
      </c>
      <c r="C235" s="1" t="s">
        <v>988</v>
      </c>
      <c r="D235" s="1" t="s">
        <v>1199</v>
      </c>
      <c r="E235" s="1" t="s">
        <v>810</v>
      </c>
      <c r="F235" s="9" t="s">
        <v>1200</v>
      </c>
      <c r="G235" s="1" t="s">
        <v>463</v>
      </c>
      <c r="H2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5" s="11" t="e">
        <f>ABS(NETWORKDAYS.INTL("05/20/24", "05/20/24", 1, {"01/01/2024","01/15/2024","02/19/2024","05/27/2024","07/04/2024","09/02/2024","10/14/2024","11/11/2024","11/28/2024","12/25/2024","12/25/2024","12/26/2024","12/27/2024","12/28/2024","12/29/2024","12/30/2024","31/25/2024","01/01/2024","01/02/2024","01/03/2024","01/04/2024","01/05/2024"}))</f>
        <v>#VALUE!</v>
      </c>
      <c r="J235" s="1">
        <f>0</f>
        <v>0</v>
      </c>
      <c r="K235" s="1"/>
      <c r="L235" s="1">
        <v>0</v>
      </c>
      <c r="M235" s="1">
        <f>0</f>
        <v>0</v>
      </c>
      <c r="N235" s="1">
        <f>0</f>
        <v>0</v>
      </c>
      <c r="O235" s="1">
        <f>0</f>
        <v>0</v>
      </c>
      <c r="P235" s="1"/>
      <c r="Q235" s="1">
        <v>0</v>
      </c>
      <c r="R235" s="1">
        <v>0</v>
      </c>
      <c r="S235" s="1">
        <f>0</f>
        <v>0</v>
      </c>
      <c r="T235" s="1">
        <f>0</f>
        <v>0</v>
      </c>
      <c r="U235" s="1"/>
      <c r="V235" s="1">
        <v>1</v>
      </c>
      <c r="W235" s="1">
        <v>1</v>
      </c>
      <c r="X235" s="1" t="e">
        <f>ABS(NETWORKDAYS.INTL("05/22/24", "05/22/24", 1, {"01/01/2024","01/15/2024","02/19/2024","05/27/2024","07/04/2024","09/02/2024","10/14/2024","11/11/2024","11/28/2024","12/25/2024","12/25/2024","12/26/2024","12/27/2024","12/28/2024","12/29/2024","12/30/2024","31/25/2024","01/01/2024","01/02/2024","01/03/2024","01/04/2024","01/05/2024"}))</f>
        <v>#VALUE!</v>
      </c>
      <c r="Y235" s="1">
        <f>0</f>
        <v>0</v>
      </c>
      <c r="Z235" s="1">
        <f>0</f>
        <v>0</v>
      </c>
      <c r="AA235" s="1"/>
      <c r="AB235" s="5">
        <v>45434</v>
      </c>
      <c r="AC235" s="5">
        <v>45434</v>
      </c>
      <c r="AD235" s="1">
        <f>0</f>
        <v>0</v>
      </c>
      <c r="AE235" s="1">
        <f>0</f>
        <v>0</v>
      </c>
      <c r="AF235" s="1">
        <f>0</f>
        <v>0</v>
      </c>
      <c r="AG235" s="1" t="e">
        <f>ABS(NETWORKDAYS.INTL("05/20/24", "08/05/24", 1, {"01/01/2024","01/15/2024","02/19/2024","05/27/2024","07/04/2024","09/02/2024","10/14/2024","11/11/2024","11/28/2024","12/25/2024","12/25/2024","12/26/2024","12/27/2024","12/28/2024","12/29/2024","12/30/2024","31/25/2024","01/01/2024","01/02/2024","01/03/2024","01/04/2024","01/05/2024"}))</f>
        <v>#VALUE!</v>
      </c>
      <c r="AH235" s="1" t="e">
        <f>ABS(NETWORKDAYS.INTL("05/22/24", "05/20/24", 1, {"01/01/2024","01/15/2024","02/19/2024","05/27/2024","07/04/2024","09/02/2024","10/14/2024","11/11/2024","11/28/2024","12/25/2024","12/25/2024","12/26/2024","12/27/2024","12/28/2024","12/29/2024","12/30/2024","31/25/2024","01/01/2024","01/02/2024","01/03/2024","01/04/2024","01/05/2024"}))</f>
        <v>#VALUE!</v>
      </c>
      <c r="AI235" s="1" t="e">
        <f>ABS(NETWORKDAYS.INTL("05/22/24", "05/22/24", 1, {"01/01/2024","01/15/2024","02/19/2024","05/27/2024","07/04/2024","09/02/2024","10/14/2024","11/11/2024","11/28/2024","12/25/2024","12/25/2024","12/26/2024","12/27/2024","12/28/2024","12/29/2024","12/30/2024","31/25/2024","01/01/2024","01/02/2024","01/03/2024","01/04/2024","01/05/2024"}))</f>
        <v>#VALUE!</v>
      </c>
      <c r="AJ235" s="1"/>
      <c r="AK235" s="1"/>
      <c r="AL235" s="1" t="b">
        <v>1</v>
      </c>
      <c r="AM235" s="1"/>
      <c r="AN235" s="1"/>
      <c r="AO235" s="1"/>
      <c r="AP235" s="1"/>
      <c r="AQ235" s="1"/>
      <c r="AR235" s="1"/>
      <c r="AS235" s="1"/>
      <c r="AT235" s="1"/>
      <c r="AU235" s="1"/>
      <c r="AV235" s="1"/>
      <c r="AW235" s="1"/>
      <c r="AX235" s="1"/>
      <c r="AY235" s="1"/>
      <c r="AZ235" s="1"/>
    </row>
    <row r="236" spans="1:52" ht="15" customHeight="1" x14ac:dyDescent="0.35">
      <c r="A236" s="1" t="s">
        <v>1201</v>
      </c>
      <c r="B236" s="1" t="s">
        <v>492</v>
      </c>
      <c r="C236" s="1" t="s">
        <v>988</v>
      </c>
      <c r="D236" s="1" t="s">
        <v>1199</v>
      </c>
      <c r="E236" s="1" t="s">
        <v>810</v>
      </c>
      <c r="F236" s="9" t="s">
        <v>1202</v>
      </c>
      <c r="G236" s="1" t="s">
        <v>463</v>
      </c>
      <c r="H2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6" s="11" t="e">
        <f>ABS(NETWORKDAYS.INTL("05/20/24", "05/20/24", 1, {"01/01/2024","01/15/2024","02/19/2024","05/27/2024","07/04/2024","09/02/2024","10/14/2024","11/11/2024","11/28/2024","12/25/2024","12/25/2024","12/26/2024","12/27/2024","12/28/2024","12/29/2024","12/30/2024","31/25/2024","01/01/2024","01/02/2024","01/03/2024","01/04/2024","01/05/2024"}))</f>
        <v>#VALUE!</v>
      </c>
      <c r="J236" s="1">
        <f>0</f>
        <v>0</v>
      </c>
      <c r="K236" s="1"/>
      <c r="L236" s="1">
        <v>0</v>
      </c>
      <c r="M236" s="1">
        <f>0</f>
        <v>0</v>
      </c>
      <c r="N236" s="1">
        <f>0</f>
        <v>0</v>
      </c>
      <c r="O236" s="1">
        <f>0</f>
        <v>0</v>
      </c>
      <c r="P236" s="1"/>
      <c r="Q236" s="1">
        <v>0</v>
      </c>
      <c r="R236" s="1">
        <v>0</v>
      </c>
      <c r="S236" s="1">
        <f>0</f>
        <v>0</v>
      </c>
      <c r="T236" s="1">
        <f>0</f>
        <v>0</v>
      </c>
      <c r="U236" s="1"/>
      <c r="V236" s="1">
        <v>1</v>
      </c>
      <c r="W236" s="1">
        <v>1</v>
      </c>
      <c r="X236" s="1" t="e">
        <f>ABS(NETWORKDAYS.INTL("05/22/24", "05/22/24", 1, {"01/01/2024","01/15/2024","02/19/2024","05/27/2024","07/04/2024","09/02/2024","10/14/2024","11/11/2024","11/28/2024","12/25/2024","12/25/2024","12/26/2024","12/27/2024","12/28/2024","12/29/2024","12/30/2024","31/25/2024","01/01/2024","01/02/2024","01/03/2024","01/04/2024","01/05/2024"}))</f>
        <v>#VALUE!</v>
      </c>
      <c r="Y236" s="1">
        <f>0</f>
        <v>0</v>
      </c>
      <c r="Z236" s="1">
        <f>0</f>
        <v>0</v>
      </c>
      <c r="AA236" s="1"/>
      <c r="AB236" s="5">
        <v>45434</v>
      </c>
      <c r="AC236" s="5">
        <v>45434</v>
      </c>
      <c r="AD236" s="1">
        <f>0</f>
        <v>0</v>
      </c>
      <c r="AE236" s="1">
        <f>0</f>
        <v>0</v>
      </c>
      <c r="AF236" s="1">
        <f>0</f>
        <v>0</v>
      </c>
      <c r="AG236" s="1" t="e">
        <f>ABS(NETWORKDAYS.INTL("05/20/24", "08/05/24", 1, {"01/01/2024","01/15/2024","02/19/2024","05/27/2024","07/04/2024","09/02/2024","10/14/2024","11/11/2024","11/28/2024","12/25/2024","12/25/2024","12/26/2024","12/27/2024","12/28/2024","12/29/2024","12/30/2024","31/25/2024","01/01/2024","01/02/2024","01/03/2024","01/04/2024","01/05/2024"}))</f>
        <v>#VALUE!</v>
      </c>
      <c r="AH236" s="1" t="e">
        <f>ABS(NETWORKDAYS.INTL("05/22/24", "05/20/24", 1, {"01/01/2024","01/15/2024","02/19/2024","05/27/2024","07/04/2024","09/02/2024","10/14/2024","11/11/2024","11/28/2024","12/25/2024","12/25/2024","12/26/2024","12/27/2024","12/28/2024","12/29/2024","12/30/2024","31/25/2024","01/01/2024","01/02/2024","01/03/2024","01/04/2024","01/05/2024"}))</f>
        <v>#VALUE!</v>
      </c>
      <c r="AI236" s="1" t="e">
        <f>ABS(NETWORKDAYS.INTL("05/22/24", "05/22/24", 1, {"01/01/2024","01/15/2024","02/19/2024","05/27/2024","07/04/2024","09/02/2024","10/14/2024","11/11/2024","11/28/2024","12/25/2024","12/25/2024","12/26/2024","12/27/2024","12/28/2024","12/29/2024","12/30/2024","31/25/2024","01/01/2024","01/02/2024","01/03/2024","01/04/2024","01/05/2024"}))</f>
        <v>#VALUE!</v>
      </c>
      <c r="AJ236" s="1"/>
      <c r="AK236" s="1"/>
      <c r="AL236" s="1" t="b">
        <v>1</v>
      </c>
      <c r="AM236" s="1"/>
      <c r="AN236" s="1"/>
      <c r="AO236" s="1"/>
      <c r="AP236" s="1"/>
      <c r="AQ236" s="1"/>
      <c r="AR236" s="1"/>
      <c r="AS236" s="1"/>
      <c r="AT236" s="1"/>
      <c r="AU236" s="1"/>
      <c r="AV236" s="1"/>
      <c r="AW236" s="1"/>
      <c r="AX236" s="1"/>
      <c r="AY236" s="1"/>
      <c r="AZ236" s="1"/>
    </row>
    <row r="237" spans="1:52" ht="15" customHeight="1" x14ac:dyDescent="0.35">
      <c r="A237" s="1" t="s">
        <v>1203</v>
      </c>
      <c r="B237" s="1" t="s">
        <v>493</v>
      </c>
      <c r="C237" s="1" t="s">
        <v>988</v>
      </c>
      <c r="D237" s="1" t="s">
        <v>1199</v>
      </c>
      <c r="E237" s="1" t="s">
        <v>810</v>
      </c>
      <c r="F237" s="9" t="s">
        <v>1202</v>
      </c>
      <c r="G237" s="1" t="s">
        <v>463</v>
      </c>
      <c r="H2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7" s="11" t="e">
        <f>ABS(NETWORKDAYS.INTL("05/20/24", "05/20/24", 1, {"01/01/2024","01/15/2024","02/19/2024","05/27/2024","07/04/2024","09/02/2024","10/14/2024","11/11/2024","11/28/2024","12/25/2024","12/25/2024","12/26/2024","12/27/2024","12/28/2024","12/29/2024","12/30/2024","31/25/2024","01/01/2024","01/02/2024","01/03/2024","01/04/2024","01/05/2024"}))</f>
        <v>#VALUE!</v>
      </c>
      <c r="J237" s="1">
        <f>0</f>
        <v>0</v>
      </c>
      <c r="K237" s="1"/>
      <c r="L237" s="1">
        <v>0</v>
      </c>
      <c r="M237" s="1">
        <f>0</f>
        <v>0</v>
      </c>
      <c r="N237" s="1">
        <f>0</f>
        <v>0</v>
      </c>
      <c r="O237" s="1">
        <f>0</f>
        <v>0</v>
      </c>
      <c r="P237" s="1"/>
      <c r="Q237" s="1">
        <v>0</v>
      </c>
      <c r="R237" s="1">
        <v>0</v>
      </c>
      <c r="S237" s="1">
        <f>0</f>
        <v>0</v>
      </c>
      <c r="T237" s="1">
        <f>0</f>
        <v>0</v>
      </c>
      <c r="U237" s="1"/>
      <c r="V237" s="1">
        <v>1</v>
      </c>
      <c r="W237" s="1">
        <v>1</v>
      </c>
      <c r="X237" s="1" t="e">
        <f>ABS(NETWORKDAYS.INTL("05/22/24", "05/22/24", 1, {"01/01/2024","01/15/2024","02/19/2024","05/27/2024","07/04/2024","09/02/2024","10/14/2024","11/11/2024","11/28/2024","12/25/2024","12/25/2024","12/26/2024","12/27/2024","12/28/2024","12/29/2024","12/30/2024","31/25/2024","01/01/2024","01/02/2024","01/03/2024","01/04/2024","01/05/2024"}))</f>
        <v>#VALUE!</v>
      </c>
      <c r="Y237" s="1">
        <f>0</f>
        <v>0</v>
      </c>
      <c r="Z237" s="1">
        <f>0</f>
        <v>0</v>
      </c>
      <c r="AA237" s="1"/>
      <c r="AB237" s="5">
        <v>45434</v>
      </c>
      <c r="AC237" s="5">
        <v>45434</v>
      </c>
      <c r="AD237" s="1">
        <f>0</f>
        <v>0</v>
      </c>
      <c r="AE237" s="1">
        <f>0</f>
        <v>0</v>
      </c>
      <c r="AF237" s="1">
        <f>0</f>
        <v>0</v>
      </c>
      <c r="AG237" s="1" t="e">
        <f>ABS(NETWORKDAYS.INTL("05/20/24", "08/05/24", 1, {"01/01/2024","01/15/2024","02/19/2024","05/27/2024","07/04/2024","09/02/2024","10/14/2024","11/11/2024","11/28/2024","12/25/2024","12/25/2024","12/26/2024","12/27/2024","12/28/2024","12/29/2024","12/30/2024","31/25/2024","01/01/2024","01/02/2024","01/03/2024","01/04/2024","01/05/2024"}))</f>
        <v>#VALUE!</v>
      </c>
      <c r="AH237" s="1" t="e">
        <f>ABS(NETWORKDAYS.INTL("05/22/24", "05/20/24", 1, {"01/01/2024","01/15/2024","02/19/2024","05/27/2024","07/04/2024","09/02/2024","10/14/2024","11/11/2024","11/28/2024","12/25/2024","12/25/2024","12/26/2024","12/27/2024","12/28/2024","12/29/2024","12/30/2024","31/25/2024","01/01/2024","01/02/2024","01/03/2024","01/04/2024","01/05/2024"}))</f>
        <v>#VALUE!</v>
      </c>
      <c r="AI237" s="1" t="e">
        <f>ABS(NETWORKDAYS.INTL("05/22/24", "05/22/24", 1, {"01/01/2024","01/15/2024","02/19/2024","05/27/2024","07/04/2024","09/02/2024","10/14/2024","11/11/2024","11/28/2024","12/25/2024","12/25/2024","12/26/2024","12/27/2024","12/28/2024","12/29/2024","12/30/2024","31/25/2024","01/01/2024","01/02/2024","01/03/2024","01/04/2024","01/05/2024"}))</f>
        <v>#VALUE!</v>
      </c>
      <c r="AJ237" s="1"/>
      <c r="AK237" s="1"/>
      <c r="AL237" s="1" t="b">
        <v>1</v>
      </c>
      <c r="AM237" s="1"/>
      <c r="AN237" s="1"/>
      <c r="AO237" s="1"/>
      <c r="AP237" s="1"/>
      <c r="AQ237" s="1"/>
      <c r="AR237" s="1"/>
      <c r="AS237" s="1"/>
      <c r="AT237" s="1"/>
      <c r="AU237" s="1"/>
      <c r="AV237" s="1"/>
      <c r="AW237" s="1"/>
      <c r="AX237" s="1"/>
      <c r="AY237" s="1"/>
      <c r="AZ237" s="1"/>
    </row>
    <row r="238" spans="1:52" ht="15" customHeight="1" x14ac:dyDescent="0.35">
      <c r="A238" s="1" t="s">
        <v>1204</v>
      </c>
      <c r="B238" s="1" t="s">
        <v>494</v>
      </c>
      <c r="C238" s="1" t="s">
        <v>988</v>
      </c>
      <c r="D238" s="1" t="s">
        <v>1199</v>
      </c>
      <c r="E238" s="1" t="s">
        <v>810</v>
      </c>
      <c r="F238" s="9" t="s">
        <v>1202</v>
      </c>
      <c r="G238" s="1" t="s">
        <v>463</v>
      </c>
      <c r="H2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8" s="11" t="e">
        <f>ABS(NETWORKDAYS.INTL("05/20/24", "05/20/24", 1, {"01/01/2024","01/15/2024","02/19/2024","05/27/2024","07/04/2024","09/02/2024","10/14/2024","11/11/2024","11/28/2024","12/25/2024","12/25/2024","12/26/2024","12/27/2024","12/28/2024","12/29/2024","12/30/2024","31/25/2024","01/01/2024","01/02/2024","01/03/2024","01/04/2024","01/05/2024"}))</f>
        <v>#VALUE!</v>
      </c>
      <c r="J238" s="1">
        <f>0</f>
        <v>0</v>
      </c>
      <c r="K238" s="1"/>
      <c r="L238" s="1">
        <v>0</v>
      </c>
      <c r="M238" s="1">
        <f>0</f>
        <v>0</v>
      </c>
      <c r="N238" s="1">
        <f>0</f>
        <v>0</v>
      </c>
      <c r="O238" s="1">
        <f>0</f>
        <v>0</v>
      </c>
      <c r="P238" s="1"/>
      <c r="Q238" s="1">
        <v>0</v>
      </c>
      <c r="R238" s="1">
        <v>0</v>
      </c>
      <c r="S238" s="1">
        <f>0</f>
        <v>0</v>
      </c>
      <c r="T238" s="1">
        <f>0</f>
        <v>0</v>
      </c>
      <c r="U238" s="1"/>
      <c r="V238" s="1">
        <v>1</v>
      </c>
      <c r="W238" s="1">
        <v>1</v>
      </c>
      <c r="X238" s="1" t="e">
        <f>ABS(NETWORKDAYS.INTL("05/22/24", "05/22/24", 1, {"01/01/2024","01/15/2024","02/19/2024","05/27/2024","07/04/2024","09/02/2024","10/14/2024","11/11/2024","11/28/2024","12/25/2024","12/25/2024","12/26/2024","12/27/2024","12/28/2024","12/29/2024","12/30/2024","31/25/2024","01/01/2024","01/02/2024","01/03/2024","01/04/2024","01/05/2024"}))</f>
        <v>#VALUE!</v>
      </c>
      <c r="Y238" s="1">
        <f>0</f>
        <v>0</v>
      </c>
      <c r="Z238" s="1">
        <f>0</f>
        <v>0</v>
      </c>
      <c r="AA238" s="1"/>
      <c r="AB238" s="5">
        <v>45434</v>
      </c>
      <c r="AC238" s="5">
        <v>45434</v>
      </c>
      <c r="AD238" s="1">
        <f>0</f>
        <v>0</v>
      </c>
      <c r="AE238" s="1">
        <f>0</f>
        <v>0</v>
      </c>
      <c r="AF238" s="1">
        <f>0</f>
        <v>0</v>
      </c>
      <c r="AG238" s="1" t="e">
        <f>ABS(NETWORKDAYS.INTL("05/20/24", "08/05/24", 1, {"01/01/2024","01/15/2024","02/19/2024","05/27/2024","07/04/2024","09/02/2024","10/14/2024","11/11/2024","11/28/2024","12/25/2024","12/25/2024","12/26/2024","12/27/2024","12/28/2024","12/29/2024","12/30/2024","31/25/2024","01/01/2024","01/02/2024","01/03/2024","01/04/2024","01/05/2024"}))</f>
        <v>#VALUE!</v>
      </c>
      <c r="AH238" s="1" t="e">
        <f>ABS(NETWORKDAYS.INTL("05/22/24", "05/20/24", 1, {"01/01/2024","01/15/2024","02/19/2024","05/27/2024","07/04/2024","09/02/2024","10/14/2024","11/11/2024","11/28/2024","12/25/2024","12/25/2024","12/26/2024","12/27/2024","12/28/2024","12/29/2024","12/30/2024","31/25/2024","01/01/2024","01/02/2024","01/03/2024","01/04/2024","01/05/2024"}))</f>
        <v>#VALUE!</v>
      </c>
      <c r="AI238" s="1" t="e">
        <f>ABS(NETWORKDAYS.INTL("05/22/24", "05/22/24", 1, {"01/01/2024","01/15/2024","02/19/2024","05/27/2024","07/04/2024","09/02/2024","10/14/2024","11/11/2024","11/28/2024","12/25/2024","12/25/2024","12/26/2024","12/27/2024","12/28/2024","12/29/2024","12/30/2024","31/25/2024","01/01/2024","01/02/2024","01/03/2024","01/04/2024","01/05/2024"}))</f>
        <v>#VALUE!</v>
      </c>
      <c r="AJ238" s="1"/>
      <c r="AK238" s="1"/>
      <c r="AL238" s="1" t="b">
        <v>1</v>
      </c>
      <c r="AM238" s="1"/>
      <c r="AN238" s="1"/>
      <c r="AO238" s="1"/>
      <c r="AP238" s="1"/>
      <c r="AQ238" s="1"/>
      <c r="AR238" s="1"/>
      <c r="AS238" s="1"/>
      <c r="AT238" s="1"/>
      <c r="AU238" s="1"/>
      <c r="AV238" s="1"/>
      <c r="AW238" s="1"/>
      <c r="AX238" s="1"/>
      <c r="AY238" s="1"/>
      <c r="AZ238" s="1"/>
    </row>
    <row r="239" spans="1:52" ht="15" customHeight="1" x14ac:dyDescent="0.35">
      <c r="A239" s="1" t="s">
        <v>1205</v>
      </c>
      <c r="B239" s="1" t="s">
        <v>495</v>
      </c>
      <c r="C239" s="1" t="s">
        <v>988</v>
      </c>
      <c r="D239" s="1" t="s">
        <v>1199</v>
      </c>
      <c r="E239" s="1" t="s">
        <v>810</v>
      </c>
      <c r="F239" s="9" t="s">
        <v>1202</v>
      </c>
      <c r="G239" s="1" t="s">
        <v>463</v>
      </c>
      <c r="H2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39" s="11" t="e">
        <f>ABS(NETWORKDAYS.INTL("05/20/24", "05/20/24", 1, {"01/01/2024","01/15/2024","02/19/2024","05/27/2024","07/04/2024","09/02/2024","10/14/2024","11/11/2024","11/28/2024","12/25/2024","12/25/2024","12/26/2024","12/27/2024","12/28/2024","12/29/2024","12/30/2024","31/25/2024","01/01/2024","01/02/2024","01/03/2024","01/04/2024","01/05/2024"}))</f>
        <v>#VALUE!</v>
      </c>
      <c r="J239" s="1">
        <f>0</f>
        <v>0</v>
      </c>
      <c r="K239" s="1"/>
      <c r="L239" s="1">
        <v>0</v>
      </c>
      <c r="M239" s="1">
        <f>0</f>
        <v>0</v>
      </c>
      <c r="N239" s="1">
        <f>0</f>
        <v>0</v>
      </c>
      <c r="O239" s="1">
        <f>0</f>
        <v>0</v>
      </c>
      <c r="P239" s="1"/>
      <c r="Q239" s="1">
        <v>0</v>
      </c>
      <c r="R239" s="1">
        <v>0</v>
      </c>
      <c r="S239" s="1">
        <f>0</f>
        <v>0</v>
      </c>
      <c r="T239" s="1">
        <f>0</f>
        <v>0</v>
      </c>
      <c r="U239" s="1"/>
      <c r="V239" s="1">
        <v>1</v>
      </c>
      <c r="W239" s="1">
        <v>1</v>
      </c>
      <c r="X239" s="1" t="e">
        <f>ABS(NETWORKDAYS.INTL("05/22/24", "05/22/24", 1, {"01/01/2024","01/15/2024","02/19/2024","05/27/2024","07/04/2024","09/02/2024","10/14/2024","11/11/2024","11/28/2024","12/25/2024","12/25/2024","12/26/2024","12/27/2024","12/28/2024","12/29/2024","12/30/2024","31/25/2024","01/01/2024","01/02/2024","01/03/2024","01/04/2024","01/05/2024"}))</f>
        <v>#VALUE!</v>
      </c>
      <c r="Y239" s="1">
        <f>0</f>
        <v>0</v>
      </c>
      <c r="Z239" s="1">
        <f>0</f>
        <v>0</v>
      </c>
      <c r="AA239" s="1"/>
      <c r="AB239" s="5">
        <v>45434</v>
      </c>
      <c r="AC239" s="5">
        <v>45434</v>
      </c>
      <c r="AD239" s="1">
        <f>0</f>
        <v>0</v>
      </c>
      <c r="AE239" s="1">
        <f>0</f>
        <v>0</v>
      </c>
      <c r="AF239" s="1">
        <f>0</f>
        <v>0</v>
      </c>
      <c r="AG239" s="1" t="e">
        <f>ABS(NETWORKDAYS.INTL("05/20/24", "08/05/24", 1, {"01/01/2024","01/15/2024","02/19/2024","05/27/2024","07/04/2024","09/02/2024","10/14/2024","11/11/2024","11/28/2024","12/25/2024","12/25/2024","12/26/2024","12/27/2024","12/28/2024","12/29/2024","12/30/2024","31/25/2024","01/01/2024","01/02/2024","01/03/2024","01/04/2024","01/05/2024"}))</f>
        <v>#VALUE!</v>
      </c>
      <c r="AH239" s="1" t="e">
        <f>ABS(NETWORKDAYS.INTL("05/22/24", "05/20/24", 1, {"01/01/2024","01/15/2024","02/19/2024","05/27/2024","07/04/2024","09/02/2024","10/14/2024","11/11/2024","11/28/2024","12/25/2024","12/25/2024","12/26/2024","12/27/2024","12/28/2024","12/29/2024","12/30/2024","31/25/2024","01/01/2024","01/02/2024","01/03/2024","01/04/2024","01/05/2024"}))</f>
        <v>#VALUE!</v>
      </c>
      <c r="AI239" s="1" t="e">
        <f>ABS(NETWORKDAYS.INTL("05/22/24", "05/22/24", 1, {"01/01/2024","01/15/2024","02/19/2024","05/27/2024","07/04/2024","09/02/2024","10/14/2024","11/11/2024","11/28/2024","12/25/2024","12/25/2024","12/26/2024","12/27/2024","12/28/2024","12/29/2024","12/30/2024","31/25/2024","01/01/2024","01/02/2024","01/03/2024","01/04/2024","01/05/2024"}))</f>
        <v>#VALUE!</v>
      </c>
      <c r="AJ239" s="1"/>
      <c r="AK239" s="1"/>
      <c r="AL239" s="1" t="b">
        <v>1</v>
      </c>
      <c r="AM239" s="1"/>
      <c r="AN239" s="1"/>
      <c r="AO239" s="1"/>
      <c r="AP239" s="1"/>
      <c r="AQ239" s="1"/>
      <c r="AR239" s="1"/>
      <c r="AS239" s="1"/>
      <c r="AT239" s="1"/>
      <c r="AU239" s="1"/>
      <c r="AV239" s="1"/>
      <c r="AW239" s="1"/>
      <c r="AX239" s="1"/>
      <c r="AY239" s="1"/>
      <c r="AZ239" s="1"/>
    </row>
    <row r="240" spans="1:52" ht="15" customHeight="1" x14ac:dyDescent="0.35">
      <c r="A240" s="1" t="s">
        <v>1206</v>
      </c>
      <c r="B240" s="1" t="s">
        <v>496</v>
      </c>
      <c r="C240" s="1" t="s">
        <v>988</v>
      </c>
      <c r="D240" s="1" t="s">
        <v>1199</v>
      </c>
      <c r="E240" s="1" t="s">
        <v>810</v>
      </c>
      <c r="F240" s="9" t="s">
        <v>1207</v>
      </c>
      <c r="G240" s="1" t="s">
        <v>463</v>
      </c>
      <c r="H2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0" s="11" t="e">
        <f>ABS(NETWORKDAYS.INTL("05/20/2024", "05/20/2024", 1, {"01/01/2024","01/15/2024","02/19/2024","05/27/2024","07/04/2024","09/02/2024","10/14/2024","11/11/2024","11/28/2024","12/25/2024","12/25/2024","12/26/2024","12/27/2024","12/28/2024","12/29/2024","12/30/2024","31/25/2024","01/01/2024","01/02/2024","01/03/2024","01/04/2024","01/05/2024"}))</f>
        <v>#VALUE!</v>
      </c>
      <c r="J240" s="1">
        <f>0</f>
        <v>0</v>
      </c>
      <c r="K240" s="1"/>
      <c r="L240" s="1">
        <v>0</v>
      </c>
      <c r="M240" s="1">
        <f>0</f>
        <v>0</v>
      </c>
      <c r="N240" s="1">
        <f>0</f>
        <v>0</v>
      </c>
      <c r="O240" s="1">
        <f>0</f>
        <v>0</v>
      </c>
      <c r="P240" s="1"/>
      <c r="Q240" s="1">
        <v>0</v>
      </c>
      <c r="R240" s="1">
        <v>0</v>
      </c>
      <c r="S240" s="1">
        <f>0</f>
        <v>0</v>
      </c>
      <c r="T240" s="1">
        <f>0</f>
        <v>0</v>
      </c>
      <c r="U240" s="1"/>
      <c r="V240" s="1">
        <v>0</v>
      </c>
      <c r="W240" s="1">
        <v>1</v>
      </c>
      <c r="X240" s="1" t="e">
        <f>ABS(NETWORKDAYS.INTL("05/22/2024", "05/22/2024", 1, {"01/01/2024","01/15/2024","02/19/2024","05/27/2024","07/04/2024","09/02/2024","10/14/2024","11/11/2024","11/28/2024","12/25/2024","12/25/2024","12/26/2024","12/27/2024","12/28/2024","12/29/2024","12/30/2024","31/25/2024","01/01/2024","01/02/2024","01/03/2024","01/04/2024","01/05/2024"}))</f>
        <v>#VALUE!</v>
      </c>
      <c r="Y240" s="1">
        <f>0</f>
        <v>0</v>
      </c>
      <c r="Z240" s="1">
        <f>0</f>
        <v>0</v>
      </c>
      <c r="AA240" s="1"/>
      <c r="AB240" s="5"/>
      <c r="AC240" s="5"/>
      <c r="AD240" s="1">
        <f>0</f>
        <v>0</v>
      </c>
      <c r="AE240" s="1">
        <f>0</f>
        <v>0</v>
      </c>
      <c r="AF240" s="1">
        <f>0</f>
        <v>0</v>
      </c>
      <c r="AG240" s="1">
        <f>0</f>
        <v>0</v>
      </c>
      <c r="AH240" s="1" t="e">
        <f>ABS(NETWORKDAYS.INTL("05/22/2024", "08/05/24", 1, {"01/01/2024","01/15/2024","02/19/2024","05/27/2024","07/04/2024","09/02/2024","10/14/2024","11/11/2024","11/28/2024","12/25/2024","12/25/2024","12/26/2024","12/27/2024","12/28/2024","12/29/2024","12/30/2024","31/25/2024","01/01/2024","01/02/2024","01/03/2024","01/04/2024","01/05/2024"}))</f>
        <v>#VALUE!</v>
      </c>
      <c r="AI240" s="1">
        <f>0</f>
        <v>0</v>
      </c>
      <c r="AJ240" s="1"/>
      <c r="AK240" s="1"/>
      <c r="AL240" s="1" t="b">
        <v>1</v>
      </c>
      <c r="AM240" s="1"/>
      <c r="AN240" s="1"/>
      <c r="AO240" s="1"/>
      <c r="AP240" s="1"/>
      <c r="AQ240" s="1"/>
      <c r="AR240" s="1"/>
      <c r="AS240" s="1"/>
      <c r="AT240" s="1"/>
      <c r="AU240" s="1"/>
      <c r="AV240" s="1"/>
      <c r="AW240" s="1"/>
      <c r="AX240" s="1"/>
      <c r="AY240" s="1"/>
      <c r="AZ240" s="1"/>
    </row>
    <row r="241" spans="1:52" ht="15" customHeight="1" x14ac:dyDescent="0.35">
      <c r="A241" s="1" t="s">
        <v>1208</v>
      </c>
      <c r="B241" s="1" t="s">
        <v>497</v>
      </c>
      <c r="C241" s="1" t="s">
        <v>988</v>
      </c>
      <c r="D241" s="1" t="s">
        <v>1199</v>
      </c>
      <c r="E241" s="1" t="s">
        <v>810</v>
      </c>
      <c r="F241" s="9" t="s">
        <v>1207</v>
      </c>
      <c r="G241" s="1" t="s">
        <v>463</v>
      </c>
      <c r="H2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1" s="11" t="e">
        <f>ABS(NETWORKDAYS.INTL("05/20/2024", "05/20/2024", 1, {"01/01/2024","01/15/2024","02/19/2024","05/27/2024","07/04/2024","09/02/2024","10/14/2024","11/11/2024","11/28/2024","12/25/2024","12/25/2024","12/26/2024","12/27/2024","12/28/2024","12/29/2024","12/30/2024","31/25/2024","01/01/2024","01/02/2024","01/03/2024","01/04/2024","01/05/2024"}))</f>
        <v>#VALUE!</v>
      </c>
      <c r="J241" s="1">
        <f>0</f>
        <v>0</v>
      </c>
      <c r="K241" s="1"/>
      <c r="L241" s="1">
        <v>0</v>
      </c>
      <c r="M241" s="1">
        <f>0</f>
        <v>0</v>
      </c>
      <c r="N241" s="1">
        <f>0</f>
        <v>0</v>
      </c>
      <c r="O241" s="1">
        <f>0</f>
        <v>0</v>
      </c>
      <c r="P241" s="1"/>
      <c r="Q241" s="1">
        <v>0</v>
      </c>
      <c r="R241" s="1">
        <v>0</v>
      </c>
      <c r="S241" s="1">
        <f>0</f>
        <v>0</v>
      </c>
      <c r="T241" s="1">
        <f>0</f>
        <v>0</v>
      </c>
      <c r="U241" s="1"/>
      <c r="V241" s="1">
        <v>0</v>
      </c>
      <c r="W241" s="1">
        <v>1</v>
      </c>
      <c r="X241" s="1" t="e">
        <f>ABS(NETWORKDAYS.INTL("05/22/2024", "05/22/2024", 1, {"01/01/2024","01/15/2024","02/19/2024","05/27/2024","07/04/2024","09/02/2024","10/14/2024","11/11/2024","11/28/2024","12/25/2024","12/25/2024","12/26/2024","12/27/2024","12/28/2024","12/29/2024","12/30/2024","31/25/2024","01/01/2024","01/02/2024","01/03/2024","01/04/2024","01/05/2024"}))</f>
        <v>#VALUE!</v>
      </c>
      <c r="Y241" s="1">
        <f>0</f>
        <v>0</v>
      </c>
      <c r="Z241" s="1">
        <f>0</f>
        <v>0</v>
      </c>
      <c r="AA241" s="1"/>
      <c r="AB241" s="5"/>
      <c r="AC241" s="5"/>
      <c r="AD241" s="1">
        <f>0</f>
        <v>0</v>
      </c>
      <c r="AE241" s="1">
        <f>0</f>
        <v>0</v>
      </c>
      <c r="AF241" s="1">
        <f>0</f>
        <v>0</v>
      </c>
      <c r="AG241" s="1">
        <f>0</f>
        <v>0</v>
      </c>
      <c r="AH241" s="1" t="e">
        <f>ABS(NETWORKDAYS.INTL("05/22/2024", "08/05/24", 1, {"01/01/2024","01/15/2024","02/19/2024","05/27/2024","07/04/2024","09/02/2024","10/14/2024","11/11/2024","11/28/2024","12/25/2024","12/25/2024","12/26/2024","12/27/2024","12/28/2024","12/29/2024","12/30/2024","31/25/2024","01/01/2024","01/02/2024","01/03/2024","01/04/2024","01/05/2024"}))</f>
        <v>#VALUE!</v>
      </c>
      <c r="AI241" s="1">
        <f>0</f>
        <v>0</v>
      </c>
      <c r="AJ241" s="1"/>
      <c r="AK241" s="1"/>
      <c r="AL241" s="1" t="b">
        <v>1</v>
      </c>
      <c r="AM241" s="1"/>
      <c r="AN241" s="1"/>
      <c r="AO241" s="1"/>
      <c r="AP241" s="1"/>
      <c r="AQ241" s="1"/>
      <c r="AR241" s="1"/>
      <c r="AS241" s="1"/>
      <c r="AT241" s="1"/>
      <c r="AU241" s="1"/>
      <c r="AV241" s="1"/>
      <c r="AW241" s="1"/>
      <c r="AX241" s="1"/>
      <c r="AY241" s="1"/>
      <c r="AZ241" s="1"/>
    </row>
    <row r="242" spans="1:52" ht="15" customHeight="1" x14ac:dyDescent="0.35">
      <c r="A242" s="1" t="s">
        <v>1209</v>
      </c>
      <c r="B242" s="1" t="s">
        <v>498</v>
      </c>
      <c r="C242" s="1" t="s">
        <v>988</v>
      </c>
      <c r="D242" s="1" t="s">
        <v>1199</v>
      </c>
      <c r="E242" s="1" t="s">
        <v>810</v>
      </c>
      <c r="F242" s="9" t="s">
        <v>1210</v>
      </c>
      <c r="G242" s="1" t="s">
        <v>463</v>
      </c>
      <c r="H2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2" s="11" t="e">
        <f>ABS(NETWORKDAYS.INTL("05/20/2024", "05/20/2024", 1, {"01/01/2024","01/15/2024","02/19/2024","05/27/2024","07/04/2024","09/02/2024","10/14/2024","11/11/2024","11/28/2024","12/25/2024","12/25/2024","12/26/2024","12/27/2024","12/28/2024","12/29/2024","12/30/2024","31/25/2024","01/01/2024","01/02/2024","01/03/2024","01/04/2024","01/05/2024"}))</f>
        <v>#VALUE!</v>
      </c>
      <c r="J242" s="1">
        <f>0</f>
        <v>0</v>
      </c>
      <c r="K242" s="1"/>
      <c r="L242" s="1">
        <v>0</v>
      </c>
      <c r="M242" s="1">
        <f>0</f>
        <v>0</v>
      </c>
      <c r="N242" s="1">
        <f>0</f>
        <v>0</v>
      </c>
      <c r="O242" s="1">
        <f>0</f>
        <v>0</v>
      </c>
      <c r="P242" s="1"/>
      <c r="Q242" s="1">
        <v>0</v>
      </c>
      <c r="R242" s="1">
        <v>0</v>
      </c>
      <c r="S242" s="1">
        <f>0</f>
        <v>0</v>
      </c>
      <c r="T242" s="1">
        <f>0</f>
        <v>0</v>
      </c>
      <c r="U242" s="1"/>
      <c r="V242" s="1">
        <v>0</v>
      </c>
      <c r="W242" s="1">
        <v>1</v>
      </c>
      <c r="X242" s="1" t="e">
        <f>ABS(NETWORKDAYS.INTL("05/22/2024", "05/22/2024", 1, {"01/01/2024","01/15/2024","02/19/2024","05/27/2024","07/04/2024","09/02/2024","10/14/2024","11/11/2024","11/28/2024","12/25/2024","12/25/2024","12/26/2024","12/27/2024","12/28/2024","12/29/2024","12/30/2024","31/25/2024","01/01/2024","01/02/2024","01/03/2024","01/04/2024","01/05/2024"}))</f>
        <v>#VALUE!</v>
      </c>
      <c r="Y242" s="1">
        <f>0</f>
        <v>0</v>
      </c>
      <c r="Z242" s="1">
        <f>0</f>
        <v>0</v>
      </c>
      <c r="AA242" s="1"/>
      <c r="AB242" s="5">
        <v>45434</v>
      </c>
      <c r="AC242" s="5"/>
      <c r="AD242" s="1">
        <f>0</f>
        <v>0</v>
      </c>
      <c r="AE242" s="1">
        <f>0</f>
        <v>0</v>
      </c>
      <c r="AF242" s="1">
        <f>0</f>
        <v>0</v>
      </c>
      <c r="AG242" s="1">
        <f>0</f>
        <v>0</v>
      </c>
      <c r="AH242" s="1" t="e">
        <f>ABS(NETWORKDAYS.INTL("05/22/2024", "08/05/24", 1, {"01/01/2024","01/15/2024","02/19/2024","05/27/2024","07/04/2024","09/02/2024","10/14/2024","11/11/2024","11/28/2024","12/25/2024","12/25/2024","12/26/2024","12/27/2024","12/28/2024","12/29/2024","12/30/2024","31/25/2024","01/01/2024","01/02/2024","01/03/2024","01/04/2024","01/05/2024"}))</f>
        <v>#VALUE!</v>
      </c>
      <c r="AI242" s="1">
        <f>0</f>
        <v>0</v>
      </c>
      <c r="AJ242" s="1"/>
      <c r="AK242" s="1"/>
      <c r="AL242" s="1" t="b">
        <v>1</v>
      </c>
      <c r="AM242" s="1"/>
      <c r="AN242" s="1"/>
      <c r="AO242" s="1"/>
      <c r="AP242" s="1"/>
      <c r="AQ242" s="1"/>
      <c r="AR242" s="1"/>
      <c r="AS242" s="1"/>
      <c r="AT242" s="1"/>
      <c r="AU242" s="1"/>
      <c r="AV242" s="1"/>
      <c r="AW242" s="1"/>
      <c r="AX242" s="1"/>
      <c r="AY242" s="1"/>
      <c r="AZ242" s="1"/>
    </row>
    <row r="243" spans="1:52" ht="15" customHeight="1" x14ac:dyDescent="0.35">
      <c r="A243" s="1" t="s">
        <v>1211</v>
      </c>
      <c r="B243" s="1" t="s">
        <v>499</v>
      </c>
      <c r="C243" s="1" t="s">
        <v>988</v>
      </c>
      <c r="D243" s="1" t="s">
        <v>1199</v>
      </c>
      <c r="E243" s="1" t="s">
        <v>810</v>
      </c>
      <c r="F243" s="9" t="s">
        <v>1212</v>
      </c>
      <c r="G243" s="1" t="s">
        <v>463</v>
      </c>
      <c r="H2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3" s="11" t="e">
        <f>ABS(NETWORKDAYS.INTL("05/20/2024", "05/20/2024", 1, {"01/01/2024","01/15/2024","02/19/2024","05/27/2024","07/04/2024","09/02/2024","10/14/2024","11/11/2024","11/28/2024","12/25/2024","12/25/2024","12/26/2024","12/27/2024","12/28/2024","12/29/2024","12/30/2024","31/25/2024","01/01/2024","01/02/2024","01/03/2024","01/04/2024","01/05/2024"}))</f>
        <v>#VALUE!</v>
      </c>
      <c r="J243" s="1">
        <f>0</f>
        <v>0</v>
      </c>
      <c r="K243" s="1"/>
      <c r="L243" s="1">
        <v>0</v>
      </c>
      <c r="M243" s="1">
        <f>0</f>
        <v>0</v>
      </c>
      <c r="N243" s="1">
        <f>0</f>
        <v>0</v>
      </c>
      <c r="O243" s="1">
        <f>0</f>
        <v>0</v>
      </c>
      <c r="P243" s="1"/>
      <c r="Q243" s="1">
        <v>0</v>
      </c>
      <c r="R243" s="1">
        <v>0</v>
      </c>
      <c r="S243" s="1">
        <f>0</f>
        <v>0</v>
      </c>
      <c r="T243" s="1">
        <f>0</f>
        <v>0</v>
      </c>
      <c r="U243" s="1"/>
      <c r="V243" s="1">
        <v>0</v>
      </c>
      <c r="W243" s="1">
        <v>1</v>
      </c>
      <c r="X243" s="1" t="e">
        <f>ABS(NETWORKDAYS.INTL("05/22/2024", "05/22/2024", 1, {"01/01/2024","01/15/2024","02/19/2024","05/27/2024","07/04/2024","09/02/2024","10/14/2024","11/11/2024","11/28/2024","12/25/2024","12/25/2024","12/26/2024","12/27/2024","12/28/2024","12/29/2024","12/30/2024","31/25/2024","01/01/2024","01/02/2024","01/03/2024","01/04/2024","01/05/2024"}))</f>
        <v>#VALUE!</v>
      </c>
      <c r="Y243" s="1">
        <f>0</f>
        <v>0</v>
      </c>
      <c r="Z243" s="1">
        <f>0</f>
        <v>0</v>
      </c>
      <c r="AA243" s="1"/>
      <c r="AB243" s="5">
        <v>45434</v>
      </c>
      <c r="AC243" s="5"/>
      <c r="AD243" s="1">
        <f>0</f>
        <v>0</v>
      </c>
      <c r="AE243" s="1">
        <f>0</f>
        <v>0</v>
      </c>
      <c r="AF243" s="1">
        <f>0</f>
        <v>0</v>
      </c>
      <c r="AG243" s="1">
        <f>0</f>
        <v>0</v>
      </c>
      <c r="AH243" s="1" t="e">
        <f>ABS(NETWORKDAYS.INTL("05/22/2024", "08/05/24", 1, {"01/01/2024","01/15/2024","02/19/2024","05/27/2024","07/04/2024","09/02/2024","10/14/2024","11/11/2024","11/28/2024","12/25/2024","12/25/2024","12/26/2024","12/27/2024","12/28/2024","12/29/2024","12/30/2024","31/25/2024","01/01/2024","01/02/2024","01/03/2024","01/04/2024","01/05/2024"}))</f>
        <v>#VALUE!</v>
      </c>
      <c r="AI243" s="1">
        <f>0</f>
        <v>0</v>
      </c>
      <c r="AJ243" s="1"/>
      <c r="AK243" s="1"/>
      <c r="AL243" s="1" t="b">
        <v>1</v>
      </c>
      <c r="AM243" s="1"/>
      <c r="AN243" s="1"/>
      <c r="AO243" s="1"/>
      <c r="AP243" s="1"/>
      <c r="AQ243" s="1"/>
      <c r="AR243" s="1"/>
      <c r="AS243" s="1"/>
      <c r="AT243" s="1"/>
      <c r="AU243" s="1"/>
      <c r="AV243" s="1"/>
      <c r="AW243" s="1"/>
      <c r="AX243" s="1"/>
      <c r="AY243" s="1"/>
      <c r="AZ243" s="1"/>
    </row>
    <row r="244" spans="1:52" ht="15" customHeight="1" x14ac:dyDescent="0.35">
      <c r="A244" s="1" t="s">
        <v>1213</v>
      </c>
      <c r="B244" s="1" t="s">
        <v>500</v>
      </c>
      <c r="C244" s="1" t="s">
        <v>988</v>
      </c>
      <c r="D244" s="1" t="s">
        <v>1199</v>
      </c>
      <c r="E244" s="1" t="s">
        <v>810</v>
      </c>
      <c r="F244" s="9" t="s">
        <v>1212</v>
      </c>
      <c r="G244" s="1" t="s">
        <v>463</v>
      </c>
      <c r="H2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4" s="11" t="e">
        <f>ABS(NETWORKDAYS.INTL("05/20/2024", "05/20/2024", 1, {"01/01/2024","01/15/2024","02/19/2024","05/27/2024","07/04/2024","09/02/2024","10/14/2024","11/11/2024","11/28/2024","12/25/2024","12/25/2024","12/26/2024","12/27/2024","12/28/2024","12/29/2024","12/30/2024","31/25/2024","01/01/2024","01/02/2024","01/03/2024","01/04/2024","01/05/2024"}))</f>
        <v>#VALUE!</v>
      </c>
      <c r="J244" s="1">
        <f>0</f>
        <v>0</v>
      </c>
      <c r="K244" s="1"/>
      <c r="L244" s="1">
        <v>0</v>
      </c>
      <c r="M244" s="1">
        <f>0</f>
        <v>0</v>
      </c>
      <c r="N244" s="1">
        <f>0</f>
        <v>0</v>
      </c>
      <c r="O244" s="1">
        <f>0</f>
        <v>0</v>
      </c>
      <c r="P244" s="1"/>
      <c r="Q244" s="1">
        <v>0</v>
      </c>
      <c r="R244" s="1">
        <v>0</v>
      </c>
      <c r="S244" s="1">
        <f>0</f>
        <v>0</v>
      </c>
      <c r="T244" s="1">
        <f>0</f>
        <v>0</v>
      </c>
      <c r="U244" s="1"/>
      <c r="V244" s="1">
        <v>0</v>
      </c>
      <c r="W244" s="1">
        <v>1</v>
      </c>
      <c r="X244" s="1" t="e">
        <f>ABS(NETWORKDAYS.INTL("05/22/2024", "05/22/2024", 1, {"01/01/2024","01/15/2024","02/19/2024","05/27/2024","07/04/2024","09/02/2024","10/14/2024","11/11/2024","11/28/2024","12/25/2024","12/25/2024","12/26/2024","12/27/2024","12/28/2024","12/29/2024","12/30/2024","31/25/2024","01/01/2024","01/02/2024","01/03/2024","01/04/2024","01/05/2024"}))</f>
        <v>#VALUE!</v>
      </c>
      <c r="Y244" s="1">
        <f>0</f>
        <v>0</v>
      </c>
      <c r="Z244" s="1">
        <f>0</f>
        <v>0</v>
      </c>
      <c r="AA244" s="1"/>
      <c r="AB244" s="5">
        <v>45434</v>
      </c>
      <c r="AC244" s="5"/>
      <c r="AD244" s="1">
        <f>0</f>
        <v>0</v>
      </c>
      <c r="AE244" s="1">
        <f>0</f>
        <v>0</v>
      </c>
      <c r="AF244" s="1">
        <f>0</f>
        <v>0</v>
      </c>
      <c r="AG244" s="1">
        <f>0</f>
        <v>0</v>
      </c>
      <c r="AH244" s="1" t="e">
        <f>ABS(NETWORKDAYS.INTL("05/22/2024", "08/05/24", 1, {"01/01/2024","01/15/2024","02/19/2024","05/27/2024","07/04/2024","09/02/2024","10/14/2024","11/11/2024","11/28/2024","12/25/2024","12/25/2024","12/26/2024","12/27/2024","12/28/2024","12/29/2024","12/30/2024","31/25/2024","01/01/2024","01/02/2024","01/03/2024","01/04/2024","01/05/2024"}))</f>
        <v>#VALUE!</v>
      </c>
      <c r="AI244" s="1">
        <f>0</f>
        <v>0</v>
      </c>
      <c r="AJ244" s="1"/>
      <c r="AK244" s="1"/>
      <c r="AL244" s="1" t="b">
        <v>1</v>
      </c>
      <c r="AM244" s="1"/>
      <c r="AN244" s="1"/>
      <c r="AO244" s="1"/>
      <c r="AP244" s="1"/>
      <c r="AQ244" s="1"/>
      <c r="AR244" s="1"/>
      <c r="AS244" s="1"/>
      <c r="AT244" s="1"/>
      <c r="AU244" s="1"/>
      <c r="AV244" s="1"/>
      <c r="AW244" s="1"/>
      <c r="AX244" s="1"/>
      <c r="AY244" s="1"/>
      <c r="AZ244" s="1"/>
    </row>
    <row r="245" spans="1:52" ht="15" customHeight="1" x14ac:dyDescent="0.35">
      <c r="A245" s="1" t="s">
        <v>1214</v>
      </c>
      <c r="B245" s="1" t="s">
        <v>501</v>
      </c>
      <c r="C245" s="1" t="s">
        <v>988</v>
      </c>
      <c r="D245" s="1" t="s">
        <v>1199</v>
      </c>
      <c r="E245" s="1" t="s">
        <v>810</v>
      </c>
      <c r="F245" s="9" t="s">
        <v>1212</v>
      </c>
      <c r="G245" s="1" t="s">
        <v>463</v>
      </c>
      <c r="H2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5" s="11" t="e">
        <f>ABS(NETWORKDAYS.INTL("05/20/2024", "05/20/2024", 1, {"01/01/2024","01/15/2024","02/19/2024","05/27/2024","07/04/2024","09/02/2024","10/14/2024","11/11/2024","11/28/2024","12/25/2024","12/25/2024","12/26/2024","12/27/2024","12/28/2024","12/29/2024","12/30/2024","31/25/2024","01/01/2024","01/02/2024","01/03/2024","01/04/2024","01/05/2024"}))</f>
        <v>#VALUE!</v>
      </c>
      <c r="J245" s="1">
        <f>0</f>
        <v>0</v>
      </c>
      <c r="K245" s="1"/>
      <c r="L245" s="1">
        <v>0</v>
      </c>
      <c r="M245" s="1">
        <f>0</f>
        <v>0</v>
      </c>
      <c r="N245" s="1">
        <f>0</f>
        <v>0</v>
      </c>
      <c r="O245" s="1">
        <f>0</f>
        <v>0</v>
      </c>
      <c r="P245" s="1"/>
      <c r="Q245" s="1">
        <v>0</v>
      </c>
      <c r="R245" s="1">
        <v>0</v>
      </c>
      <c r="S245" s="1">
        <f>0</f>
        <v>0</v>
      </c>
      <c r="T245" s="1">
        <f>0</f>
        <v>0</v>
      </c>
      <c r="U245" s="1"/>
      <c r="V245" s="1">
        <v>0</v>
      </c>
      <c r="W245" s="1">
        <v>1</v>
      </c>
      <c r="X245" s="1" t="e">
        <f>ABS(NETWORKDAYS.INTL("05/22/2024", "05/22/2024", 1, {"01/01/2024","01/15/2024","02/19/2024","05/27/2024","07/04/2024","09/02/2024","10/14/2024","11/11/2024","11/28/2024","12/25/2024","12/25/2024","12/26/2024","12/27/2024","12/28/2024","12/29/2024","12/30/2024","31/25/2024","01/01/2024","01/02/2024","01/03/2024","01/04/2024","01/05/2024"}))</f>
        <v>#VALUE!</v>
      </c>
      <c r="Y245" s="1">
        <f>0</f>
        <v>0</v>
      </c>
      <c r="Z245" s="1">
        <f>0</f>
        <v>0</v>
      </c>
      <c r="AA245" s="1"/>
      <c r="AB245" s="5">
        <v>45434</v>
      </c>
      <c r="AC245" s="5"/>
      <c r="AD245" s="1">
        <f>0</f>
        <v>0</v>
      </c>
      <c r="AE245" s="1">
        <f>0</f>
        <v>0</v>
      </c>
      <c r="AF245" s="1">
        <f>0</f>
        <v>0</v>
      </c>
      <c r="AG245" s="1">
        <f>0</f>
        <v>0</v>
      </c>
      <c r="AH245" s="1" t="e">
        <f>ABS(NETWORKDAYS.INTL("05/22/2024", "08/05/24", 1, {"01/01/2024","01/15/2024","02/19/2024","05/27/2024","07/04/2024","09/02/2024","10/14/2024","11/11/2024","11/28/2024","12/25/2024","12/25/2024","12/26/2024","12/27/2024","12/28/2024","12/29/2024","12/30/2024","31/25/2024","01/01/2024","01/02/2024","01/03/2024","01/04/2024","01/05/2024"}))</f>
        <v>#VALUE!</v>
      </c>
      <c r="AI245" s="1">
        <f>0</f>
        <v>0</v>
      </c>
      <c r="AJ245" s="1"/>
      <c r="AK245" s="1"/>
      <c r="AL245" s="1" t="b">
        <v>1</v>
      </c>
      <c r="AM245" s="1"/>
      <c r="AN245" s="1"/>
      <c r="AO245" s="1"/>
      <c r="AP245" s="1"/>
      <c r="AQ245" s="1"/>
      <c r="AR245" s="1"/>
      <c r="AS245" s="1"/>
      <c r="AT245" s="1"/>
      <c r="AU245" s="1"/>
      <c r="AV245" s="1"/>
      <c r="AW245" s="1"/>
      <c r="AX245" s="1"/>
      <c r="AY245" s="1"/>
      <c r="AZ245" s="1"/>
    </row>
    <row r="246" spans="1:52" ht="15" customHeight="1" x14ac:dyDescent="0.35">
      <c r="A246" s="1" t="s">
        <v>1215</v>
      </c>
      <c r="B246" s="1" t="s">
        <v>502</v>
      </c>
      <c r="C246" s="1" t="s">
        <v>988</v>
      </c>
      <c r="D246" s="1" t="s">
        <v>1199</v>
      </c>
      <c r="E246" s="1" t="s">
        <v>810</v>
      </c>
      <c r="F246" s="9" t="s">
        <v>1212</v>
      </c>
      <c r="G246" s="1" t="s">
        <v>463</v>
      </c>
      <c r="H2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6" s="11" t="e">
        <f>ABS(NETWORKDAYS.INTL("05/20/2024", "05/20/2024", 1, {"01/01/2024","01/15/2024","02/19/2024","05/27/2024","07/04/2024","09/02/2024","10/14/2024","11/11/2024","11/28/2024","12/25/2024","12/25/2024","12/26/2024","12/27/2024","12/28/2024","12/29/2024","12/30/2024","31/25/2024","01/01/2024","01/02/2024","01/03/2024","01/04/2024","01/05/2024"}))</f>
        <v>#VALUE!</v>
      </c>
      <c r="J246" s="1">
        <f>0</f>
        <v>0</v>
      </c>
      <c r="K246" s="1"/>
      <c r="L246" s="1">
        <v>0</v>
      </c>
      <c r="M246" s="1">
        <f>0</f>
        <v>0</v>
      </c>
      <c r="N246" s="1">
        <f>0</f>
        <v>0</v>
      </c>
      <c r="O246" s="1">
        <f>0</f>
        <v>0</v>
      </c>
      <c r="P246" s="1"/>
      <c r="Q246" s="1">
        <v>0</v>
      </c>
      <c r="R246" s="1">
        <v>0</v>
      </c>
      <c r="S246" s="1">
        <f>0</f>
        <v>0</v>
      </c>
      <c r="T246" s="1">
        <f>0</f>
        <v>0</v>
      </c>
      <c r="U246" s="1"/>
      <c r="V246" s="1">
        <v>0</v>
      </c>
      <c r="W246" s="1">
        <v>1</v>
      </c>
      <c r="X246" s="1" t="e">
        <f>ABS(NETWORKDAYS.INTL("05/22/2024", "05/22/2024", 1, {"01/01/2024","01/15/2024","02/19/2024","05/27/2024","07/04/2024","09/02/2024","10/14/2024","11/11/2024","11/28/2024","12/25/2024","12/25/2024","12/26/2024","12/27/2024","12/28/2024","12/29/2024","12/30/2024","31/25/2024","01/01/2024","01/02/2024","01/03/2024","01/04/2024","01/05/2024"}))</f>
        <v>#VALUE!</v>
      </c>
      <c r="Y246" s="1">
        <f>0</f>
        <v>0</v>
      </c>
      <c r="Z246" s="1">
        <f>0</f>
        <v>0</v>
      </c>
      <c r="AA246" s="1"/>
      <c r="AB246" s="5">
        <v>45434</v>
      </c>
      <c r="AC246" s="5"/>
      <c r="AD246" s="1">
        <f>0</f>
        <v>0</v>
      </c>
      <c r="AE246" s="1">
        <f>0</f>
        <v>0</v>
      </c>
      <c r="AF246" s="1">
        <f>0</f>
        <v>0</v>
      </c>
      <c r="AG246" s="1">
        <f>0</f>
        <v>0</v>
      </c>
      <c r="AH246" s="1" t="e">
        <f>ABS(NETWORKDAYS.INTL("05/22/2024", "08/05/24", 1, {"01/01/2024","01/15/2024","02/19/2024","05/27/2024","07/04/2024","09/02/2024","10/14/2024","11/11/2024","11/28/2024","12/25/2024","12/25/2024","12/26/2024","12/27/2024","12/28/2024","12/29/2024","12/30/2024","31/25/2024","01/01/2024","01/02/2024","01/03/2024","01/04/2024","01/05/2024"}))</f>
        <v>#VALUE!</v>
      </c>
      <c r="AI246" s="1">
        <f>0</f>
        <v>0</v>
      </c>
      <c r="AJ246" s="1"/>
      <c r="AK246" s="1"/>
      <c r="AL246" s="1" t="b">
        <v>1</v>
      </c>
      <c r="AM246" s="1"/>
      <c r="AN246" s="1"/>
      <c r="AO246" s="1"/>
      <c r="AP246" s="1"/>
      <c r="AQ246" s="1"/>
      <c r="AR246" s="1"/>
      <c r="AS246" s="1"/>
      <c r="AT246" s="1"/>
      <c r="AU246" s="1"/>
      <c r="AV246" s="1"/>
      <c r="AW246" s="1"/>
      <c r="AX246" s="1"/>
      <c r="AY246" s="1"/>
      <c r="AZ246" s="1"/>
    </row>
    <row r="247" spans="1:52" ht="15" customHeight="1" x14ac:dyDescent="0.35">
      <c r="A247" s="1" t="s">
        <v>1216</v>
      </c>
      <c r="B247" s="1" t="s">
        <v>503</v>
      </c>
      <c r="C247" s="1" t="s">
        <v>988</v>
      </c>
      <c r="D247" s="1" t="s">
        <v>1199</v>
      </c>
      <c r="E247" s="1" t="s">
        <v>810</v>
      </c>
      <c r="F247" s="9" t="s">
        <v>1212</v>
      </c>
      <c r="G247" s="1" t="s">
        <v>463</v>
      </c>
      <c r="H2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7" s="11" t="e">
        <f>ABS(NETWORKDAYS.INTL("05/20/2024", "05/20/2024", 1, {"01/01/2024","01/15/2024","02/19/2024","05/27/2024","07/04/2024","09/02/2024","10/14/2024","11/11/2024","11/28/2024","12/25/2024","12/25/2024","12/26/2024","12/27/2024","12/28/2024","12/29/2024","12/30/2024","31/25/2024","01/01/2024","01/02/2024","01/03/2024","01/04/2024","01/05/2024"}))</f>
        <v>#VALUE!</v>
      </c>
      <c r="J247" s="1">
        <f>0</f>
        <v>0</v>
      </c>
      <c r="K247" s="1"/>
      <c r="L247" s="1">
        <v>0</v>
      </c>
      <c r="M247" s="1">
        <f>0</f>
        <v>0</v>
      </c>
      <c r="N247" s="1">
        <f>0</f>
        <v>0</v>
      </c>
      <c r="O247" s="1">
        <f>0</f>
        <v>0</v>
      </c>
      <c r="P247" s="1"/>
      <c r="Q247" s="1">
        <v>0</v>
      </c>
      <c r="R247" s="1">
        <v>0</v>
      </c>
      <c r="S247" s="1">
        <f>0</f>
        <v>0</v>
      </c>
      <c r="T247" s="1">
        <f>0</f>
        <v>0</v>
      </c>
      <c r="U247" s="1"/>
      <c r="V247" s="1">
        <v>0</v>
      </c>
      <c r="W247" s="1">
        <v>1</v>
      </c>
      <c r="X247" s="1" t="e">
        <f>ABS(NETWORKDAYS.INTL("05/22/2024", "05/22/2024", 1, {"01/01/2024","01/15/2024","02/19/2024","05/27/2024","07/04/2024","09/02/2024","10/14/2024","11/11/2024","11/28/2024","12/25/2024","12/25/2024","12/26/2024","12/27/2024","12/28/2024","12/29/2024","12/30/2024","31/25/2024","01/01/2024","01/02/2024","01/03/2024","01/04/2024","01/05/2024"}))</f>
        <v>#VALUE!</v>
      </c>
      <c r="Y247" s="1">
        <f>0</f>
        <v>0</v>
      </c>
      <c r="Z247" s="1">
        <f>0</f>
        <v>0</v>
      </c>
      <c r="AA247" s="1"/>
      <c r="AB247" s="5">
        <v>45434</v>
      </c>
      <c r="AC247" s="5"/>
      <c r="AD247" s="1">
        <f>0</f>
        <v>0</v>
      </c>
      <c r="AE247" s="1">
        <f>0</f>
        <v>0</v>
      </c>
      <c r="AF247" s="1">
        <f>0</f>
        <v>0</v>
      </c>
      <c r="AG247" s="1">
        <f>0</f>
        <v>0</v>
      </c>
      <c r="AH247" s="1" t="e">
        <f>ABS(NETWORKDAYS.INTL("05/22/2024", "08/05/24", 1, {"01/01/2024","01/15/2024","02/19/2024","05/27/2024","07/04/2024","09/02/2024","10/14/2024","11/11/2024","11/28/2024","12/25/2024","12/25/2024","12/26/2024","12/27/2024","12/28/2024","12/29/2024","12/30/2024","31/25/2024","01/01/2024","01/02/2024","01/03/2024","01/04/2024","01/05/2024"}))</f>
        <v>#VALUE!</v>
      </c>
      <c r="AI247" s="1">
        <f>0</f>
        <v>0</v>
      </c>
      <c r="AJ247" s="1"/>
      <c r="AK247" s="1"/>
      <c r="AL247" s="1" t="b">
        <v>1</v>
      </c>
      <c r="AM247" s="1"/>
      <c r="AN247" s="1"/>
      <c r="AO247" s="1"/>
      <c r="AP247" s="1"/>
      <c r="AQ247" s="1"/>
      <c r="AR247" s="1"/>
      <c r="AS247" s="1"/>
      <c r="AT247" s="1"/>
      <c r="AU247" s="1"/>
      <c r="AV247" s="1"/>
      <c r="AW247" s="1"/>
      <c r="AX247" s="1"/>
      <c r="AY247" s="1"/>
      <c r="AZ247" s="1"/>
    </row>
    <row r="248" spans="1:52" ht="15" customHeight="1" x14ac:dyDescent="0.35">
      <c r="A248" s="1" t="s">
        <v>1217</v>
      </c>
      <c r="B248" s="1" t="s">
        <v>504</v>
      </c>
      <c r="C248" s="1" t="s">
        <v>988</v>
      </c>
      <c r="D248" s="1" t="s">
        <v>1199</v>
      </c>
      <c r="E248" s="1" t="s">
        <v>810</v>
      </c>
      <c r="F248" s="9" t="s">
        <v>1212</v>
      </c>
      <c r="G248" s="1" t="s">
        <v>463</v>
      </c>
      <c r="H2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8" s="11" t="e">
        <f>ABS(NETWORKDAYS.INTL("05/20/2024", "05/20/2024", 1, {"01/01/2024","01/15/2024","02/19/2024","05/27/2024","07/04/2024","09/02/2024","10/14/2024","11/11/2024","11/28/2024","12/25/2024","12/25/2024","12/26/2024","12/27/2024","12/28/2024","12/29/2024","12/30/2024","31/25/2024","01/01/2024","01/02/2024","01/03/2024","01/04/2024","01/05/2024"}))</f>
        <v>#VALUE!</v>
      </c>
      <c r="J248" s="1">
        <f>0</f>
        <v>0</v>
      </c>
      <c r="K248" s="1"/>
      <c r="L248" s="1">
        <v>0</v>
      </c>
      <c r="M248" s="1">
        <f>0</f>
        <v>0</v>
      </c>
      <c r="N248" s="1">
        <f>0</f>
        <v>0</v>
      </c>
      <c r="O248" s="1">
        <f>0</f>
        <v>0</v>
      </c>
      <c r="P248" s="1"/>
      <c r="Q248" s="1">
        <v>0</v>
      </c>
      <c r="R248" s="1">
        <v>0</v>
      </c>
      <c r="S248" s="1">
        <f>0</f>
        <v>0</v>
      </c>
      <c r="T248" s="1">
        <f>0</f>
        <v>0</v>
      </c>
      <c r="U248" s="1"/>
      <c r="V248" s="1">
        <v>0</v>
      </c>
      <c r="W248" s="1">
        <v>1</v>
      </c>
      <c r="X248" s="1" t="e">
        <f>ABS(NETWORKDAYS.INTL("05/22/2024", "05/22/2024", 1, {"01/01/2024","01/15/2024","02/19/2024","05/27/2024","07/04/2024","09/02/2024","10/14/2024","11/11/2024","11/28/2024","12/25/2024","12/25/2024","12/26/2024","12/27/2024","12/28/2024","12/29/2024","12/30/2024","31/25/2024","01/01/2024","01/02/2024","01/03/2024","01/04/2024","01/05/2024"}))</f>
        <v>#VALUE!</v>
      </c>
      <c r="Y248" s="1">
        <f>0</f>
        <v>0</v>
      </c>
      <c r="Z248" s="1">
        <f>0</f>
        <v>0</v>
      </c>
      <c r="AA248" s="1"/>
      <c r="AB248" s="5">
        <v>45434</v>
      </c>
      <c r="AC248" s="5"/>
      <c r="AD248" s="1">
        <f>0</f>
        <v>0</v>
      </c>
      <c r="AE248" s="1">
        <f>0</f>
        <v>0</v>
      </c>
      <c r="AF248" s="1">
        <f>0</f>
        <v>0</v>
      </c>
      <c r="AG248" s="1">
        <f>0</f>
        <v>0</v>
      </c>
      <c r="AH248" s="1" t="e">
        <f>ABS(NETWORKDAYS.INTL("05/22/2024", "08/05/24", 1, {"01/01/2024","01/15/2024","02/19/2024","05/27/2024","07/04/2024","09/02/2024","10/14/2024","11/11/2024","11/28/2024","12/25/2024","12/25/2024","12/26/2024","12/27/2024","12/28/2024","12/29/2024","12/30/2024","31/25/2024","01/01/2024","01/02/2024","01/03/2024","01/04/2024","01/05/2024"}))</f>
        <v>#VALUE!</v>
      </c>
      <c r="AI248" s="1">
        <f>0</f>
        <v>0</v>
      </c>
      <c r="AJ248" s="1"/>
      <c r="AK248" s="1"/>
      <c r="AL248" s="1" t="b">
        <v>1</v>
      </c>
      <c r="AM248" s="1"/>
      <c r="AN248" s="1"/>
      <c r="AO248" s="1"/>
      <c r="AP248" s="1"/>
      <c r="AQ248" s="1"/>
      <c r="AR248" s="1"/>
      <c r="AS248" s="1"/>
      <c r="AT248" s="1"/>
      <c r="AU248" s="1"/>
      <c r="AV248" s="1"/>
      <c r="AW248" s="1"/>
      <c r="AX248" s="1"/>
      <c r="AY248" s="1"/>
      <c r="AZ248" s="1"/>
    </row>
    <row r="249" spans="1:52" ht="15" customHeight="1" x14ac:dyDescent="0.35">
      <c r="A249" s="1" t="s">
        <v>1218</v>
      </c>
      <c r="B249" s="1" t="s">
        <v>505</v>
      </c>
      <c r="C249" s="1" t="s">
        <v>988</v>
      </c>
      <c r="D249" s="1" t="s">
        <v>1199</v>
      </c>
      <c r="E249" s="1" t="s">
        <v>810</v>
      </c>
      <c r="F249" s="9" t="s">
        <v>1212</v>
      </c>
      <c r="G249" s="1" t="s">
        <v>463</v>
      </c>
      <c r="H2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49" s="11" t="e">
        <f>ABS(NETWORKDAYS.INTL("05/20/2024", "05/20/2024", 1, {"01/01/2024","01/15/2024","02/19/2024","05/27/2024","07/04/2024","09/02/2024","10/14/2024","11/11/2024","11/28/2024","12/25/2024","12/25/2024","12/26/2024","12/27/2024","12/28/2024","12/29/2024","12/30/2024","31/25/2024","01/01/2024","01/02/2024","01/03/2024","01/04/2024","01/05/2024"}))</f>
        <v>#VALUE!</v>
      </c>
      <c r="J249" s="1">
        <f>0</f>
        <v>0</v>
      </c>
      <c r="K249" s="1"/>
      <c r="L249" s="1">
        <v>0</v>
      </c>
      <c r="M249" s="1">
        <f>0</f>
        <v>0</v>
      </c>
      <c r="N249" s="1">
        <f>0</f>
        <v>0</v>
      </c>
      <c r="O249" s="1">
        <f>0</f>
        <v>0</v>
      </c>
      <c r="P249" s="1"/>
      <c r="Q249" s="1">
        <v>0</v>
      </c>
      <c r="R249" s="1">
        <v>0</v>
      </c>
      <c r="S249" s="1">
        <f>0</f>
        <v>0</v>
      </c>
      <c r="T249" s="1">
        <f>0</f>
        <v>0</v>
      </c>
      <c r="U249" s="1"/>
      <c r="V249" s="1">
        <v>0</v>
      </c>
      <c r="W249" s="1">
        <v>1</v>
      </c>
      <c r="X249" s="1" t="e">
        <f>ABS(NETWORKDAYS.INTL("05/22/2024", "05/22/2024", 1, {"01/01/2024","01/15/2024","02/19/2024","05/27/2024","07/04/2024","09/02/2024","10/14/2024","11/11/2024","11/28/2024","12/25/2024","12/25/2024","12/26/2024","12/27/2024","12/28/2024","12/29/2024","12/30/2024","31/25/2024","01/01/2024","01/02/2024","01/03/2024","01/04/2024","01/05/2024"}))</f>
        <v>#VALUE!</v>
      </c>
      <c r="Y249" s="1">
        <f>0</f>
        <v>0</v>
      </c>
      <c r="Z249" s="1">
        <f>0</f>
        <v>0</v>
      </c>
      <c r="AA249" s="1"/>
      <c r="AB249" s="5">
        <v>45434</v>
      </c>
      <c r="AC249" s="5"/>
      <c r="AD249" s="1">
        <f>0</f>
        <v>0</v>
      </c>
      <c r="AE249" s="1">
        <f>0</f>
        <v>0</v>
      </c>
      <c r="AF249" s="1">
        <f>0</f>
        <v>0</v>
      </c>
      <c r="AG249" s="1">
        <f>0</f>
        <v>0</v>
      </c>
      <c r="AH249" s="1" t="e">
        <f>ABS(NETWORKDAYS.INTL("05/22/2024", "08/05/24", 1, {"01/01/2024","01/15/2024","02/19/2024","05/27/2024","07/04/2024","09/02/2024","10/14/2024","11/11/2024","11/28/2024","12/25/2024","12/25/2024","12/26/2024","12/27/2024","12/28/2024","12/29/2024","12/30/2024","31/25/2024","01/01/2024","01/02/2024","01/03/2024","01/04/2024","01/05/2024"}))</f>
        <v>#VALUE!</v>
      </c>
      <c r="AI249" s="1">
        <f>0</f>
        <v>0</v>
      </c>
      <c r="AJ249" s="1"/>
      <c r="AK249" s="1"/>
      <c r="AL249" s="1" t="b">
        <v>1</v>
      </c>
      <c r="AM249" s="1"/>
      <c r="AN249" s="1"/>
      <c r="AO249" s="1"/>
      <c r="AP249" s="1"/>
      <c r="AQ249" s="1"/>
      <c r="AR249" s="1"/>
      <c r="AS249" s="1"/>
      <c r="AT249" s="1"/>
      <c r="AU249" s="1"/>
      <c r="AV249" s="1"/>
      <c r="AW249" s="1"/>
      <c r="AX249" s="1"/>
      <c r="AY249" s="1"/>
      <c r="AZ249" s="1"/>
    </row>
    <row r="250" spans="1:52" ht="15" customHeight="1" x14ac:dyDescent="0.35">
      <c r="A250" s="1" t="s">
        <v>1219</v>
      </c>
      <c r="B250" s="1" t="s">
        <v>506</v>
      </c>
      <c r="C250" s="1" t="s">
        <v>988</v>
      </c>
      <c r="D250" s="1" t="s">
        <v>1199</v>
      </c>
      <c r="E250" s="1" t="s">
        <v>810</v>
      </c>
      <c r="F250" s="9" t="s">
        <v>1212</v>
      </c>
      <c r="G250" s="1" t="s">
        <v>463</v>
      </c>
      <c r="H2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0" s="11" t="e">
        <f>ABS(NETWORKDAYS.INTL("05/20/2024", "05/20/2024", 1, {"01/01/2024","01/15/2024","02/19/2024","05/27/2024","07/04/2024","09/02/2024","10/14/2024","11/11/2024","11/28/2024","12/25/2024","12/25/2024","12/26/2024","12/27/2024","12/28/2024","12/29/2024","12/30/2024","31/25/2024","01/01/2024","01/02/2024","01/03/2024","01/04/2024","01/05/2024"}))</f>
        <v>#VALUE!</v>
      </c>
      <c r="J250" s="1">
        <f>0</f>
        <v>0</v>
      </c>
      <c r="K250" s="1"/>
      <c r="L250" s="1">
        <v>0</v>
      </c>
      <c r="M250" s="1">
        <f>0</f>
        <v>0</v>
      </c>
      <c r="N250" s="1">
        <f>0</f>
        <v>0</v>
      </c>
      <c r="O250" s="1">
        <f>0</f>
        <v>0</v>
      </c>
      <c r="P250" s="1"/>
      <c r="Q250" s="1">
        <v>0</v>
      </c>
      <c r="R250" s="1">
        <v>0</v>
      </c>
      <c r="S250" s="1">
        <f>0</f>
        <v>0</v>
      </c>
      <c r="T250" s="1">
        <f>0</f>
        <v>0</v>
      </c>
      <c r="U250" s="1"/>
      <c r="V250" s="1">
        <v>0</v>
      </c>
      <c r="W250" s="1">
        <v>1</v>
      </c>
      <c r="X250" s="1" t="e">
        <f>ABS(NETWORKDAYS.INTL("05/22/2024", "05/22/2024", 1, {"01/01/2024","01/15/2024","02/19/2024","05/27/2024","07/04/2024","09/02/2024","10/14/2024","11/11/2024","11/28/2024","12/25/2024","12/25/2024","12/26/2024","12/27/2024","12/28/2024","12/29/2024","12/30/2024","31/25/2024","01/01/2024","01/02/2024","01/03/2024","01/04/2024","01/05/2024"}))</f>
        <v>#VALUE!</v>
      </c>
      <c r="Y250" s="1">
        <f>0</f>
        <v>0</v>
      </c>
      <c r="Z250" s="1">
        <f>0</f>
        <v>0</v>
      </c>
      <c r="AA250" s="1"/>
      <c r="AB250" s="5">
        <v>45434</v>
      </c>
      <c r="AC250" s="5"/>
      <c r="AD250" s="1">
        <f>0</f>
        <v>0</v>
      </c>
      <c r="AE250" s="1">
        <f>0</f>
        <v>0</v>
      </c>
      <c r="AF250" s="1">
        <f>0</f>
        <v>0</v>
      </c>
      <c r="AG250" s="1">
        <f>0</f>
        <v>0</v>
      </c>
      <c r="AH250" s="1" t="e">
        <f>ABS(NETWORKDAYS.INTL("05/22/2024", "08/05/24", 1, {"01/01/2024","01/15/2024","02/19/2024","05/27/2024","07/04/2024","09/02/2024","10/14/2024","11/11/2024","11/28/2024","12/25/2024","12/25/2024","12/26/2024","12/27/2024","12/28/2024","12/29/2024","12/30/2024","31/25/2024","01/01/2024","01/02/2024","01/03/2024","01/04/2024","01/05/2024"}))</f>
        <v>#VALUE!</v>
      </c>
      <c r="AI250" s="1">
        <f>0</f>
        <v>0</v>
      </c>
      <c r="AJ250" s="1"/>
      <c r="AK250" s="1"/>
      <c r="AL250" s="1" t="b">
        <v>1</v>
      </c>
      <c r="AM250" s="1"/>
      <c r="AN250" s="1"/>
      <c r="AO250" s="1"/>
      <c r="AP250" s="1"/>
      <c r="AQ250" s="1"/>
      <c r="AR250" s="1"/>
      <c r="AS250" s="1"/>
      <c r="AT250" s="1"/>
      <c r="AU250" s="1"/>
      <c r="AV250" s="1"/>
      <c r="AW250" s="1"/>
      <c r="AX250" s="1"/>
      <c r="AY250" s="1"/>
      <c r="AZ250" s="1"/>
    </row>
    <row r="251" spans="1:52" ht="15" customHeight="1" x14ac:dyDescent="0.35">
      <c r="A251" s="1" t="s">
        <v>1220</v>
      </c>
      <c r="B251" s="1" t="s">
        <v>507</v>
      </c>
      <c r="C251" s="1" t="s">
        <v>988</v>
      </c>
      <c r="D251" s="1" t="s">
        <v>1199</v>
      </c>
      <c r="E251" s="1" t="s">
        <v>810</v>
      </c>
      <c r="F251" s="9" t="s">
        <v>1212</v>
      </c>
      <c r="G251" s="1" t="s">
        <v>463</v>
      </c>
      <c r="H2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1" s="11" t="e">
        <f>ABS(NETWORKDAYS.INTL("05/20/2024", "05/20/2024", 1, {"01/01/2024","01/15/2024","02/19/2024","05/27/2024","07/04/2024","09/02/2024","10/14/2024","11/11/2024","11/28/2024","12/25/2024","12/25/2024","12/26/2024","12/27/2024","12/28/2024","12/29/2024","12/30/2024","31/25/2024","01/01/2024","01/02/2024","01/03/2024","01/04/2024","01/05/2024"}))</f>
        <v>#VALUE!</v>
      </c>
      <c r="J251" s="1">
        <f>0</f>
        <v>0</v>
      </c>
      <c r="K251" s="1"/>
      <c r="L251" s="1">
        <v>0</v>
      </c>
      <c r="M251" s="1">
        <f>0</f>
        <v>0</v>
      </c>
      <c r="N251" s="1">
        <f>0</f>
        <v>0</v>
      </c>
      <c r="O251" s="1">
        <f>0</f>
        <v>0</v>
      </c>
      <c r="P251" s="1"/>
      <c r="Q251" s="1">
        <v>0</v>
      </c>
      <c r="R251" s="1">
        <v>0</v>
      </c>
      <c r="S251" s="1">
        <f>0</f>
        <v>0</v>
      </c>
      <c r="T251" s="1">
        <f>0</f>
        <v>0</v>
      </c>
      <c r="U251" s="1"/>
      <c r="V251" s="1">
        <v>0</v>
      </c>
      <c r="W251" s="1">
        <v>1</v>
      </c>
      <c r="X251" s="1" t="e">
        <f>ABS(NETWORKDAYS.INTL("05/22/2024", "05/22/2024", 1, {"01/01/2024","01/15/2024","02/19/2024","05/27/2024","07/04/2024","09/02/2024","10/14/2024","11/11/2024","11/28/2024","12/25/2024","12/25/2024","12/26/2024","12/27/2024","12/28/2024","12/29/2024","12/30/2024","31/25/2024","01/01/2024","01/02/2024","01/03/2024","01/04/2024","01/05/2024"}))</f>
        <v>#VALUE!</v>
      </c>
      <c r="Y251" s="1">
        <f>0</f>
        <v>0</v>
      </c>
      <c r="Z251" s="1">
        <f>0</f>
        <v>0</v>
      </c>
      <c r="AA251" s="1"/>
      <c r="AB251" s="5">
        <v>45434</v>
      </c>
      <c r="AC251" s="5"/>
      <c r="AD251" s="1">
        <f>0</f>
        <v>0</v>
      </c>
      <c r="AE251" s="1">
        <f>0</f>
        <v>0</v>
      </c>
      <c r="AF251" s="1">
        <f>0</f>
        <v>0</v>
      </c>
      <c r="AG251" s="1">
        <f>0</f>
        <v>0</v>
      </c>
      <c r="AH251" s="1" t="e">
        <f>ABS(NETWORKDAYS.INTL("05/22/2024", "08/05/24", 1, {"01/01/2024","01/15/2024","02/19/2024","05/27/2024","07/04/2024","09/02/2024","10/14/2024","11/11/2024","11/28/2024","12/25/2024","12/25/2024","12/26/2024","12/27/2024","12/28/2024","12/29/2024","12/30/2024","31/25/2024","01/01/2024","01/02/2024","01/03/2024","01/04/2024","01/05/2024"}))</f>
        <v>#VALUE!</v>
      </c>
      <c r="AI251" s="1">
        <f>0</f>
        <v>0</v>
      </c>
      <c r="AJ251" s="1"/>
      <c r="AK251" s="1"/>
      <c r="AL251" s="1" t="b">
        <v>1</v>
      </c>
      <c r="AM251" s="1"/>
      <c r="AN251" s="1"/>
      <c r="AO251" s="1"/>
      <c r="AP251" s="1"/>
      <c r="AQ251" s="1"/>
      <c r="AR251" s="1"/>
      <c r="AS251" s="1"/>
      <c r="AT251" s="1"/>
      <c r="AU251" s="1"/>
      <c r="AV251" s="1"/>
      <c r="AW251" s="1"/>
      <c r="AX251" s="1"/>
      <c r="AY251" s="1"/>
      <c r="AZ251" s="1"/>
    </row>
    <row r="252" spans="1:52" ht="15" customHeight="1" x14ac:dyDescent="0.35">
      <c r="A252" s="1" t="s">
        <v>1221</v>
      </c>
      <c r="B252" s="1" t="s">
        <v>508</v>
      </c>
      <c r="C252" s="1" t="s">
        <v>988</v>
      </c>
      <c r="D252" s="1" t="s">
        <v>1199</v>
      </c>
      <c r="E252" s="1" t="s">
        <v>810</v>
      </c>
      <c r="F252" s="9" t="s">
        <v>1212</v>
      </c>
      <c r="G252" s="1" t="s">
        <v>463</v>
      </c>
      <c r="H2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2" s="11" t="e">
        <f>ABS(NETWORKDAYS.INTL("05/20/2024", "05/20/2024", 1, {"01/01/2024","01/15/2024","02/19/2024","05/27/2024","07/04/2024","09/02/2024","10/14/2024","11/11/2024","11/28/2024","12/25/2024","12/25/2024","12/26/2024","12/27/2024","12/28/2024","12/29/2024","12/30/2024","31/25/2024","01/01/2024","01/02/2024","01/03/2024","01/04/2024","01/05/2024"}))</f>
        <v>#VALUE!</v>
      </c>
      <c r="J252" s="1">
        <f>0</f>
        <v>0</v>
      </c>
      <c r="K252" s="1"/>
      <c r="L252" s="1">
        <v>0</v>
      </c>
      <c r="M252" s="1">
        <f>0</f>
        <v>0</v>
      </c>
      <c r="N252" s="1">
        <f>0</f>
        <v>0</v>
      </c>
      <c r="O252" s="1">
        <f>0</f>
        <v>0</v>
      </c>
      <c r="P252" s="1"/>
      <c r="Q252" s="1">
        <v>0</v>
      </c>
      <c r="R252" s="1">
        <v>0</v>
      </c>
      <c r="S252" s="1">
        <f>0</f>
        <v>0</v>
      </c>
      <c r="T252" s="1">
        <f>0</f>
        <v>0</v>
      </c>
      <c r="U252" s="1"/>
      <c r="V252" s="1">
        <v>0</v>
      </c>
      <c r="W252" s="1">
        <v>1</v>
      </c>
      <c r="X252" s="1" t="e">
        <f>ABS(NETWORKDAYS.INTL("05/22/2024", "05/22/2024", 1, {"01/01/2024","01/15/2024","02/19/2024","05/27/2024","07/04/2024","09/02/2024","10/14/2024","11/11/2024","11/28/2024","12/25/2024","12/25/2024","12/26/2024","12/27/2024","12/28/2024","12/29/2024","12/30/2024","31/25/2024","01/01/2024","01/02/2024","01/03/2024","01/04/2024","01/05/2024"}))</f>
        <v>#VALUE!</v>
      </c>
      <c r="Y252" s="1">
        <f>0</f>
        <v>0</v>
      </c>
      <c r="Z252" s="1">
        <f>0</f>
        <v>0</v>
      </c>
      <c r="AA252" s="1"/>
      <c r="AB252" s="5">
        <v>45434</v>
      </c>
      <c r="AC252" s="5"/>
      <c r="AD252" s="1">
        <f>0</f>
        <v>0</v>
      </c>
      <c r="AE252" s="1">
        <f>0</f>
        <v>0</v>
      </c>
      <c r="AF252" s="1">
        <f>0</f>
        <v>0</v>
      </c>
      <c r="AG252" s="1">
        <f>0</f>
        <v>0</v>
      </c>
      <c r="AH252" s="1" t="e">
        <f>ABS(NETWORKDAYS.INTL("05/22/2024", "08/05/24", 1, {"01/01/2024","01/15/2024","02/19/2024","05/27/2024","07/04/2024","09/02/2024","10/14/2024","11/11/2024","11/28/2024","12/25/2024","12/25/2024","12/26/2024","12/27/2024","12/28/2024","12/29/2024","12/30/2024","31/25/2024","01/01/2024","01/02/2024","01/03/2024","01/04/2024","01/05/2024"}))</f>
        <v>#VALUE!</v>
      </c>
      <c r="AI252" s="1">
        <f>0</f>
        <v>0</v>
      </c>
      <c r="AJ252" s="1"/>
      <c r="AK252" s="1"/>
      <c r="AL252" s="1" t="b">
        <v>1</v>
      </c>
      <c r="AM252" s="1"/>
      <c r="AN252" s="1"/>
      <c r="AO252" s="1"/>
      <c r="AP252" s="1"/>
      <c r="AQ252" s="1"/>
      <c r="AR252" s="1"/>
      <c r="AS252" s="1"/>
      <c r="AT252" s="1"/>
      <c r="AU252" s="1"/>
      <c r="AV252" s="1"/>
      <c r="AW252" s="1"/>
      <c r="AX252" s="1"/>
      <c r="AY252" s="1"/>
      <c r="AZ252" s="1"/>
    </row>
    <row r="253" spans="1:52" ht="15" customHeight="1" x14ac:dyDescent="0.35">
      <c r="A253" s="1" t="s">
        <v>1222</v>
      </c>
      <c r="B253" s="1" t="s">
        <v>509</v>
      </c>
      <c r="C253" s="1" t="s">
        <v>988</v>
      </c>
      <c r="D253" s="1" t="s">
        <v>1199</v>
      </c>
      <c r="E253" s="1" t="s">
        <v>810</v>
      </c>
      <c r="F253" s="9" t="s">
        <v>1212</v>
      </c>
      <c r="G253" s="1" t="s">
        <v>463</v>
      </c>
      <c r="H2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3" s="11" t="e">
        <f>ABS(NETWORKDAYS.INTL("05/20/2024", "05/20/2024", 1, {"01/01/2024","01/15/2024","02/19/2024","05/27/2024","07/04/2024","09/02/2024","10/14/2024","11/11/2024","11/28/2024","12/25/2024","12/25/2024","12/26/2024","12/27/2024","12/28/2024","12/29/2024","12/30/2024","31/25/2024","01/01/2024","01/02/2024","01/03/2024","01/04/2024","01/05/2024"}))</f>
        <v>#VALUE!</v>
      </c>
      <c r="J253" s="1">
        <f>0</f>
        <v>0</v>
      </c>
      <c r="K253" s="1"/>
      <c r="L253" s="1">
        <v>0</v>
      </c>
      <c r="M253" s="1">
        <f>0</f>
        <v>0</v>
      </c>
      <c r="N253" s="1">
        <f>0</f>
        <v>0</v>
      </c>
      <c r="O253" s="1">
        <f>0</f>
        <v>0</v>
      </c>
      <c r="P253" s="1"/>
      <c r="Q253" s="1">
        <v>0</v>
      </c>
      <c r="R253" s="1">
        <v>0</v>
      </c>
      <c r="S253" s="1">
        <f>0</f>
        <v>0</v>
      </c>
      <c r="T253" s="1">
        <f>0</f>
        <v>0</v>
      </c>
      <c r="U253" s="1"/>
      <c r="V253" s="1">
        <v>0</v>
      </c>
      <c r="W253" s="1">
        <v>1</v>
      </c>
      <c r="X253" s="1" t="e">
        <f>ABS(NETWORKDAYS.INTL("05/22/2024", "05/22/2024", 1, {"01/01/2024","01/15/2024","02/19/2024","05/27/2024","07/04/2024","09/02/2024","10/14/2024","11/11/2024","11/28/2024","12/25/2024","12/25/2024","12/26/2024","12/27/2024","12/28/2024","12/29/2024","12/30/2024","31/25/2024","01/01/2024","01/02/2024","01/03/2024","01/04/2024","01/05/2024"}))</f>
        <v>#VALUE!</v>
      </c>
      <c r="Y253" s="1">
        <f>0</f>
        <v>0</v>
      </c>
      <c r="Z253" s="1">
        <f>0</f>
        <v>0</v>
      </c>
      <c r="AA253" s="1"/>
      <c r="AB253" s="5">
        <v>45434</v>
      </c>
      <c r="AC253" s="5"/>
      <c r="AD253" s="1">
        <f>0</f>
        <v>0</v>
      </c>
      <c r="AE253" s="1">
        <f>0</f>
        <v>0</v>
      </c>
      <c r="AF253" s="1">
        <f>0</f>
        <v>0</v>
      </c>
      <c r="AG253" s="1">
        <f>0</f>
        <v>0</v>
      </c>
      <c r="AH253" s="1" t="e">
        <f>ABS(NETWORKDAYS.INTL("05/22/2024", "08/05/24", 1, {"01/01/2024","01/15/2024","02/19/2024","05/27/2024","07/04/2024","09/02/2024","10/14/2024","11/11/2024","11/28/2024","12/25/2024","12/25/2024","12/26/2024","12/27/2024","12/28/2024","12/29/2024","12/30/2024","31/25/2024","01/01/2024","01/02/2024","01/03/2024","01/04/2024","01/05/2024"}))</f>
        <v>#VALUE!</v>
      </c>
      <c r="AI253" s="1">
        <f>0</f>
        <v>0</v>
      </c>
      <c r="AJ253" s="1"/>
      <c r="AK253" s="1"/>
      <c r="AL253" s="1" t="b">
        <v>1</v>
      </c>
      <c r="AM253" s="1"/>
      <c r="AN253" s="1"/>
      <c r="AO253" s="1"/>
      <c r="AP253" s="1"/>
      <c r="AQ253" s="1"/>
      <c r="AR253" s="1"/>
      <c r="AS253" s="1"/>
      <c r="AT253" s="1"/>
      <c r="AU253" s="1"/>
      <c r="AV253" s="1"/>
      <c r="AW253" s="1"/>
      <c r="AX253" s="1"/>
      <c r="AY253" s="1"/>
      <c r="AZ253" s="1"/>
    </row>
    <row r="254" spans="1:52" ht="15" customHeight="1" x14ac:dyDescent="0.35">
      <c r="A254" s="1" t="s">
        <v>1223</v>
      </c>
      <c r="B254" s="1" t="s">
        <v>510</v>
      </c>
      <c r="C254" s="1" t="s">
        <v>988</v>
      </c>
      <c r="D254" s="1" t="s">
        <v>1199</v>
      </c>
      <c r="E254" s="1" t="s">
        <v>810</v>
      </c>
      <c r="F254" s="9" t="s">
        <v>1212</v>
      </c>
      <c r="G254" s="1" t="s">
        <v>463</v>
      </c>
      <c r="H2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4" s="11" t="e">
        <f>ABS(NETWORKDAYS.INTL("05/20/2024", "05/20/2024", 1, {"01/01/2024","01/15/2024","02/19/2024","05/27/2024","07/04/2024","09/02/2024","10/14/2024","11/11/2024","11/28/2024","12/25/2024","12/25/2024","12/26/2024","12/27/2024","12/28/2024","12/29/2024","12/30/2024","31/25/2024","01/01/2024","01/02/2024","01/03/2024","01/04/2024","01/05/2024"}))</f>
        <v>#VALUE!</v>
      </c>
      <c r="J254" s="1">
        <f>0</f>
        <v>0</v>
      </c>
      <c r="K254" s="1"/>
      <c r="L254" s="1">
        <v>0</v>
      </c>
      <c r="M254" s="1">
        <f>0</f>
        <v>0</v>
      </c>
      <c r="N254" s="1">
        <f>0</f>
        <v>0</v>
      </c>
      <c r="O254" s="1">
        <f>0</f>
        <v>0</v>
      </c>
      <c r="P254" s="1"/>
      <c r="Q254" s="1">
        <v>0</v>
      </c>
      <c r="R254" s="1">
        <v>0</v>
      </c>
      <c r="S254" s="1">
        <f>0</f>
        <v>0</v>
      </c>
      <c r="T254" s="1">
        <f>0</f>
        <v>0</v>
      </c>
      <c r="U254" s="1"/>
      <c r="V254" s="1">
        <v>0</v>
      </c>
      <c r="W254" s="1">
        <v>1</v>
      </c>
      <c r="X254" s="1" t="e">
        <f>ABS(NETWORKDAYS.INTL("05/22/2024", "05/22/2024", 1, {"01/01/2024","01/15/2024","02/19/2024","05/27/2024","07/04/2024","09/02/2024","10/14/2024","11/11/2024","11/28/2024","12/25/2024","12/25/2024","12/26/2024","12/27/2024","12/28/2024","12/29/2024","12/30/2024","31/25/2024","01/01/2024","01/02/2024","01/03/2024","01/04/2024","01/05/2024"}))</f>
        <v>#VALUE!</v>
      </c>
      <c r="Y254" s="1">
        <f>0</f>
        <v>0</v>
      </c>
      <c r="Z254" s="1">
        <f>0</f>
        <v>0</v>
      </c>
      <c r="AA254" s="1"/>
      <c r="AB254" s="5">
        <v>45434</v>
      </c>
      <c r="AC254" s="5"/>
      <c r="AD254" s="1">
        <f>0</f>
        <v>0</v>
      </c>
      <c r="AE254" s="1">
        <f>0</f>
        <v>0</v>
      </c>
      <c r="AF254" s="1">
        <f>0</f>
        <v>0</v>
      </c>
      <c r="AG254" s="1">
        <f>0</f>
        <v>0</v>
      </c>
      <c r="AH254" s="1" t="e">
        <f>ABS(NETWORKDAYS.INTL("05/22/2024", "08/05/24", 1, {"01/01/2024","01/15/2024","02/19/2024","05/27/2024","07/04/2024","09/02/2024","10/14/2024","11/11/2024","11/28/2024","12/25/2024","12/25/2024","12/26/2024","12/27/2024","12/28/2024","12/29/2024","12/30/2024","31/25/2024","01/01/2024","01/02/2024","01/03/2024","01/04/2024","01/05/2024"}))</f>
        <v>#VALUE!</v>
      </c>
      <c r="AI254" s="1">
        <f>0</f>
        <v>0</v>
      </c>
      <c r="AJ254" s="1"/>
      <c r="AK254" s="1"/>
      <c r="AL254" s="1" t="b">
        <v>1</v>
      </c>
      <c r="AM254" s="1"/>
      <c r="AN254" s="1"/>
      <c r="AO254" s="1"/>
      <c r="AP254" s="1"/>
      <c r="AQ254" s="1"/>
      <c r="AR254" s="1"/>
      <c r="AS254" s="1"/>
      <c r="AT254" s="1"/>
      <c r="AU254" s="1"/>
      <c r="AV254" s="1"/>
      <c r="AW254" s="1"/>
      <c r="AX254" s="1"/>
      <c r="AY254" s="1"/>
      <c r="AZ254" s="1"/>
    </row>
    <row r="255" spans="1:52" ht="15" customHeight="1" x14ac:dyDescent="0.35">
      <c r="A255" s="1" t="s">
        <v>1224</v>
      </c>
      <c r="B255" s="1" t="s">
        <v>511</v>
      </c>
      <c r="C255" s="1" t="s">
        <v>988</v>
      </c>
      <c r="D255" s="1" t="s">
        <v>1199</v>
      </c>
      <c r="E255" s="1" t="s">
        <v>810</v>
      </c>
      <c r="F255" s="9" t="s">
        <v>1212</v>
      </c>
      <c r="G255" s="1" t="s">
        <v>463</v>
      </c>
      <c r="H2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5" s="11" t="e">
        <f>ABS(NETWORKDAYS.INTL("05/20/2024", "05/20/2024", 1, {"01/01/2024","01/15/2024","02/19/2024","05/27/2024","07/04/2024","09/02/2024","10/14/2024","11/11/2024","11/28/2024","12/25/2024","12/25/2024","12/26/2024","12/27/2024","12/28/2024","12/29/2024","12/30/2024","31/25/2024","01/01/2024","01/02/2024","01/03/2024","01/04/2024","01/05/2024"}))</f>
        <v>#VALUE!</v>
      </c>
      <c r="J255" s="1">
        <f>0</f>
        <v>0</v>
      </c>
      <c r="K255" s="1"/>
      <c r="L255" s="1">
        <v>0</v>
      </c>
      <c r="M255" s="1">
        <f>0</f>
        <v>0</v>
      </c>
      <c r="N255" s="1">
        <f>0</f>
        <v>0</v>
      </c>
      <c r="O255" s="1">
        <f>0</f>
        <v>0</v>
      </c>
      <c r="P255" s="1"/>
      <c r="Q255" s="1">
        <v>0</v>
      </c>
      <c r="R255" s="1">
        <v>0</v>
      </c>
      <c r="S255" s="1">
        <f>0</f>
        <v>0</v>
      </c>
      <c r="T255" s="1">
        <f>0</f>
        <v>0</v>
      </c>
      <c r="U255" s="1"/>
      <c r="V255" s="1">
        <v>0</v>
      </c>
      <c r="W255" s="1">
        <v>1</v>
      </c>
      <c r="X255" s="1" t="e">
        <f>ABS(NETWORKDAYS.INTL("05/22/2024", "05/22/2024", 1, {"01/01/2024","01/15/2024","02/19/2024","05/27/2024","07/04/2024","09/02/2024","10/14/2024","11/11/2024","11/28/2024","12/25/2024","12/25/2024","12/26/2024","12/27/2024","12/28/2024","12/29/2024","12/30/2024","31/25/2024","01/01/2024","01/02/2024","01/03/2024","01/04/2024","01/05/2024"}))</f>
        <v>#VALUE!</v>
      </c>
      <c r="Y255" s="1">
        <f>0</f>
        <v>0</v>
      </c>
      <c r="Z255" s="1">
        <f>0</f>
        <v>0</v>
      </c>
      <c r="AA255" s="1"/>
      <c r="AB255" s="5">
        <v>45434</v>
      </c>
      <c r="AC255" s="5"/>
      <c r="AD255" s="1">
        <f>0</f>
        <v>0</v>
      </c>
      <c r="AE255" s="1">
        <f>0</f>
        <v>0</v>
      </c>
      <c r="AF255" s="1">
        <f>0</f>
        <v>0</v>
      </c>
      <c r="AG255" s="1">
        <f>0</f>
        <v>0</v>
      </c>
      <c r="AH255" s="1" t="e">
        <f>ABS(NETWORKDAYS.INTL("05/22/2024", "08/05/24", 1, {"01/01/2024","01/15/2024","02/19/2024","05/27/2024","07/04/2024","09/02/2024","10/14/2024","11/11/2024","11/28/2024","12/25/2024","12/25/2024","12/26/2024","12/27/2024","12/28/2024","12/29/2024","12/30/2024","31/25/2024","01/01/2024","01/02/2024","01/03/2024","01/04/2024","01/05/2024"}))</f>
        <v>#VALUE!</v>
      </c>
      <c r="AI255" s="1">
        <f>0</f>
        <v>0</v>
      </c>
      <c r="AJ255" s="1"/>
      <c r="AK255" s="1"/>
      <c r="AL255" s="1" t="b">
        <v>1</v>
      </c>
      <c r="AM255" s="1"/>
      <c r="AN255" s="1"/>
      <c r="AO255" s="1"/>
      <c r="AP255" s="1"/>
      <c r="AQ255" s="1"/>
      <c r="AR255" s="1"/>
      <c r="AS255" s="1"/>
      <c r="AT255" s="1"/>
      <c r="AU255" s="1"/>
      <c r="AV255" s="1"/>
      <c r="AW255" s="1"/>
      <c r="AX255" s="1"/>
      <c r="AY255" s="1"/>
      <c r="AZ255" s="1"/>
    </row>
    <row r="256" spans="1:52" ht="15" customHeight="1" x14ac:dyDescent="0.35">
      <c r="A256" s="1" t="s">
        <v>1225</v>
      </c>
      <c r="B256" s="1" t="s">
        <v>512</v>
      </c>
      <c r="C256" s="1" t="s">
        <v>988</v>
      </c>
      <c r="D256" s="1" t="s">
        <v>1199</v>
      </c>
      <c r="E256" s="1" t="s">
        <v>810</v>
      </c>
      <c r="F256" s="9" t="s">
        <v>1212</v>
      </c>
      <c r="G256" s="1" t="s">
        <v>463</v>
      </c>
      <c r="H2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6" s="11" t="e">
        <f>ABS(NETWORKDAYS.INTL("05/20/2024", "05/20/2024", 1, {"01/01/2024","01/15/2024","02/19/2024","05/27/2024","07/04/2024","09/02/2024","10/14/2024","11/11/2024","11/28/2024","12/25/2024","12/25/2024","12/26/2024","12/27/2024","12/28/2024","12/29/2024","12/30/2024","31/25/2024","01/01/2024","01/02/2024","01/03/2024","01/04/2024","01/05/2024"}))</f>
        <v>#VALUE!</v>
      </c>
      <c r="J256" s="1">
        <f>0</f>
        <v>0</v>
      </c>
      <c r="K256" s="1"/>
      <c r="L256" s="1">
        <v>0</v>
      </c>
      <c r="M256" s="1">
        <f>0</f>
        <v>0</v>
      </c>
      <c r="N256" s="1">
        <f>0</f>
        <v>0</v>
      </c>
      <c r="O256" s="1">
        <f>0</f>
        <v>0</v>
      </c>
      <c r="P256" s="1"/>
      <c r="Q256" s="1">
        <v>0</v>
      </c>
      <c r="R256" s="1">
        <v>0</v>
      </c>
      <c r="S256" s="1">
        <f>0</f>
        <v>0</v>
      </c>
      <c r="T256" s="1">
        <f>0</f>
        <v>0</v>
      </c>
      <c r="U256" s="1"/>
      <c r="V256" s="1">
        <v>0</v>
      </c>
      <c r="W256" s="1">
        <v>1</v>
      </c>
      <c r="X256" s="1" t="e">
        <f>ABS(NETWORKDAYS.INTL("05/22/2024", "05/22/2024", 1, {"01/01/2024","01/15/2024","02/19/2024","05/27/2024","07/04/2024","09/02/2024","10/14/2024","11/11/2024","11/28/2024","12/25/2024","12/25/2024","12/26/2024","12/27/2024","12/28/2024","12/29/2024","12/30/2024","31/25/2024","01/01/2024","01/02/2024","01/03/2024","01/04/2024","01/05/2024"}))</f>
        <v>#VALUE!</v>
      </c>
      <c r="Y256" s="1">
        <f>0</f>
        <v>0</v>
      </c>
      <c r="Z256" s="1">
        <f>0</f>
        <v>0</v>
      </c>
      <c r="AA256" s="1"/>
      <c r="AB256" s="5">
        <v>45434</v>
      </c>
      <c r="AC256" s="5"/>
      <c r="AD256" s="1">
        <f>0</f>
        <v>0</v>
      </c>
      <c r="AE256" s="1">
        <f>0</f>
        <v>0</v>
      </c>
      <c r="AF256" s="1">
        <f>0</f>
        <v>0</v>
      </c>
      <c r="AG256" s="1">
        <f>0</f>
        <v>0</v>
      </c>
      <c r="AH256" s="1" t="e">
        <f>ABS(NETWORKDAYS.INTL("05/22/2024", "08/05/24", 1, {"01/01/2024","01/15/2024","02/19/2024","05/27/2024","07/04/2024","09/02/2024","10/14/2024","11/11/2024","11/28/2024","12/25/2024","12/25/2024","12/26/2024","12/27/2024","12/28/2024","12/29/2024","12/30/2024","31/25/2024","01/01/2024","01/02/2024","01/03/2024","01/04/2024","01/05/2024"}))</f>
        <v>#VALUE!</v>
      </c>
      <c r="AI256" s="1">
        <f>0</f>
        <v>0</v>
      </c>
      <c r="AJ256" s="1"/>
      <c r="AK256" s="1"/>
      <c r="AL256" s="1" t="b">
        <v>1</v>
      </c>
      <c r="AM256" s="1"/>
      <c r="AN256" s="1"/>
      <c r="AO256" s="1"/>
      <c r="AP256" s="1"/>
      <c r="AQ256" s="1"/>
      <c r="AR256" s="1"/>
      <c r="AS256" s="1"/>
      <c r="AT256" s="1"/>
      <c r="AU256" s="1"/>
      <c r="AV256" s="1"/>
      <c r="AW256" s="1"/>
      <c r="AX256" s="1"/>
      <c r="AY256" s="1"/>
      <c r="AZ256" s="1"/>
    </row>
    <row r="257" spans="1:52" ht="15" customHeight="1" x14ac:dyDescent="0.35">
      <c r="A257" s="1" t="s">
        <v>1226</v>
      </c>
      <c r="B257" s="1" t="s">
        <v>513</v>
      </c>
      <c r="C257" s="1" t="s">
        <v>988</v>
      </c>
      <c r="D257" s="1" t="s">
        <v>1199</v>
      </c>
      <c r="E257" s="1" t="s">
        <v>810</v>
      </c>
      <c r="F257" s="9" t="s">
        <v>1212</v>
      </c>
      <c r="G257" s="1" t="s">
        <v>463</v>
      </c>
      <c r="H2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7" s="11" t="e">
        <f>ABS(NETWORKDAYS.INTL("05/20/2024", "05/20/2024", 1, {"01/01/2024","01/15/2024","02/19/2024","05/27/2024","07/04/2024","09/02/2024","10/14/2024","11/11/2024","11/28/2024","12/25/2024","12/25/2024","12/26/2024","12/27/2024","12/28/2024","12/29/2024","12/30/2024","31/25/2024","01/01/2024","01/02/2024","01/03/2024","01/04/2024","01/05/2024"}))</f>
        <v>#VALUE!</v>
      </c>
      <c r="J257" s="1">
        <f>0</f>
        <v>0</v>
      </c>
      <c r="K257" s="1"/>
      <c r="L257" s="1">
        <v>0</v>
      </c>
      <c r="M257" s="1">
        <f>0</f>
        <v>0</v>
      </c>
      <c r="N257" s="1">
        <f>0</f>
        <v>0</v>
      </c>
      <c r="O257" s="1">
        <f>0</f>
        <v>0</v>
      </c>
      <c r="P257" s="1"/>
      <c r="Q257" s="1">
        <v>0</v>
      </c>
      <c r="R257" s="1">
        <v>0</v>
      </c>
      <c r="S257" s="1">
        <f>0</f>
        <v>0</v>
      </c>
      <c r="T257" s="1">
        <f>0</f>
        <v>0</v>
      </c>
      <c r="U257" s="1"/>
      <c r="V257" s="1">
        <v>0</v>
      </c>
      <c r="W257" s="1">
        <v>1</v>
      </c>
      <c r="X257" s="1" t="e">
        <f>ABS(NETWORKDAYS.INTL("05/22/2024", "05/22/2024", 1, {"01/01/2024","01/15/2024","02/19/2024","05/27/2024","07/04/2024","09/02/2024","10/14/2024","11/11/2024","11/28/2024","12/25/2024","12/25/2024","12/26/2024","12/27/2024","12/28/2024","12/29/2024","12/30/2024","31/25/2024","01/01/2024","01/02/2024","01/03/2024","01/04/2024","01/05/2024"}))</f>
        <v>#VALUE!</v>
      </c>
      <c r="Y257" s="1">
        <f>0</f>
        <v>0</v>
      </c>
      <c r="Z257" s="1">
        <f>0</f>
        <v>0</v>
      </c>
      <c r="AA257" s="1"/>
      <c r="AB257" s="5">
        <v>45434</v>
      </c>
      <c r="AC257" s="5"/>
      <c r="AD257" s="1">
        <f>0</f>
        <v>0</v>
      </c>
      <c r="AE257" s="1">
        <f>0</f>
        <v>0</v>
      </c>
      <c r="AF257" s="1">
        <f>0</f>
        <v>0</v>
      </c>
      <c r="AG257" s="1">
        <f>0</f>
        <v>0</v>
      </c>
      <c r="AH257" s="1" t="e">
        <f>ABS(NETWORKDAYS.INTL("05/22/2024", "08/05/24", 1, {"01/01/2024","01/15/2024","02/19/2024","05/27/2024","07/04/2024","09/02/2024","10/14/2024","11/11/2024","11/28/2024","12/25/2024","12/25/2024","12/26/2024","12/27/2024","12/28/2024","12/29/2024","12/30/2024","31/25/2024","01/01/2024","01/02/2024","01/03/2024","01/04/2024","01/05/2024"}))</f>
        <v>#VALUE!</v>
      </c>
      <c r="AI257" s="1">
        <f>0</f>
        <v>0</v>
      </c>
      <c r="AJ257" s="1"/>
      <c r="AK257" s="1"/>
      <c r="AL257" s="1" t="b">
        <v>1</v>
      </c>
      <c r="AM257" s="1"/>
      <c r="AN257" s="1"/>
      <c r="AO257" s="1"/>
      <c r="AP257" s="1"/>
      <c r="AQ257" s="1"/>
      <c r="AR257" s="1"/>
      <c r="AS257" s="1"/>
      <c r="AT257" s="1"/>
      <c r="AU257" s="1"/>
      <c r="AV257" s="1"/>
      <c r="AW257" s="1"/>
      <c r="AX257" s="1"/>
      <c r="AY257" s="1"/>
      <c r="AZ257" s="1"/>
    </row>
    <row r="258" spans="1:52" ht="15" customHeight="1" x14ac:dyDescent="0.35">
      <c r="A258" s="1" t="s">
        <v>1227</v>
      </c>
      <c r="B258" s="1" t="s">
        <v>514</v>
      </c>
      <c r="C258" s="1" t="s">
        <v>988</v>
      </c>
      <c r="D258" s="1" t="s">
        <v>1228</v>
      </c>
      <c r="E258" s="1" t="s">
        <v>1143</v>
      </c>
      <c r="F258" s="9" t="s">
        <v>1229</v>
      </c>
      <c r="G258" s="1" t="s">
        <v>463</v>
      </c>
      <c r="H2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58" s="11" t="e">
        <f>ABS(NETWORKDAYS.INTL("05/09/2024", "05/10/2024", 1, {"01/01/2024","01/15/2024","02/19/2024","05/27/2024","07/04/2024","09/02/2024","10/14/2024","11/11/2024","11/28/2024","12/25/2024","12/25/2024","12/26/2024","12/27/2024","12/28/2024","12/29/2024","12/30/2024","31/25/2024","01/01/2024","01/02/2024","01/03/2024","01/04/2024","01/05/2024"}))</f>
        <v>#VALUE!</v>
      </c>
      <c r="J258" s="1">
        <f>0</f>
        <v>0</v>
      </c>
      <c r="K258" s="1"/>
      <c r="L258" s="1">
        <v>1</v>
      </c>
      <c r="M258" s="1" t="e">
        <f>ABS(NETWORKDAYS.INTL("05/10/2024", "05/11/2024", 1, {"01/01/2024","01/15/2024","02/19/2024","05/27/2024","07/04/2024","09/02/2024","10/14/2024","11/11/2024","11/28/2024","12/25/2024","12/25/2024","12/26/2024","12/27/2024","12/28/2024","12/29/2024","12/30/2024","31/25/2024","01/01/2024","01/02/2024","01/03/2024","01/04/2024","01/05/2024"}))</f>
        <v>#VALUE!</v>
      </c>
      <c r="N258" s="1">
        <f>0</f>
        <v>0</v>
      </c>
      <c r="O258" s="1">
        <f>0</f>
        <v>0</v>
      </c>
      <c r="P258" s="1"/>
      <c r="Q258" s="1">
        <v>0</v>
      </c>
      <c r="R258" s="1">
        <v>0</v>
      </c>
      <c r="S258" s="1">
        <f>0</f>
        <v>0</v>
      </c>
      <c r="T258" s="1">
        <f>0</f>
        <v>0</v>
      </c>
      <c r="U258" s="1"/>
      <c r="V258" s="1">
        <v>1</v>
      </c>
      <c r="W258" s="1">
        <v>1</v>
      </c>
      <c r="X258" s="1" t="e">
        <f>ABS(NETWORKDAYS.INTL("05/15/2024", "05/20/2024", 1, {"01/01/2024","01/15/2024","02/19/2024","05/27/2024","07/04/2024","09/02/2024","10/14/2024","11/11/2024","11/28/2024","12/25/2024","12/25/2024","12/26/2024","12/27/2024","12/28/2024","12/29/2024","12/30/2024","31/25/2024","01/01/2024","01/02/2024","01/03/2024","01/04/2024","01/05/2024"}))</f>
        <v>#VALUE!</v>
      </c>
      <c r="Y258" s="1">
        <f>0</f>
        <v>0</v>
      </c>
      <c r="Z258" s="1">
        <f>0</f>
        <v>0</v>
      </c>
      <c r="AA258" s="1"/>
      <c r="AB258" s="5">
        <v>45432</v>
      </c>
      <c r="AC258" s="5">
        <v>45432</v>
      </c>
      <c r="AD258" s="1" t="e">
        <f>ABS(NETWORKDAYS.INTL("05/10/2024", "05/10/2024", 1, {"01/01/2024","01/15/2024","02/19/2024","05/27/2024","07/04/2024","09/02/2024","10/14/2024","11/11/2024","11/28/2024","12/25/2024","12/25/2024","12/26/2024","12/27/2024","12/28/2024","12/29/2024","12/30/2024","31/25/2024","01/01/2024","01/02/2024","01/03/2024","01/04/2024","01/05/2024"}))</f>
        <v>#VALUE!</v>
      </c>
      <c r="AE258" s="1">
        <f>0</f>
        <v>0</v>
      </c>
      <c r="AF258" s="1">
        <f>0</f>
        <v>0</v>
      </c>
      <c r="AG258" s="1" t="e">
        <f>ABS(NETWORKDAYS.INTL("05/15/2024", "08/05/24", 1, {"01/01/2024","01/15/2024","02/19/2024","05/27/2024","07/04/2024","09/02/2024","10/14/2024","11/11/2024","11/28/2024","12/25/2024","12/25/2024","12/26/2024","12/27/2024","12/28/2024","12/29/2024","12/30/2024","31/25/2024","01/01/2024","01/02/2024","01/03/2024","01/04/2024","01/05/2024"}))</f>
        <v>#VALUE!</v>
      </c>
      <c r="AH258" s="1" t="e">
        <f>ABS(NETWORKDAYS.INTL("05/15/2024", "05/15/2024", 1, {"01/01/2024","01/15/2024","02/19/2024","05/27/2024","07/04/2024","09/02/2024","10/14/2024","11/11/2024","11/28/2024","12/25/2024","12/25/2024","12/26/2024","12/27/2024","12/28/2024","12/29/2024","12/30/2024","31/25/2024","01/01/2024","01/02/2024","01/03/2024","01/04/2024","01/05/2024"}))</f>
        <v>#VALUE!</v>
      </c>
      <c r="AI258" s="1" t="e">
        <f>ABS(NETWORKDAYS.INTL("05/20/2024", "05/20/2024", 1, {"01/01/2024","01/15/2024","02/19/2024","05/27/2024","07/04/2024","09/02/2024","10/14/2024","11/11/2024","11/28/2024","12/25/2024","12/25/2024","12/26/2024","12/27/2024","12/28/2024","12/29/2024","12/30/2024","31/25/2024","01/01/2024","01/02/2024","01/03/2024","01/04/2024","01/05/2024"}))</f>
        <v>#VALUE!</v>
      </c>
      <c r="AJ258" s="1"/>
      <c r="AK258" s="1"/>
      <c r="AL258" s="1"/>
      <c r="AM258" s="1"/>
      <c r="AN258" s="1"/>
      <c r="AO258" s="1"/>
      <c r="AP258" s="1"/>
      <c r="AQ258" s="1"/>
      <c r="AR258" s="1"/>
      <c r="AS258" s="1"/>
      <c r="AT258" s="1"/>
      <c r="AU258" s="1"/>
      <c r="AV258" s="1"/>
      <c r="AW258" s="1"/>
      <c r="AX258" s="1"/>
      <c r="AY258" s="1"/>
      <c r="AZ258" s="1"/>
    </row>
    <row r="259" spans="1:52" ht="15" customHeight="1" x14ac:dyDescent="0.35">
      <c r="A259" s="1" t="s">
        <v>1230</v>
      </c>
      <c r="B259" s="1" t="s">
        <v>515</v>
      </c>
      <c r="C259" s="1" t="s">
        <v>1157</v>
      </c>
      <c r="D259" s="1" t="s">
        <v>1158</v>
      </c>
      <c r="E259" s="1" t="s">
        <v>1159</v>
      </c>
      <c r="F259" s="9" t="s">
        <v>1231</v>
      </c>
      <c r="G259" s="1" t="s">
        <v>463</v>
      </c>
      <c r="H2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59" s="11" t="e">
        <f>ABS(NETWORKDAYS.INTL("05/06/2024", "05/14/2024", 1, {"01/01/2024","01/15/2024","02/19/2024","05/27/2024","07/04/2024","09/02/2024","10/14/2024","11/11/2024","11/28/2024","12/25/2024","12/25/2024","12/26/2024","12/27/2024","12/28/2024","12/29/2024","12/30/2024","31/25/2024","01/01/2024","01/02/2024","01/03/2024","01/04/2024","01/05/2024"}))</f>
        <v>#VALUE!</v>
      </c>
      <c r="J259" s="1">
        <f>0</f>
        <v>0</v>
      </c>
      <c r="K259" s="1"/>
      <c r="L259" s="1">
        <v>1</v>
      </c>
      <c r="M259" s="1" t="e">
        <f>ABS(NETWORKDAYS.INTL("05/14/2024", "05/14/2024", 1, {"01/01/2024","01/15/2024","02/19/2024","05/27/2024","07/04/2024","09/02/2024","10/14/2024","11/11/2024","11/28/2024","12/25/2024","12/25/2024","12/26/2024","12/27/2024","12/28/2024","12/29/2024","12/30/2024","31/25/2024","01/01/2024","01/02/2024","01/03/2024","01/04/2024","01/05/2024"}))</f>
        <v>#VALUE!</v>
      </c>
      <c r="N259" s="1">
        <f>0</f>
        <v>0</v>
      </c>
      <c r="O259" s="1">
        <f>0</f>
        <v>0</v>
      </c>
      <c r="P259" s="1"/>
      <c r="Q259" s="1">
        <v>0</v>
      </c>
      <c r="R259" s="1">
        <v>1</v>
      </c>
      <c r="S259" s="1" t="e">
        <f>ABS(NETWORKDAYS.INTL("05/15/2024", "05/30/2024", 1, {"01/01/2024","01/15/2024","02/19/2024","05/27/2024","07/04/2024","09/02/2024","10/14/2024","11/11/2024","11/28/2024","12/25/2024","12/25/2024","12/26/2024","12/27/2024","12/28/2024","12/29/2024","12/30/2024","31/25/2024","01/01/2024","01/02/2024","01/03/2024","01/04/2024","01/05/2024"}))</f>
        <v>#VALUE!</v>
      </c>
      <c r="T259" s="1" t="e">
        <f>ABS(NETWORKDAYS.INTL("05/20/2024", "05/30/2024", 1, {"01/01/2024","01/15/2024","02/19/2024","05/27/2024","07/04/2024","09/02/2024","10/14/2024","11/11/2024","11/28/2024","12/25/2024","12/25/2024","12/26/2024","12/27/2024","12/28/2024","12/29/2024","12/30/2024","31/25/2024","01/01/2024","01/02/2024","01/03/2024","01/04/2024","01/05/2024"}))</f>
        <v>#VALUE!</v>
      </c>
      <c r="U259" s="1"/>
      <c r="V259" s="1">
        <v>3</v>
      </c>
      <c r="W259" s="1">
        <v>1</v>
      </c>
      <c r="X259" s="1" t="e">
        <f>ABS(NETWORKDAYS.INTL("06/05/2024", "07/18/2024", 1, {"01/01/2024","01/15/2024","02/19/2024","05/27/2024","07/04/2024","09/02/2024","10/14/2024","11/11/2024","11/28/2024","12/25/2024","12/25/2024","12/26/2024","12/27/2024","12/28/2024","12/29/2024","12/30/2024","31/25/2024","01/01/2024","01/02/2024","01/03/2024","01/04/2024","01/05/2024"}))</f>
        <v>#VALUE!</v>
      </c>
      <c r="Y259"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59" s="1" t="e">
        <f>ABS(NETWORKDAYS.INTL("06/05/2024", "06/11/2024", 1, {"01/01/2024","01/15/2024","02/19/2024","05/27/2024","07/04/2024","09/02/2024","10/14/2024","11/11/2024","11/28/2024","12/25/2024","12/25/2024","12/26/2024","12/27/2024","12/28/2024","12/29/2024","12/30/2024","31/25/2024","01/01/2024","01/02/2024","01/03/2024","01/04/2024","01/05/2024"}))</f>
        <v>#VALUE!</v>
      </c>
      <c r="AA259" s="1"/>
      <c r="AB259" s="5"/>
      <c r="AC259" s="5"/>
      <c r="AD259" s="1" t="e">
        <f>ABS(NETWORKDAYS.INTL("05/14/2024", "05/14/2024", 1, {"01/01/2024","01/15/2024","02/19/2024","05/27/2024","07/04/2024","09/02/2024","10/14/2024","11/11/2024","11/28/2024","12/25/2024","12/25/2024","12/26/2024","12/27/2024","12/28/2024","12/29/2024","12/30/2024","31/25/2024","01/01/2024","01/02/2024","01/03/2024","01/04/2024","01/05/2024"}))</f>
        <v>#VALUE!</v>
      </c>
      <c r="AE259" s="1">
        <f>0</f>
        <v>0</v>
      </c>
      <c r="AF259" s="1" t="e">
        <f>ABS(NETWORKDAYS.INTL("05/15/2024", "08/05/24", 1, {"01/01/2024","01/15/2024","02/19/2024","05/27/2024","07/04/2024","09/02/2024","10/14/2024","11/11/2024","11/28/2024","12/25/2024","12/25/2024","12/26/2024","12/27/2024","12/28/2024","12/29/2024","12/30/2024","31/25/2024","01/01/2024","01/02/2024","01/03/2024","01/04/2024","01/05/2024"}))</f>
        <v>#VALUE!</v>
      </c>
      <c r="AG259" s="1" t="e">
        <f>ABS(NETWORKDAYS.INTL("06/05/2024", "05/15/2024", 1, {"01/01/2024","01/15/2024","02/19/2024","05/27/2024","07/04/2024","09/02/2024","10/14/2024","11/11/2024","11/28/2024","12/25/2024","12/25/2024","12/26/2024","12/27/2024","12/28/2024","12/29/2024","12/30/2024","31/25/2024","01/01/2024","01/02/2024","01/03/2024","01/04/2024","01/05/2024"}))</f>
        <v>#VALUE!</v>
      </c>
      <c r="AH259" s="1" t="e">
        <f>ABS(NETWORKDAYS.INTL("06/05/2024", "06/05/2024", 1, {"01/01/2024","01/15/2024","02/19/2024","05/27/2024","07/04/2024","09/02/2024","10/14/2024","11/11/2024","11/28/2024","12/25/2024","12/25/2024","12/26/2024","12/27/2024","12/28/2024","12/29/2024","12/30/2024","31/25/2024","01/01/2024","01/02/2024","01/03/2024","01/04/2024","01/05/2024"}))</f>
        <v>#VALUE!</v>
      </c>
      <c r="AI259" s="1">
        <f>0</f>
        <v>0</v>
      </c>
      <c r="AJ259" s="1" t="b">
        <v>1</v>
      </c>
      <c r="AK259" s="1"/>
      <c r="AL259" s="1"/>
      <c r="AM259" s="1"/>
      <c r="AN259" s="1"/>
      <c r="AO259" s="1"/>
      <c r="AP259" s="1"/>
      <c r="AQ259" s="1"/>
      <c r="AR259" s="1"/>
      <c r="AS259" s="1"/>
      <c r="AT259" s="1"/>
      <c r="AU259" s="1"/>
      <c r="AV259" s="1"/>
      <c r="AW259" s="1"/>
      <c r="AX259" s="1"/>
      <c r="AY259" s="1"/>
      <c r="AZ259" s="1"/>
    </row>
    <row r="260" spans="1:52" ht="15" customHeight="1" x14ac:dyDescent="0.35">
      <c r="A260" s="1" t="s">
        <v>1232</v>
      </c>
      <c r="B260" s="1" t="s">
        <v>516</v>
      </c>
      <c r="C260" s="1" t="s">
        <v>1157</v>
      </c>
      <c r="D260" s="1" t="s">
        <v>1233</v>
      </c>
      <c r="E260" s="1" t="s">
        <v>1159</v>
      </c>
      <c r="F260" s="9" t="s">
        <v>1234</v>
      </c>
      <c r="G260" s="1" t="s">
        <v>463</v>
      </c>
      <c r="H2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0" s="11" t="e">
        <f>ABS(NETWORKDAYS.INTL("05/20/2024", "05/21/2024", 1, {"01/01/2024","01/15/2024","02/19/2024","05/27/2024","07/04/2024","09/02/2024","10/14/2024","11/11/2024","11/28/2024","12/25/2024","12/25/2024","12/26/2024","12/27/2024","12/28/2024","12/29/2024","12/30/2024","31/25/2024","01/01/2024","01/02/2024","01/03/2024","01/04/2024","01/05/2024"}))</f>
        <v>#VALUE!</v>
      </c>
      <c r="J260" s="1">
        <f>0</f>
        <v>0</v>
      </c>
      <c r="K260" s="1"/>
      <c r="L260" s="1">
        <v>1</v>
      </c>
      <c r="M260" s="1" t="e">
        <f>ABS(NETWORKDAYS.INTL("05/22/2024", "05/22/2024", 1, {"01/01/2024","01/15/2024","02/19/2024","05/27/2024","07/04/2024","09/02/2024","10/14/2024","11/11/2024","11/28/2024","12/25/2024","12/25/2024","12/26/2024","12/27/2024","12/28/2024","12/29/2024","12/30/2024","31/25/2024","01/01/2024","01/02/2024","01/03/2024","01/04/2024","01/05/2024"}))</f>
        <v>#VALUE!</v>
      </c>
      <c r="N260" s="1">
        <f>0</f>
        <v>0</v>
      </c>
      <c r="O260" s="1">
        <f>0</f>
        <v>0</v>
      </c>
      <c r="P260" s="1"/>
      <c r="Q260" s="1">
        <v>0</v>
      </c>
      <c r="R260" s="1">
        <v>1</v>
      </c>
      <c r="S260" s="1" t="e">
        <f>ABS(NETWORKDAYS.INTL("05/24/2024", "05/24/2024", 1, {"01/01/2024","01/15/2024","02/19/2024","05/27/2024","07/04/2024","09/02/2024","10/14/2024","11/11/2024","11/28/2024","12/25/2024","12/25/2024","12/26/2024","12/27/2024","12/28/2024","12/29/2024","12/30/2024","31/25/2024","01/01/2024","01/02/2024","01/03/2024","01/04/2024","01/05/2024"}))</f>
        <v>#VALUE!</v>
      </c>
      <c r="T260" s="1">
        <f>0</f>
        <v>0</v>
      </c>
      <c r="U260" s="1"/>
      <c r="V260" s="1">
        <v>3</v>
      </c>
      <c r="W260" s="1">
        <v>2</v>
      </c>
      <c r="X260" s="1" t="e">
        <f>ABS(NETWORKDAYS.INTL("06/05/2024", "06/11/2024", 1, {"01/01/2024","01/15/2024","02/19/2024","05/27/2024","07/04/2024","09/02/2024","10/14/2024","11/11/2024","11/28/2024","12/25/2024","12/25/2024","12/26/2024","12/27/2024","12/28/2024","12/29/2024","12/30/2024","31/25/2024","01/01/2024","01/02/2024","01/03/2024","01/04/2024","01/05/2024"})+NETWORKDAYS.INTL("06/19/2024", "08/05/24", 1, {"01/01/2024","01/15/2024","02/19/2024","05/27/2024","07/04/2024","09/02/2024","10/14/2024","11/11/2024","11/28/2024","12/25/2024","12/25/2024","12/26/2024","12/27/2024","12/28/2024","12/29/2024","12/30/2024","31/25/2024","01/01/2024","01/02/2024","01/03/2024","01/04/2024","01/05/2024"}))</f>
        <v>#VALUE!</v>
      </c>
      <c r="Y260"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NETWORKDAYS.INTL("07/17/2024", "07/17/2024", 1, {"01/01/2024","01/15/2024","02/19/2024","05/27/2024","07/04/2024","09/02/2024","10/14/2024","11/11/2024","11/28/2024","12/25/2024","12/25/2024","12/26/2024","12/27/2024","12/28/2024","12/29/2024","12/30/2024","31/25/2024","01/01/2024","01/02/2024","01/03/2024","01/04/2024","01/05/2024"}))</f>
        <v>#VALUE!</v>
      </c>
      <c r="Z260" s="1" t="e">
        <f>ABS(NETWORKDAYS.INTL("06/05/2024", "06/11/2024", 1, {"01/01/2024","01/15/2024","02/19/2024","05/27/2024","07/04/2024","09/02/2024","10/14/2024","11/11/2024","11/28/2024","12/25/2024","12/25/2024","12/26/2024","12/27/2024","12/28/2024","12/29/2024","12/30/2024","31/25/2024","01/01/2024","01/02/2024","01/03/2024","01/04/2024","01/05/2024"}))</f>
        <v>#VALUE!</v>
      </c>
      <c r="AA260" s="1"/>
      <c r="AB260" s="5">
        <v>45491</v>
      </c>
      <c r="AC260" s="5"/>
      <c r="AD260" s="1" t="e">
        <f>ABS(NETWORKDAYS.INTL("05/22/2024", "05/21/2024", 1, {"01/01/2024","01/15/2024","02/19/2024","05/27/2024","07/04/2024","09/02/2024","10/14/2024","11/11/2024","11/28/2024","12/25/2024","12/25/2024","12/26/2024","12/27/2024","12/28/2024","12/29/2024","12/30/2024","31/25/2024","01/01/2024","01/02/2024","01/03/2024","01/04/2024","01/05/2024"}))</f>
        <v>#VALUE!</v>
      </c>
      <c r="AE260" s="1">
        <f>0</f>
        <v>0</v>
      </c>
      <c r="AF260" s="1" t="e">
        <f>ABS(NETWORKDAYS.INTL("05/23/2024", "08/05/24", 1, {"01/01/2024","01/15/2024","02/19/2024","05/27/2024","07/04/2024","09/02/2024","10/14/2024","11/11/2024","11/28/2024","12/25/2024","12/25/2024","12/26/2024","12/27/2024","12/28/2024","12/29/2024","12/30/2024","31/25/2024","01/01/2024","01/02/2024","01/03/2024","01/04/2024","01/05/2024"}))</f>
        <v>#VALUE!</v>
      </c>
      <c r="AG260" s="1" t="e">
        <f>ABS(NETWORKDAYS.INTL("06/05/2024", "05/23/2024", 1, {"01/01/2024","01/15/2024","02/19/2024","05/27/2024","07/04/2024","09/02/2024","10/14/2024","11/11/2024","11/28/2024","12/25/2024","12/25/2024","12/26/2024","12/27/2024","12/28/2024","12/29/2024","12/30/2024","31/25/2024","01/01/2024","01/02/2024","01/03/2024","01/04/2024","01/05/2024"}))</f>
        <v>#VALUE!</v>
      </c>
      <c r="AH260" s="1" t="e">
        <f>ABS(NETWORKDAYS.INTL("06/05/2024", "06/05/2024", 1, {"01/01/2024","01/15/2024","02/19/2024","05/27/2024","07/04/2024","09/02/2024","10/14/2024","11/11/2024","11/28/2024","12/25/2024","12/25/2024","12/26/2024","12/27/2024","12/28/2024","12/29/2024","12/30/2024","31/25/2024","01/01/2024","01/02/2024","01/03/2024","01/04/2024","01/05/2024"}))</f>
        <v>#VALUE!</v>
      </c>
      <c r="AI260" s="1">
        <f>0</f>
        <v>0</v>
      </c>
      <c r="AJ260" s="1" t="b">
        <v>1</v>
      </c>
      <c r="AK260" s="1"/>
      <c r="AL260" s="1"/>
      <c r="AM260" s="1"/>
      <c r="AN260" s="1"/>
      <c r="AO260" s="1"/>
      <c r="AP260" s="1"/>
      <c r="AQ260" s="1"/>
      <c r="AR260" s="1"/>
      <c r="AS260" s="1"/>
      <c r="AT260" s="1"/>
      <c r="AU260" s="1"/>
      <c r="AV260" s="1"/>
      <c r="AW260" s="1"/>
      <c r="AX260" s="1"/>
      <c r="AY260" s="1"/>
      <c r="AZ260" s="1"/>
    </row>
    <row r="261" spans="1:52" ht="15" customHeight="1" x14ac:dyDescent="0.35">
      <c r="A261" s="1" t="s">
        <v>1235</v>
      </c>
      <c r="B261" s="1" t="s">
        <v>517</v>
      </c>
      <c r="C261" s="1" t="s">
        <v>1157</v>
      </c>
      <c r="D261" s="1" t="s">
        <v>1233</v>
      </c>
      <c r="E261" s="1" t="s">
        <v>1159</v>
      </c>
      <c r="F261" s="9" t="s">
        <v>1236</v>
      </c>
      <c r="G261" s="1" t="s">
        <v>463</v>
      </c>
      <c r="H2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1" s="11" t="e">
        <f>ABS(NETWORKDAYS.INTL("05/20/2024", "05/21/2024", 1, {"01/01/2024","01/15/2024","02/19/2024","05/27/2024","07/04/2024","09/02/2024","10/14/2024","11/11/2024","11/28/2024","12/25/2024","12/25/2024","12/26/2024","12/27/2024","12/28/2024","12/29/2024","12/30/2024","31/25/2024","01/01/2024","01/02/2024","01/03/2024","01/04/2024","01/05/2024"}))</f>
        <v>#VALUE!</v>
      </c>
      <c r="J261" s="1">
        <f>0</f>
        <v>0</v>
      </c>
      <c r="K261" s="1"/>
      <c r="L261" s="1">
        <v>1</v>
      </c>
      <c r="M261" s="1" t="e">
        <f>ABS(NETWORKDAYS.INTL("05/22/2024", "05/22/2024", 1, {"01/01/2024","01/15/2024","02/19/2024","05/27/2024","07/04/2024","09/02/2024","10/14/2024","11/11/2024","11/28/2024","12/25/2024","12/25/2024","12/26/2024","12/27/2024","12/28/2024","12/29/2024","12/30/2024","31/25/2024","01/01/2024","01/02/2024","01/03/2024","01/04/2024","01/05/2024"}))</f>
        <v>#VALUE!</v>
      </c>
      <c r="N261" s="1">
        <f>0</f>
        <v>0</v>
      </c>
      <c r="O261" s="1">
        <f>0</f>
        <v>0</v>
      </c>
      <c r="P261" s="1"/>
      <c r="Q261" s="1">
        <v>0</v>
      </c>
      <c r="R261" s="1">
        <v>1</v>
      </c>
      <c r="S261" s="1" t="e">
        <f>ABS(NETWORKDAYS.INTL("05/24/2024", "05/24/2024", 1, {"01/01/2024","01/15/2024","02/19/2024","05/27/2024","07/04/2024","09/02/2024","10/14/2024","11/11/2024","11/28/2024","12/25/2024","12/25/2024","12/26/2024","12/27/2024","12/28/2024","12/29/2024","12/30/2024","31/25/2024","01/01/2024","01/02/2024","01/03/2024","01/04/2024","01/05/2024"}))</f>
        <v>#VALUE!</v>
      </c>
      <c r="T261" s="1">
        <f>0</f>
        <v>0</v>
      </c>
      <c r="U261" s="1"/>
      <c r="V261" s="1">
        <v>3</v>
      </c>
      <c r="W261" s="1">
        <v>2</v>
      </c>
      <c r="X261" s="1" t="e">
        <f>ABS(NETWORKDAYS.INTL("06/05/2024", "06/11/2024", 1, {"01/01/2024","01/15/2024","02/19/2024","05/27/2024","07/04/2024","09/02/2024","10/14/2024","11/11/2024","11/28/2024","12/25/2024","12/25/2024","12/26/2024","12/27/2024","12/28/2024","12/29/2024","12/30/2024","31/25/2024","01/01/2024","01/02/2024","01/03/2024","01/04/2024","01/05/2024"})+NETWORKDAYS.INTL("06/19/2024", "08/05/24", 1, {"01/01/2024","01/15/2024","02/19/2024","05/27/2024","07/04/2024","09/02/2024","10/14/2024","11/11/2024","11/28/2024","12/25/2024","12/25/2024","12/26/2024","12/27/2024","12/28/2024","12/29/2024","12/30/2024","31/25/2024","01/01/2024","01/02/2024","01/03/2024","01/04/2024","01/05/2024"}))</f>
        <v>#VALUE!</v>
      </c>
      <c r="Y261"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NETWORKDAYS.INTL("07/17/2024", "07/17/2024", 1, {"01/01/2024","01/15/2024","02/19/2024","05/27/2024","07/04/2024","09/02/2024","10/14/2024","11/11/2024","11/28/2024","12/25/2024","12/25/2024","12/26/2024","12/27/2024","12/28/2024","12/29/2024","12/30/2024","31/25/2024","01/01/2024","01/02/2024","01/03/2024","01/04/2024","01/05/2024"}))</f>
        <v>#VALUE!</v>
      </c>
      <c r="Z261" s="1" t="e">
        <f>ABS(NETWORKDAYS.INTL("06/05/2024", "06/11/2024", 1, {"01/01/2024","01/15/2024","02/19/2024","05/27/2024","07/04/2024","09/02/2024","10/14/2024","11/11/2024","11/28/2024","12/25/2024","12/25/2024","12/26/2024","12/27/2024","12/28/2024","12/29/2024","12/30/2024","31/25/2024","01/01/2024","01/02/2024","01/03/2024","01/04/2024","01/05/2024"}))</f>
        <v>#VALUE!</v>
      </c>
      <c r="AA261" s="1"/>
      <c r="AB261" s="5">
        <v>45491</v>
      </c>
      <c r="AC261" s="5"/>
      <c r="AD261" s="1" t="e">
        <f>ABS(NETWORKDAYS.INTL("05/22/2024", "05/21/2024", 1, {"01/01/2024","01/15/2024","02/19/2024","05/27/2024","07/04/2024","09/02/2024","10/14/2024","11/11/2024","11/28/2024","12/25/2024","12/25/2024","12/26/2024","12/27/2024","12/28/2024","12/29/2024","12/30/2024","31/25/2024","01/01/2024","01/02/2024","01/03/2024","01/04/2024","01/05/2024"}))</f>
        <v>#VALUE!</v>
      </c>
      <c r="AE261" s="1">
        <f>0</f>
        <v>0</v>
      </c>
      <c r="AF261" s="1" t="e">
        <f>ABS(NETWORKDAYS.INTL("05/23/2024", "08/05/24", 1, {"01/01/2024","01/15/2024","02/19/2024","05/27/2024","07/04/2024","09/02/2024","10/14/2024","11/11/2024","11/28/2024","12/25/2024","12/25/2024","12/26/2024","12/27/2024","12/28/2024","12/29/2024","12/30/2024","31/25/2024","01/01/2024","01/02/2024","01/03/2024","01/04/2024","01/05/2024"}))</f>
        <v>#VALUE!</v>
      </c>
      <c r="AG261" s="1" t="e">
        <f>ABS(NETWORKDAYS.INTL("06/05/2024", "05/23/2024", 1, {"01/01/2024","01/15/2024","02/19/2024","05/27/2024","07/04/2024","09/02/2024","10/14/2024","11/11/2024","11/28/2024","12/25/2024","12/25/2024","12/26/2024","12/27/2024","12/28/2024","12/29/2024","12/30/2024","31/25/2024","01/01/2024","01/02/2024","01/03/2024","01/04/2024","01/05/2024"}))</f>
        <v>#VALUE!</v>
      </c>
      <c r="AH261" s="1" t="e">
        <f>ABS(NETWORKDAYS.INTL("06/05/2024", "06/05/2024", 1, {"01/01/2024","01/15/2024","02/19/2024","05/27/2024","07/04/2024","09/02/2024","10/14/2024","11/11/2024","11/28/2024","12/25/2024","12/25/2024","12/26/2024","12/27/2024","12/28/2024","12/29/2024","12/30/2024","31/25/2024","01/01/2024","01/02/2024","01/03/2024","01/04/2024","01/05/2024"}))</f>
        <v>#VALUE!</v>
      </c>
      <c r="AI261" s="1">
        <f>0</f>
        <v>0</v>
      </c>
      <c r="AJ261" s="1" t="b">
        <v>1</v>
      </c>
      <c r="AK261" s="1"/>
      <c r="AL261" s="1"/>
      <c r="AM261" s="1"/>
      <c r="AN261" s="1"/>
      <c r="AO261" s="1"/>
      <c r="AP261" s="1"/>
      <c r="AQ261" s="1"/>
      <c r="AR261" s="1"/>
      <c r="AS261" s="1"/>
      <c r="AT261" s="1"/>
      <c r="AU261" s="1"/>
      <c r="AV261" s="1"/>
      <c r="AW261" s="1"/>
      <c r="AX261" s="1"/>
      <c r="AY261" s="1"/>
      <c r="AZ261" s="1"/>
    </row>
    <row r="262" spans="1:52" ht="15" customHeight="1" x14ac:dyDescent="0.35">
      <c r="A262" s="1" t="s">
        <v>1237</v>
      </c>
      <c r="B262" s="1" t="s">
        <v>518</v>
      </c>
      <c r="C262" s="1" t="s">
        <v>1157</v>
      </c>
      <c r="D262" s="1" t="s">
        <v>1158</v>
      </c>
      <c r="E262" s="1" t="s">
        <v>1159</v>
      </c>
      <c r="F262" s="9" t="s">
        <v>1238</v>
      </c>
      <c r="G262" s="1" t="s">
        <v>463</v>
      </c>
      <c r="H2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2" s="11" t="e">
        <f>ABS(NETWORKDAYS.INTL("05/24/2024", "05/29/2024", 1, {"01/01/2024","01/15/2024","02/19/2024","05/27/2024","07/04/2024","09/02/2024","10/14/2024","11/11/2024","11/28/2024","12/25/2024","12/25/2024","12/26/2024","12/27/2024","12/28/2024","12/29/2024","12/30/2024","31/25/2024","01/01/2024","01/02/2024","01/03/2024","01/04/2024","01/05/2024"}))</f>
        <v>#VALUE!</v>
      </c>
      <c r="J262" s="1">
        <f>0</f>
        <v>0</v>
      </c>
      <c r="K262" s="1"/>
      <c r="L262" s="1">
        <v>1</v>
      </c>
      <c r="M262" s="1" t="e">
        <f>ABS(NETWORKDAYS.INTL("05/29/2024", "05/29/2024", 1, {"01/01/2024","01/15/2024","02/19/2024","05/27/2024","07/04/2024","09/02/2024","10/14/2024","11/11/2024","11/28/2024","12/25/2024","12/25/2024","12/26/2024","12/27/2024","12/28/2024","12/29/2024","12/30/2024","31/25/2024","01/01/2024","01/02/2024","01/03/2024","01/04/2024","01/05/2024"}))</f>
        <v>#VALUE!</v>
      </c>
      <c r="N262" s="1">
        <f>0</f>
        <v>0</v>
      </c>
      <c r="O262" s="1">
        <f>0</f>
        <v>0</v>
      </c>
      <c r="P262" s="1"/>
      <c r="Q262" s="1">
        <v>0</v>
      </c>
      <c r="R262" s="1">
        <v>1</v>
      </c>
      <c r="S262" s="1" t="e">
        <f>ABS(NETWORKDAYS.INTL("06/03/2024", "06/03/2024", 1, {"01/01/2024","01/15/2024","02/19/2024","05/27/2024","07/04/2024","09/02/2024","10/14/2024","11/11/2024","11/28/2024","12/25/2024","12/25/2024","12/26/2024","12/27/2024","12/28/2024","12/29/2024","12/30/2024","31/25/2024","01/01/2024","01/02/2024","01/03/2024","01/04/2024","01/05/2024"}))</f>
        <v>#VALUE!</v>
      </c>
      <c r="T262" s="1">
        <f>0</f>
        <v>0</v>
      </c>
      <c r="U262" s="1"/>
      <c r="V262" s="1">
        <v>3</v>
      </c>
      <c r="W262" s="1">
        <v>2</v>
      </c>
      <c r="X262" s="1" t="e">
        <f>ABS(NETWORKDAYS.INTL("06/05/2024", "06/11/2024", 1, {"01/01/2024","01/15/2024","02/19/2024","05/27/2024","07/04/2024","09/02/2024","10/14/2024","11/11/2024","11/28/2024","12/25/2024","12/25/2024","12/26/2024","12/27/2024","12/28/2024","12/29/2024","12/30/2024","31/25/2024","01/01/2024","01/02/2024","01/03/2024","01/04/2024","01/05/2024"})+NETWORKDAYS.INTL("06/19/2024", "07/05/2024", 1, {"01/01/2024","01/15/2024","02/19/2024","05/27/2024","07/04/2024","09/02/2024","10/14/2024","11/11/2024","11/28/2024","12/25/2024","12/25/2024","12/26/2024","12/27/2024","12/28/2024","12/29/2024","12/30/2024","31/25/2024","01/01/2024","01/02/2024","01/03/2024","01/04/2024","01/05/2024"}))</f>
        <v>#VALUE!</v>
      </c>
      <c r="Y262"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NETWORKDAYS.INTL("07/17/2024", "07/17/2024", 1, {"01/01/2024","01/15/2024","02/19/2024","05/27/2024","07/04/2024","09/02/2024","10/14/2024","11/11/2024","11/28/2024","12/25/2024","12/25/2024","12/26/2024","12/27/2024","12/28/2024","12/29/2024","12/30/2024","31/25/2024","01/01/2024","01/02/2024","01/03/2024","01/04/2024","01/05/2024"}))</f>
        <v>#VALUE!</v>
      </c>
      <c r="Z262" s="1">
        <f>0</f>
        <v>0</v>
      </c>
      <c r="AA262" s="1"/>
      <c r="AB262" s="5">
        <v>45501</v>
      </c>
      <c r="AC262" s="5"/>
      <c r="AD262" s="1" t="e">
        <f>ABS(NETWORKDAYS.INTL("05/29/2024", "05/29/2024", 1, {"01/01/2024","01/15/2024","02/19/2024","05/27/2024","07/04/2024","09/02/2024","10/14/2024","11/11/2024","11/28/2024","12/25/2024","12/25/2024","12/26/2024","12/27/2024","12/28/2024","12/29/2024","12/30/2024","31/25/2024","01/01/2024","01/02/2024","01/03/2024","01/04/2024","01/05/2024"}))</f>
        <v>#VALUE!</v>
      </c>
      <c r="AE262" s="1">
        <f>0</f>
        <v>0</v>
      </c>
      <c r="AF262" s="1" t="e">
        <f>ABS(NETWORKDAYS.INTL("05/31/2024", "08/05/24", 1, {"01/01/2024","01/15/2024","02/19/2024","05/27/2024","07/04/2024","09/02/2024","10/14/2024","11/11/2024","11/28/2024","12/25/2024","12/25/2024","12/26/2024","12/27/2024","12/28/2024","12/29/2024","12/30/2024","31/25/2024","01/01/2024","01/02/2024","01/03/2024","01/04/2024","01/05/2024"}))</f>
        <v>#VALUE!</v>
      </c>
      <c r="AG262" s="1" t="e">
        <f>ABS(NETWORKDAYS.INTL("06/05/2024", "05/31/2024", 1, {"01/01/2024","01/15/2024","02/19/2024","05/27/2024","07/04/2024","09/02/2024","10/14/2024","11/11/2024","11/28/2024","12/25/2024","12/25/2024","12/26/2024","12/27/2024","12/28/2024","12/29/2024","12/30/2024","31/25/2024","01/01/2024","01/02/2024","01/03/2024","01/04/2024","01/05/2024"}))</f>
        <v>#VALUE!</v>
      </c>
      <c r="AH262" s="1" t="e">
        <f>ABS(NETWORKDAYS.INTL("06/05/2024", "06/05/2024", 1, {"01/01/2024","01/15/2024","02/19/2024","05/27/2024","07/04/2024","09/02/2024","10/14/2024","11/11/2024","11/28/2024","12/25/2024","12/25/2024","12/26/2024","12/27/2024","12/28/2024","12/29/2024","12/30/2024","31/25/2024","01/01/2024","01/02/2024","01/03/2024","01/04/2024","01/05/2024"}))</f>
        <v>#VALUE!</v>
      </c>
      <c r="AI262" s="1">
        <f>0</f>
        <v>0</v>
      </c>
      <c r="AJ262" s="1" t="b">
        <v>1</v>
      </c>
      <c r="AK262" s="1"/>
      <c r="AL262" s="1"/>
      <c r="AM262" s="1"/>
      <c r="AN262" s="1"/>
      <c r="AO262" s="1"/>
      <c r="AP262" s="1"/>
      <c r="AQ262" s="1"/>
      <c r="AR262" s="1"/>
      <c r="AS262" s="1"/>
      <c r="AT262" s="1"/>
      <c r="AU262" s="1"/>
      <c r="AV262" s="1"/>
      <c r="AW262" s="1"/>
      <c r="AX262" s="1"/>
      <c r="AY262" s="1"/>
      <c r="AZ262" s="1"/>
    </row>
    <row r="263" spans="1:52" ht="15" customHeight="1" x14ac:dyDescent="0.35">
      <c r="A263" s="1" t="s">
        <v>1239</v>
      </c>
      <c r="B263" s="1" t="s">
        <v>519</v>
      </c>
      <c r="C263" s="1" t="s">
        <v>1157</v>
      </c>
      <c r="D263" s="1" t="s">
        <v>1233</v>
      </c>
      <c r="E263" s="1" t="s">
        <v>1159</v>
      </c>
      <c r="F263" s="9" t="s">
        <v>1240</v>
      </c>
      <c r="G263" s="1" t="s">
        <v>463</v>
      </c>
      <c r="H2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3" s="11" t="e">
        <f>ABS(NETWORKDAYS.INTL("05/20/2024", "05/21/2024", 1, {"01/01/2024","01/15/2024","02/19/2024","05/27/2024","07/04/2024","09/02/2024","10/14/2024","11/11/2024","11/28/2024","12/25/2024","12/25/2024","12/26/2024","12/27/2024","12/28/2024","12/29/2024","12/30/2024","31/25/2024","01/01/2024","01/02/2024","01/03/2024","01/04/2024","01/05/2024"}))</f>
        <v>#VALUE!</v>
      </c>
      <c r="J263" s="1">
        <f>0</f>
        <v>0</v>
      </c>
      <c r="K263" s="1"/>
      <c r="L263" s="1">
        <v>1</v>
      </c>
      <c r="M263" s="1" t="e">
        <f>ABS(NETWORKDAYS.INTL("05/22/2024", "05/22/2024", 1, {"01/01/2024","01/15/2024","02/19/2024","05/27/2024","07/04/2024","09/02/2024","10/14/2024","11/11/2024","11/28/2024","12/25/2024","12/25/2024","12/26/2024","12/27/2024","12/28/2024","12/29/2024","12/30/2024","31/25/2024","01/01/2024","01/02/2024","01/03/2024","01/04/2024","01/05/2024"}))</f>
        <v>#VALUE!</v>
      </c>
      <c r="N263" s="1">
        <f>0</f>
        <v>0</v>
      </c>
      <c r="O263" s="1">
        <f>0</f>
        <v>0</v>
      </c>
      <c r="P263" s="1"/>
      <c r="Q263" s="1">
        <v>0</v>
      </c>
      <c r="R263" s="1">
        <v>1</v>
      </c>
      <c r="S263" s="1" t="e">
        <f>ABS(NETWORKDAYS.INTL("05/24/2024", "05/28/2024", 1, {"01/01/2024","01/15/2024","02/19/2024","05/27/2024","07/04/2024","09/02/2024","10/14/2024","11/11/2024","11/28/2024","12/25/2024","12/25/2024","12/26/2024","12/27/2024","12/28/2024","12/29/2024","12/30/2024","31/25/2024","01/01/2024","01/02/2024","01/03/2024","01/04/2024","01/05/2024"}))</f>
        <v>#VALUE!</v>
      </c>
      <c r="T263" s="1">
        <f>0</f>
        <v>0</v>
      </c>
      <c r="U263" s="1"/>
      <c r="V263" s="1">
        <v>3</v>
      </c>
      <c r="W263" s="1">
        <v>2</v>
      </c>
      <c r="X263" s="1" t="e">
        <f>ABS(NETWORKDAYS.INTL("06/05/2024", "06/11/2024", 1, {"01/01/2024","01/15/2024","02/19/2024","05/27/2024","07/04/2024","09/02/2024","10/14/2024","11/11/2024","11/28/2024","12/25/2024","12/25/2024","12/26/2024","12/27/2024","12/28/2024","12/29/2024","12/30/2024","31/25/2024","01/01/2024","01/02/2024","01/03/2024","01/04/2024","01/05/2024"})+NETWORKDAYS.INTL("06/19/2024", "08/05/24", 1, {"01/01/2024","01/15/2024","02/19/2024","05/27/2024","07/04/2024","09/02/2024","10/14/2024","11/11/2024","11/28/2024","12/25/2024","12/25/2024","12/26/2024","12/27/2024","12/28/2024","12/29/2024","12/30/2024","31/25/2024","01/01/2024","01/02/2024","01/03/2024","01/04/2024","01/05/2024"}))</f>
        <v>#VALUE!</v>
      </c>
      <c r="Y263"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NETWORKDAYS.INTL("07/17/2024", "07/17/2024", 1, {"01/01/2024","01/15/2024","02/19/2024","05/27/2024","07/04/2024","09/02/2024","10/14/2024","11/11/2024","11/28/2024","12/25/2024","12/25/2024","12/26/2024","12/27/2024","12/28/2024","12/29/2024","12/30/2024","31/25/2024","01/01/2024","01/02/2024","01/03/2024","01/04/2024","01/05/2024"}))</f>
        <v>#VALUE!</v>
      </c>
      <c r="Z263" s="1">
        <f>0</f>
        <v>0</v>
      </c>
      <c r="AA263" s="1"/>
      <c r="AB263" s="5"/>
      <c r="AC263" s="5"/>
      <c r="AD263" s="1" t="e">
        <f>ABS(NETWORKDAYS.INTL("05/22/2024", "05/21/2024", 1, {"01/01/2024","01/15/2024","02/19/2024","05/27/2024","07/04/2024","09/02/2024","10/14/2024","11/11/2024","11/28/2024","12/25/2024","12/25/2024","12/26/2024","12/27/2024","12/28/2024","12/29/2024","12/30/2024","31/25/2024","01/01/2024","01/02/2024","01/03/2024","01/04/2024","01/05/2024"}))</f>
        <v>#VALUE!</v>
      </c>
      <c r="AE263" s="1">
        <f>0</f>
        <v>0</v>
      </c>
      <c r="AF263" s="1" t="e">
        <f>ABS(NETWORKDAYS.INTL("05/23/2024", "08/05/24", 1, {"01/01/2024","01/15/2024","02/19/2024","05/27/2024","07/04/2024","09/02/2024","10/14/2024","11/11/2024","11/28/2024","12/25/2024","12/25/2024","12/26/2024","12/27/2024","12/28/2024","12/29/2024","12/30/2024","31/25/2024","01/01/2024","01/02/2024","01/03/2024","01/04/2024","01/05/2024"}))</f>
        <v>#VALUE!</v>
      </c>
      <c r="AG263" s="1" t="e">
        <f>ABS(NETWORKDAYS.INTL("06/05/2024", "05/23/2024", 1, {"01/01/2024","01/15/2024","02/19/2024","05/27/2024","07/04/2024","09/02/2024","10/14/2024","11/11/2024","11/28/2024","12/25/2024","12/25/2024","12/26/2024","12/27/2024","12/28/2024","12/29/2024","12/30/2024","31/25/2024","01/01/2024","01/02/2024","01/03/2024","01/04/2024","01/05/2024"}))</f>
        <v>#VALUE!</v>
      </c>
      <c r="AH263" s="1" t="e">
        <f>ABS(NETWORKDAYS.INTL("06/05/2024", "06/05/2024", 1, {"01/01/2024","01/15/2024","02/19/2024","05/27/2024","07/04/2024","09/02/2024","10/14/2024","11/11/2024","11/28/2024","12/25/2024","12/25/2024","12/26/2024","12/27/2024","12/28/2024","12/29/2024","12/30/2024","31/25/2024","01/01/2024","01/02/2024","01/03/2024","01/04/2024","01/05/2024"}))</f>
        <v>#VALUE!</v>
      </c>
      <c r="AI263" s="1">
        <f>0</f>
        <v>0</v>
      </c>
      <c r="AJ263" s="1" t="b">
        <v>1</v>
      </c>
      <c r="AK263" s="1"/>
      <c r="AL263" s="1"/>
      <c r="AM263" s="1"/>
      <c r="AN263" s="1"/>
      <c r="AO263" s="1"/>
      <c r="AP263" s="1"/>
      <c r="AQ263" s="1"/>
      <c r="AR263" s="1"/>
      <c r="AS263" s="1"/>
      <c r="AT263" s="1"/>
      <c r="AU263" s="1"/>
      <c r="AV263" s="1"/>
      <c r="AW263" s="1"/>
      <c r="AX263" s="1"/>
      <c r="AY263" s="1"/>
      <c r="AZ263" s="1"/>
    </row>
    <row r="264" spans="1:52" ht="15" customHeight="1" x14ac:dyDescent="0.35">
      <c r="A264" s="1" t="s">
        <v>1241</v>
      </c>
      <c r="B264" s="1" t="s">
        <v>520</v>
      </c>
      <c r="C264" s="1" t="s">
        <v>1157</v>
      </c>
      <c r="D264" s="1" t="s">
        <v>1233</v>
      </c>
      <c r="E264" s="1" t="s">
        <v>1159</v>
      </c>
      <c r="F264" s="9" t="s">
        <v>1242</v>
      </c>
      <c r="G264" s="1" t="s">
        <v>463</v>
      </c>
      <c r="H2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4" s="11" t="e">
        <f>ABS(NETWORKDAYS.INTL("05/20/2024", "05/22/2024", 1, {"01/01/2024","01/15/2024","02/19/2024","05/27/2024","07/04/2024","09/02/2024","10/14/2024","11/11/2024","11/28/2024","12/25/2024","12/25/2024","12/26/2024","12/27/2024","12/28/2024","12/29/2024","12/30/2024","31/25/2024","01/01/2024","01/02/2024","01/03/2024","01/04/2024","01/05/2024"}))</f>
        <v>#VALUE!</v>
      </c>
      <c r="J264" s="1">
        <f>0</f>
        <v>0</v>
      </c>
      <c r="K264" s="1"/>
      <c r="L264" s="1">
        <v>1</v>
      </c>
      <c r="M264" s="1" t="e">
        <f>ABS(NETWORKDAYS.INTL("05/22/2024", "05/22/2024", 1, {"01/01/2024","01/15/2024","02/19/2024","05/27/2024","07/04/2024","09/02/2024","10/14/2024","11/11/2024","11/28/2024","12/25/2024","12/25/2024","12/26/2024","12/27/2024","12/28/2024","12/29/2024","12/30/2024","31/25/2024","01/01/2024","01/02/2024","01/03/2024","01/04/2024","01/05/2024"}))</f>
        <v>#VALUE!</v>
      </c>
      <c r="N264" s="1">
        <f>0</f>
        <v>0</v>
      </c>
      <c r="O264" s="1">
        <f>0</f>
        <v>0</v>
      </c>
      <c r="P264" s="1"/>
      <c r="Q264" s="1">
        <v>0</v>
      </c>
      <c r="R264" s="1">
        <v>1</v>
      </c>
      <c r="S264" s="1" t="e">
        <f>ABS(NETWORKDAYS.INTL("05/24/2024", "05/24/2024", 1, {"01/01/2024","01/15/2024","02/19/2024","05/27/2024","07/04/2024","09/02/2024","10/14/2024","11/11/2024","11/28/2024","12/25/2024","12/25/2024","12/26/2024","12/27/2024","12/28/2024","12/29/2024","12/30/2024","31/25/2024","01/01/2024","01/02/2024","01/03/2024","01/04/2024","01/05/2024"}))</f>
        <v>#VALUE!</v>
      </c>
      <c r="T264" s="1">
        <f>0</f>
        <v>0</v>
      </c>
      <c r="U264" s="1"/>
      <c r="V264" s="1">
        <v>3</v>
      </c>
      <c r="W264" s="1">
        <v>2</v>
      </c>
      <c r="X264" s="1" t="e">
        <f>ABS(NETWORKDAYS.INTL("06/05/2024", "06/11/2024", 1, {"01/01/2024","01/15/2024","02/19/2024","05/27/2024","07/04/2024","09/02/2024","10/14/2024","11/11/2024","11/28/2024","12/25/2024","12/25/2024","12/26/2024","12/27/2024","12/28/2024","12/29/2024","12/30/2024","31/25/2024","01/01/2024","01/02/2024","01/03/2024","01/04/2024","01/05/2024"})+NETWORKDAYS.INTL("06/19/2024", "06/20/2024", 1, {"01/01/2024","01/15/2024","02/19/2024","05/27/2024","07/04/2024","09/02/2024","10/14/2024","11/11/2024","11/28/2024","12/25/2024","12/25/2024","12/26/2024","12/27/2024","12/28/2024","12/29/2024","12/30/2024","31/25/2024","01/01/2024","01/02/2024","01/03/2024","01/04/2024","01/05/2024"}))</f>
        <v>#VALUE!</v>
      </c>
      <c r="Y264" s="1" t="e">
        <f>ABS(NETWORKDAYS.INTL("06/12/2024", "06/19/2024", 1, {"01/01/2024","01/15/2024","02/19/2024","05/27/2024","07/04/2024","09/02/2024","10/14/2024","11/11/2024","11/28/2024","12/25/2024","12/25/2024","12/26/2024","12/27/2024","12/28/2024","12/29/2024","12/30/2024","31/25/2024","01/01/2024","01/02/2024","01/03/2024","01/04/2024","01/05/2024"})+NETWORKDAYS.INTL("06/20/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NETWORKDAYS.INTL("07/17/2024", "07/17/2024", 1, {"01/01/2024","01/15/2024","02/19/2024","05/27/2024","07/04/2024","09/02/2024","10/14/2024","11/11/2024","11/28/2024","12/25/2024","12/25/2024","12/26/2024","12/27/2024","12/28/2024","12/29/2024","12/30/2024","31/25/2024","01/01/2024","01/02/2024","01/03/2024","01/04/2024","01/05/2024"}))</f>
        <v>#VALUE!</v>
      </c>
      <c r="Z264" s="1">
        <f>0</f>
        <v>0</v>
      </c>
      <c r="AA264" s="1"/>
      <c r="AB264" s="5"/>
      <c r="AC264" s="5"/>
      <c r="AD264" s="1" t="e">
        <f>ABS(NETWORKDAYS.INTL("05/22/2024", "05/22/2024", 1, {"01/01/2024","01/15/2024","02/19/2024","05/27/2024","07/04/2024","09/02/2024","10/14/2024","11/11/2024","11/28/2024","12/25/2024","12/25/2024","12/26/2024","12/27/2024","12/28/2024","12/29/2024","12/30/2024","31/25/2024","01/01/2024","01/02/2024","01/03/2024","01/04/2024","01/05/2024"}))</f>
        <v>#VALUE!</v>
      </c>
      <c r="AE264" s="1">
        <f>0</f>
        <v>0</v>
      </c>
      <c r="AF264" s="1" t="e">
        <f>ABS(NETWORKDAYS.INTL("05/23/2024", "08/05/24", 1, {"01/01/2024","01/15/2024","02/19/2024","05/27/2024","07/04/2024","09/02/2024","10/14/2024","11/11/2024","11/28/2024","12/25/2024","12/25/2024","12/26/2024","12/27/2024","12/28/2024","12/29/2024","12/30/2024","31/25/2024","01/01/2024","01/02/2024","01/03/2024","01/04/2024","01/05/2024"}))</f>
        <v>#VALUE!</v>
      </c>
      <c r="AG264" s="1" t="e">
        <f>ABS(NETWORKDAYS.INTL("05/28/2024", "05/23/2024", 1, {"01/01/2024","01/15/2024","02/19/2024","05/27/2024","07/04/2024","09/02/2024","10/14/2024","11/11/2024","11/28/2024","12/25/2024","12/25/2024","12/26/2024","12/27/2024","12/28/2024","12/29/2024","12/30/2024","31/25/2024","01/01/2024","01/02/2024","01/03/2024","01/04/2024","01/05/2024"}))</f>
        <v>#VALUE!</v>
      </c>
      <c r="AH264" s="1" t="e">
        <f>ABS(NETWORKDAYS.INTL("06/05/2024", "05/28/2024", 1, {"01/01/2024","01/15/2024","02/19/2024","05/27/2024","07/04/2024","09/02/2024","10/14/2024","11/11/2024","11/28/2024","12/25/2024","12/25/2024","12/26/2024","12/27/2024","12/28/2024","12/29/2024","12/30/2024","31/25/2024","01/01/2024","01/02/2024","01/03/2024","01/04/2024","01/05/2024"}))</f>
        <v>#VALUE!</v>
      </c>
      <c r="AI264" s="1">
        <f>0</f>
        <v>0</v>
      </c>
      <c r="AJ264" s="1" t="b">
        <v>1</v>
      </c>
      <c r="AK264" s="1"/>
      <c r="AL264" s="1"/>
      <c r="AM264" s="1"/>
      <c r="AN264" s="1"/>
      <c r="AO264" s="1"/>
      <c r="AP264" s="1"/>
      <c r="AQ264" s="1"/>
      <c r="AR264" s="1"/>
      <c r="AS264" s="1"/>
      <c r="AT264" s="1"/>
      <c r="AU264" s="1"/>
      <c r="AV264" s="1"/>
      <c r="AW264" s="1"/>
      <c r="AX264" s="1"/>
      <c r="AY264" s="1"/>
      <c r="AZ264" s="1"/>
    </row>
    <row r="265" spans="1:52" ht="15" customHeight="1" x14ac:dyDescent="0.35">
      <c r="A265" s="1" t="s">
        <v>1243</v>
      </c>
      <c r="B265" s="1" t="s">
        <v>521</v>
      </c>
      <c r="C265" s="1" t="s">
        <v>1157</v>
      </c>
      <c r="D265" s="1" t="s">
        <v>1233</v>
      </c>
      <c r="E265" s="1" t="s">
        <v>1159</v>
      </c>
      <c r="F265" s="9" t="s">
        <v>1244</v>
      </c>
      <c r="G265" s="1" t="s">
        <v>463</v>
      </c>
      <c r="H2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5" s="11" t="e">
        <f>ABS(NETWORKDAYS.INTL("05/06/2024", "05/14/2024", 1, {"01/01/2024","01/15/2024","02/19/2024","05/27/2024","07/04/2024","09/02/2024","10/14/2024","11/11/2024","11/28/2024","12/25/2024","12/25/2024","12/26/2024","12/27/2024","12/28/2024","12/29/2024","12/30/2024","31/25/2024","01/01/2024","01/02/2024","01/03/2024","01/04/2024","01/05/2024"}))</f>
        <v>#VALUE!</v>
      </c>
      <c r="J265" s="1">
        <f>0</f>
        <v>0</v>
      </c>
      <c r="K265" s="1"/>
      <c r="L265" s="1">
        <v>1</v>
      </c>
      <c r="M265" s="1" t="e">
        <f>ABS(NETWORKDAYS.INTL("05/14/2024", "05/14/2024", 1, {"01/01/2024","01/15/2024","02/19/2024","05/27/2024","07/04/2024","09/02/2024","10/14/2024","11/11/2024","11/28/2024","12/25/2024","12/25/2024","12/26/2024","12/27/2024","12/28/2024","12/29/2024","12/30/2024","31/25/2024","01/01/2024","01/02/2024","01/03/2024","01/04/2024","01/05/2024"}))</f>
        <v>#VALUE!</v>
      </c>
      <c r="N265" s="1">
        <f>0</f>
        <v>0</v>
      </c>
      <c r="O265" s="1">
        <f>0</f>
        <v>0</v>
      </c>
      <c r="P265" s="1"/>
      <c r="Q265" s="1">
        <v>0</v>
      </c>
      <c r="R265" s="1">
        <v>1</v>
      </c>
      <c r="S265" s="1" t="e">
        <f>ABS(NETWORKDAYS.INTL("05/24/2024", "05/28/2024", 1, {"01/01/2024","01/15/2024","02/19/2024","05/27/2024","07/04/2024","09/02/2024","10/14/2024","11/11/2024","11/28/2024","12/25/2024","12/25/2024","12/26/2024","12/27/2024","12/28/2024","12/29/2024","12/30/2024","31/25/2024","01/01/2024","01/02/2024","01/03/2024","01/04/2024","01/05/2024"}))</f>
        <v>#VALUE!</v>
      </c>
      <c r="T265" s="1">
        <f>0</f>
        <v>0</v>
      </c>
      <c r="U265" s="1"/>
      <c r="V265" s="1">
        <v>2</v>
      </c>
      <c r="W265" s="1">
        <v>1</v>
      </c>
      <c r="X265" s="1" t="e">
        <f>ABS(NETWORKDAYS.INTL("06/05/2024", "06/05/2024", 1, {"01/01/2024","01/15/2024","02/19/2024","05/27/2024","07/04/2024","09/02/2024","10/14/2024","11/11/2024","11/28/2024","12/25/2024","12/25/2024","12/26/2024","12/27/2024","12/28/2024","12/29/2024","12/30/2024","31/25/2024","01/01/2024","01/02/2024","01/03/2024","01/04/2024","01/05/2024"}))</f>
        <v>#VALUE!</v>
      </c>
      <c r="Y265"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65" s="1" t="e">
        <f>ABS(NETWORKDAYS.INTL("06/05/2024", "06/11/2024", 1, {"01/01/2024","01/15/2024","02/19/2024","05/27/2024","07/04/2024","09/02/2024","10/14/2024","11/11/2024","11/28/2024","12/25/2024","12/25/2024","12/26/2024","12/27/2024","12/28/2024","12/29/2024","12/30/2024","31/25/2024","01/01/2024","01/02/2024","01/03/2024","01/04/2024","01/05/2024"}))</f>
        <v>#VALUE!</v>
      </c>
      <c r="AA265" s="1"/>
      <c r="AB265" s="5"/>
      <c r="AC265" s="5"/>
      <c r="AD265" s="1" t="e">
        <f>ABS(NETWORKDAYS.INTL("05/14/2024", "05/14/2024", 1, {"01/01/2024","01/15/2024","02/19/2024","05/27/2024","07/04/2024","09/02/2024","10/14/2024","11/11/2024","11/28/2024","12/25/2024","12/25/2024","12/26/2024","12/27/2024","12/28/2024","12/29/2024","12/30/2024","31/25/2024","01/01/2024","01/02/2024","01/03/2024","01/04/2024","01/05/2024"}))</f>
        <v>#VALUE!</v>
      </c>
      <c r="AE265" s="1">
        <f>0</f>
        <v>0</v>
      </c>
      <c r="AF265" s="1" t="e">
        <f>ABS(NETWORKDAYS.INTL("05/15/2024", "08/05/24", 1, {"01/01/2024","01/15/2024","02/19/2024","05/27/2024","07/04/2024","09/02/2024","10/14/2024","11/11/2024","11/28/2024","12/25/2024","12/25/2024","12/26/2024","12/27/2024","12/28/2024","12/29/2024","12/30/2024","31/25/2024","01/01/2024","01/02/2024","01/03/2024","01/04/2024","01/05/2024"}))</f>
        <v>#VALUE!</v>
      </c>
      <c r="AG265" s="1" t="e">
        <f>ABS(NETWORKDAYS.INTL("06/05/2024", "05/15/2024", 1, {"01/01/2024","01/15/2024","02/19/2024","05/27/2024","07/04/2024","09/02/2024","10/14/2024","11/11/2024","11/28/2024","12/25/2024","12/25/2024","12/26/2024","12/27/2024","12/28/2024","12/29/2024","12/30/2024","31/25/2024","01/01/2024","01/02/2024","01/03/2024","01/04/2024","01/05/2024"}))</f>
        <v>#VALUE!</v>
      </c>
      <c r="AH265" s="1" t="e">
        <f>ABS(NETWORKDAYS.INTL("06/05/2024", "06/05/2024", 1, {"01/01/2024","01/15/2024","02/19/2024","05/27/2024","07/04/2024","09/02/2024","10/14/2024","11/11/2024","11/28/2024","12/25/2024","12/25/2024","12/26/2024","12/27/2024","12/28/2024","12/29/2024","12/30/2024","31/25/2024","01/01/2024","01/02/2024","01/03/2024","01/04/2024","01/05/2024"}))</f>
        <v>#VALUE!</v>
      </c>
      <c r="AI265" s="1">
        <f>0</f>
        <v>0</v>
      </c>
      <c r="AJ265" s="1" t="b">
        <v>1</v>
      </c>
      <c r="AK265" s="1"/>
      <c r="AL265" s="1"/>
      <c r="AM265" s="1"/>
      <c r="AN265" s="1"/>
      <c r="AO265" s="1"/>
      <c r="AP265" s="1"/>
      <c r="AQ265" s="1"/>
      <c r="AR265" s="1"/>
      <c r="AS265" s="1"/>
      <c r="AT265" s="1"/>
      <c r="AU265" s="1"/>
      <c r="AV265" s="1"/>
      <c r="AW265" s="1"/>
      <c r="AX265" s="1"/>
      <c r="AY265" s="1"/>
      <c r="AZ265" s="1"/>
    </row>
    <row r="266" spans="1:52" ht="15" customHeight="1" x14ac:dyDescent="0.35">
      <c r="A266" s="1" t="s">
        <v>1245</v>
      </c>
      <c r="B266" s="1" t="s">
        <v>522</v>
      </c>
      <c r="C266" s="1" t="s">
        <v>1157</v>
      </c>
      <c r="D266" s="1" t="s">
        <v>1158</v>
      </c>
      <c r="E266" s="1" t="s">
        <v>1159</v>
      </c>
      <c r="F266" s="9" t="s">
        <v>1246</v>
      </c>
      <c r="G266" s="1" t="s">
        <v>463</v>
      </c>
      <c r="H2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6" s="11" t="e">
        <f>ABS(NETWORKDAYS.INTL("05/24/2024", "05/24/2024", 1, {"01/01/2024","01/15/2024","02/19/2024","05/27/2024","07/04/2024","09/02/2024","10/14/2024","11/11/2024","11/28/2024","12/25/2024","12/25/2024","12/26/2024","12/27/2024","12/28/2024","12/29/2024","12/30/2024","31/25/2024","01/01/2024","01/02/2024","01/03/2024","01/04/2024","01/05/2024"}))</f>
        <v>#VALUE!</v>
      </c>
      <c r="J266" s="1">
        <f>0</f>
        <v>0</v>
      </c>
      <c r="K266" s="1"/>
      <c r="L266" s="1">
        <v>1</v>
      </c>
      <c r="M266" s="1" t="e">
        <f>ABS(NETWORKDAYS.INTL("05/29/2024", "05/29/2024", 1, {"01/01/2024","01/15/2024","02/19/2024","05/27/2024","07/04/2024","09/02/2024","10/14/2024","11/11/2024","11/28/2024","12/25/2024","12/25/2024","12/26/2024","12/27/2024","12/28/2024","12/29/2024","12/30/2024","31/25/2024","01/01/2024","01/02/2024","01/03/2024","01/04/2024","01/05/2024"}))</f>
        <v>#VALUE!</v>
      </c>
      <c r="N266" s="1">
        <f>0</f>
        <v>0</v>
      </c>
      <c r="O266" s="1">
        <f>0</f>
        <v>0</v>
      </c>
      <c r="P266" s="1"/>
      <c r="Q266" s="1">
        <v>0</v>
      </c>
      <c r="R266" s="1">
        <v>1</v>
      </c>
      <c r="S266" s="1" t="e">
        <f>ABS(NETWORKDAYS.INTL("06/03/2024", "06/03/2024", 1, {"01/01/2024","01/15/2024","02/19/2024","05/27/2024","07/04/2024","09/02/2024","10/14/2024","11/11/2024","11/28/2024","12/25/2024","12/25/2024","12/26/2024","12/27/2024","12/28/2024","12/29/2024","12/30/2024","31/25/2024","01/01/2024","01/02/2024","01/03/2024","01/04/2024","01/05/2024"}))</f>
        <v>#VALUE!</v>
      </c>
      <c r="T266" s="1">
        <f>0</f>
        <v>0</v>
      </c>
      <c r="U266" s="1"/>
      <c r="V266" s="1">
        <v>3</v>
      </c>
      <c r="W266" s="1">
        <v>1</v>
      </c>
      <c r="X266" s="1" t="e">
        <f>ABS(NETWORKDAYS.INTL("06/05/2024", "06/05/2024", 1, {"01/01/2024","01/15/2024","02/19/2024","05/27/2024","07/04/2024","09/02/2024","10/14/2024","11/11/2024","11/28/2024","12/25/2024","12/25/2024","12/26/2024","12/27/2024","12/28/2024","12/29/2024","12/30/2024","31/25/2024","01/01/2024","01/02/2024","01/03/2024","01/04/2024","01/05/2024"}))</f>
        <v>#VALUE!</v>
      </c>
      <c r="Y266"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66" s="1" t="e">
        <f>ABS(NETWORKDAYS.INTL("06/05/2024", "06/11/2024", 1, {"01/01/2024","01/15/2024","02/19/2024","05/27/2024","07/04/2024","09/02/2024","10/14/2024","11/11/2024","11/28/2024","12/25/2024","12/25/2024","12/26/2024","12/27/2024","12/28/2024","12/29/2024","12/30/2024","31/25/2024","01/01/2024","01/02/2024","01/03/2024","01/04/2024","01/05/2024"}))</f>
        <v>#VALUE!</v>
      </c>
      <c r="AA266" s="1"/>
      <c r="AB266" s="5"/>
      <c r="AC266" s="5"/>
      <c r="AD266" s="1" t="e">
        <f>ABS(NETWORKDAYS.INTL("05/29/2024", "05/24/2024", 1, {"01/01/2024","01/15/2024","02/19/2024","05/27/2024","07/04/2024","09/02/2024","10/14/2024","11/11/2024","11/28/2024","12/25/2024","12/25/2024","12/26/2024","12/27/2024","12/28/2024","12/29/2024","12/30/2024","31/25/2024","01/01/2024","01/02/2024","01/03/2024","01/04/2024","01/05/2024"}))</f>
        <v>#VALUE!</v>
      </c>
      <c r="AE266" s="1">
        <f>0</f>
        <v>0</v>
      </c>
      <c r="AF266" s="1" t="e">
        <f>ABS(NETWORKDAYS.INTL("05/31/2024", "08/05/24", 1, {"01/01/2024","01/15/2024","02/19/2024","05/27/2024","07/04/2024","09/02/2024","10/14/2024","11/11/2024","11/28/2024","12/25/2024","12/25/2024","12/26/2024","12/27/2024","12/28/2024","12/29/2024","12/30/2024","31/25/2024","01/01/2024","01/02/2024","01/03/2024","01/04/2024","01/05/2024"}))</f>
        <v>#VALUE!</v>
      </c>
      <c r="AG266" s="1" t="e">
        <f>ABS(NETWORKDAYS.INTL("06/05/2024", "05/31/2024", 1, {"01/01/2024","01/15/2024","02/19/2024","05/27/2024","07/04/2024","09/02/2024","10/14/2024","11/11/2024","11/28/2024","12/25/2024","12/25/2024","12/26/2024","12/27/2024","12/28/2024","12/29/2024","12/30/2024","31/25/2024","01/01/2024","01/02/2024","01/03/2024","01/04/2024","01/05/2024"}))</f>
        <v>#VALUE!</v>
      </c>
      <c r="AH266" s="1" t="e">
        <f>ABS(NETWORKDAYS.INTL("06/05/2024", "06/05/2024", 1, {"01/01/2024","01/15/2024","02/19/2024","05/27/2024","07/04/2024","09/02/2024","10/14/2024","11/11/2024","11/28/2024","12/25/2024","12/25/2024","12/26/2024","12/27/2024","12/28/2024","12/29/2024","12/30/2024","31/25/2024","01/01/2024","01/02/2024","01/03/2024","01/04/2024","01/05/2024"}))</f>
        <v>#VALUE!</v>
      </c>
      <c r="AI266" s="1">
        <f>0</f>
        <v>0</v>
      </c>
      <c r="AJ266" s="1" t="b">
        <v>1</v>
      </c>
      <c r="AK266" s="1"/>
      <c r="AL266" s="1"/>
      <c r="AM266" s="1"/>
      <c r="AN266" s="1"/>
      <c r="AO266" s="1"/>
      <c r="AP266" s="1"/>
      <c r="AQ266" s="1"/>
      <c r="AR266" s="1"/>
      <c r="AS266" s="1"/>
      <c r="AT266" s="1"/>
      <c r="AU266" s="1"/>
      <c r="AV266" s="1"/>
      <c r="AW266" s="1"/>
      <c r="AX266" s="1"/>
      <c r="AY266" s="1"/>
      <c r="AZ266" s="1"/>
    </row>
    <row r="267" spans="1:52" ht="15" customHeight="1" x14ac:dyDescent="0.35">
      <c r="A267" s="1" t="s">
        <v>1247</v>
      </c>
      <c r="B267" s="1" t="s">
        <v>523</v>
      </c>
      <c r="C267" s="1" t="s">
        <v>1157</v>
      </c>
      <c r="D267" s="1" t="s">
        <v>1158</v>
      </c>
      <c r="E267" s="1" t="s">
        <v>1159</v>
      </c>
      <c r="F267" s="9" t="s">
        <v>1248</v>
      </c>
      <c r="G267" s="1" t="s">
        <v>463</v>
      </c>
      <c r="H2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7" s="11" t="e">
        <f>ABS(NETWORKDAYS.INTL("05/24/2024", "05/29/2024", 1, {"01/01/2024","01/15/2024","02/19/2024","05/27/2024","07/04/2024","09/02/2024","10/14/2024","11/11/2024","11/28/2024","12/25/2024","12/25/2024","12/26/2024","12/27/2024","12/28/2024","12/29/2024","12/30/2024","31/25/2024","01/01/2024","01/02/2024","01/03/2024","01/04/2024","01/05/2024"}))</f>
        <v>#VALUE!</v>
      </c>
      <c r="J267" s="1">
        <f>0</f>
        <v>0</v>
      </c>
      <c r="K267" s="1"/>
      <c r="L267" s="1">
        <v>1</v>
      </c>
      <c r="M267" s="1" t="e">
        <f>ABS(NETWORKDAYS.INTL("05/29/2024", "05/29/2024", 1, {"01/01/2024","01/15/2024","02/19/2024","05/27/2024","07/04/2024","09/02/2024","10/14/2024","11/11/2024","11/28/2024","12/25/2024","12/25/2024","12/26/2024","12/27/2024","12/28/2024","12/29/2024","12/30/2024","31/25/2024","01/01/2024","01/02/2024","01/03/2024","01/04/2024","01/05/2024"}))</f>
        <v>#VALUE!</v>
      </c>
      <c r="N267" s="1">
        <f>0</f>
        <v>0</v>
      </c>
      <c r="O267" s="1">
        <f>0</f>
        <v>0</v>
      </c>
      <c r="P267" s="1"/>
      <c r="Q267" s="1">
        <v>0</v>
      </c>
      <c r="R267" s="1">
        <v>1</v>
      </c>
      <c r="S267" s="1" t="e">
        <f>ABS(NETWORKDAYS.INTL("06/03/2024", "06/03/2024", 1, {"01/01/2024","01/15/2024","02/19/2024","05/27/2024","07/04/2024","09/02/2024","10/14/2024","11/11/2024","11/28/2024","12/25/2024","12/25/2024","12/26/2024","12/27/2024","12/28/2024","12/29/2024","12/30/2024","31/25/2024","01/01/2024","01/02/2024","01/03/2024","01/04/2024","01/05/2024"}))</f>
        <v>#VALUE!</v>
      </c>
      <c r="T267" s="1">
        <f>0</f>
        <v>0</v>
      </c>
      <c r="U267" s="1"/>
      <c r="V267" s="1">
        <v>2</v>
      </c>
      <c r="W267" s="1">
        <v>1</v>
      </c>
      <c r="X267" s="1" t="e">
        <f>ABS(NETWORKDAYS.INTL("06/05/2024", "06/11/2024", 1, {"01/01/2024","01/15/2024","02/19/2024","05/27/2024","07/04/2024","09/02/2024","10/14/2024","11/11/2024","11/28/2024","12/25/2024","12/25/2024","12/26/2024","12/27/2024","12/28/2024","12/29/2024","12/30/2024","31/25/2024","01/01/2024","01/02/2024","01/03/2024","01/04/2024","01/05/2024"}))</f>
        <v>#VALUE!</v>
      </c>
      <c r="Y267"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67" s="1" t="e">
        <f>ABS(NETWORKDAYS.INTL("06/05/2024", "06/11/2024", 1, {"01/01/2024","01/15/2024","02/19/2024","05/27/2024","07/04/2024","09/02/2024","10/14/2024","11/11/2024","11/28/2024","12/25/2024","12/25/2024","12/26/2024","12/27/2024","12/28/2024","12/29/2024","12/30/2024","31/25/2024","01/01/2024","01/02/2024","01/03/2024","01/04/2024","01/05/2024"}))</f>
        <v>#VALUE!</v>
      </c>
      <c r="AA267" s="1"/>
      <c r="AB267" s="5"/>
      <c r="AC267" s="5"/>
      <c r="AD267" s="1" t="e">
        <f>ABS(NETWORKDAYS.INTL("05/29/2024", "05/29/2024", 1, {"01/01/2024","01/15/2024","02/19/2024","05/27/2024","07/04/2024","09/02/2024","10/14/2024","11/11/2024","11/28/2024","12/25/2024","12/25/2024","12/26/2024","12/27/2024","12/28/2024","12/29/2024","12/30/2024","31/25/2024","01/01/2024","01/02/2024","01/03/2024","01/04/2024","01/05/2024"}))</f>
        <v>#VALUE!</v>
      </c>
      <c r="AE267" s="1">
        <f>0</f>
        <v>0</v>
      </c>
      <c r="AF267" s="1" t="e">
        <f>ABS(NETWORKDAYS.INTL("05/31/2024", "08/05/24", 1, {"01/01/2024","01/15/2024","02/19/2024","05/27/2024","07/04/2024","09/02/2024","10/14/2024","11/11/2024","11/28/2024","12/25/2024","12/25/2024","12/26/2024","12/27/2024","12/28/2024","12/29/2024","12/30/2024","31/25/2024","01/01/2024","01/02/2024","01/03/2024","01/04/2024","01/05/2024"}))</f>
        <v>#VALUE!</v>
      </c>
      <c r="AG267" s="1" t="e">
        <f>ABS(NETWORKDAYS.INTL("06/03/2024", "05/31/2024", 1, {"01/01/2024","01/15/2024","02/19/2024","05/27/2024","07/04/2024","09/02/2024","10/14/2024","11/11/2024","11/28/2024","12/25/2024","12/25/2024","12/26/2024","12/27/2024","12/28/2024","12/29/2024","12/30/2024","31/25/2024","01/01/2024","01/02/2024","01/03/2024","01/04/2024","01/05/2024"}))</f>
        <v>#VALUE!</v>
      </c>
      <c r="AH267" s="1" t="e">
        <f>ABS(NETWORKDAYS.INTL("06/05/2024", "06/03/2024", 1, {"01/01/2024","01/15/2024","02/19/2024","05/27/2024","07/04/2024","09/02/2024","10/14/2024","11/11/2024","11/28/2024","12/25/2024","12/25/2024","12/26/2024","12/27/2024","12/28/2024","12/29/2024","12/30/2024","31/25/2024","01/01/2024","01/02/2024","01/03/2024","01/04/2024","01/05/2024"}))</f>
        <v>#VALUE!</v>
      </c>
      <c r="AI267" s="1">
        <f>0</f>
        <v>0</v>
      </c>
      <c r="AJ267" s="1" t="b">
        <v>1</v>
      </c>
      <c r="AK267" s="1"/>
      <c r="AL267" s="1"/>
      <c r="AM267" s="1"/>
      <c r="AN267" s="1"/>
      <c r="AO267" s="1"/>
      <c r="AP267" s="1"/>
      <c r="AQ267" s="1"/>
      <c r="AR267" s="1"/>
      <c r="AS267" s="1"/>
      <c r="AT267" s="1"/>
      <c r="AU267" s="1"/>
      <c r="AV267" s="1"/>
      <c r="AW267" s="1"/>
      <c r="AX267" s="1"/>
      <c r="AY267" s="1"/>
      <c r="AZ267" s="1"/>
    </row>
    <row r="268" spans="1:52" ht="15" customHeight="1" x14ac:dyDescent="0.35">
      <c r="A268" s="1" t="s">
        <v>1249</v>
      </c>
      <c r="B268" s="1" t="s">
        <v>524</v>
      </c>
      <c r="C268" s="1" t="s">
        <v>1157</v>
      </c>
      <c r="D268" s="1" t="s">
        <v>1233</v>
      </c>
      <c r="E268" s="1" t="s">
        <v>1159</v>
      </c>
      <c r="F268" s="9" t="s">
        <v>1250</v>
      </c>
      <c r="G268" s="1" t="s">
        <v>463</v>
      </c>
      <c r="H2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68" s="11" t="e">
        <f>ABS(NETWORKDAYS.INTL("05/20/2024", "05/21/2024", 1, {"01/01/2024","01/15/2024","02/19/2024","05/27/2024","07/04/2024","09/02/2024","10/14/2024","11/11/2024","11/28/2024","12/25/2024","12/25/2024","12/26/2024","12/27/2024","12/28/2024","12/29/2024","12/30/2024","31/25/2024","01/01/2024","01/02/2024","01/03/2024","01/04/2024","01/05/2024"}))</f>
        <v>#VALUE!</v>
      </c>
      <c r="J268" s="1">
        <f>0</f>
        <v>0</v>
      </c>
      <c r="K268" s="1"/>
      <c r="L268" s="1">
        <v>1</v>
      </c>
      <c r="M268" s="1" t="e">
        <f>ABS(NETWORKDAYS.INTL("05/22/2024", "05/22/2024", 1, {"01/01/2024","01/15/2024","02/19/2024","05/27/2024","07/04/2024","09/02/2024","10/14/2024","11/11/2024","11/28/2024","12/25/2024","12/25/2024","12/26/2024","12/27/2024","12/28/2024","12/29/2024","12/30/2024","31/25/2024","01/01/2024","01/02/2024","01/03/2024","01/04/2024","01/05/2024"}))</f>
        <v>#VALUE!</v>
      </c>
      <c r="N268" s="1">
        <f>0</f>
        <v>0</v>
      </c>
      <c r="O268" s="1">
        <f>0</f>
        <v>0</v>
      </c>
      <c r="P268" s="1"/>
      <c r="Q268" s="1">
        <v>0</v>
      </c>
      <c r="R268" s="1">
        <v>1</v>
      </c>
      <c r="S268" s="1" t="e">
        <f>ABS(NETWORKDAYS.INTL("05/24/2024", "05/28/2024", 1, {"01/01/2024","01/15/2024","02/19/2024","05/27/2024","07/04/2024","09/02/2024","10/14/2024","11/11/2024","11/28/2024","12/25/2024","12/25/2024","12/26/2024","12/27/2024","12/28/2024","12/29/2024","12/30/2024","31/25/2024","01/01/2024","01/02/2024","01/03/2024","01/04/2024","01/05/2024"}))</f>
        <v>#VALUE!</v>
      </c>
      <c r="T268" s="1">
        <f>0</f>
        <v>0</v>
      </c>
      <c r="U268" s="1"/>
      <c r="V268" s="1">
        <v>2</v>
      </c>
      <c r="W268" s="1">
        <v>1</v>
      </c>
      <c r="X268" s="1" t="e">
        <f>ABS(NETWORKDAYS.INTL("06/05/2024", "06/05/2024", 1, {"01/01/2024","01/15/2024","02/19/2024","05/27/2024","07/04/2024","09/02/2024","10/14/2024","11/11/2024","11/28/2024","12/25/2024","12/25/2024","12/26/2024","12/27/2024","12/28/2024","12/29/2024","12/30/2024","31/25/2024","01/01/2024","01/02/2024","01/03/2024","01/04/2024","01/05/2024"}))</f>
        <v>#VALUE!</v>
      </c>
      <c r="Y268" s="1" t="e">
        <f>ABS(NETWORKDAYS.INTL("06/05/2024", "06/11/2024", 1, {"01/01/2024","01/15/2024","02/19/2024","05/27/2024","07/04/2024","09/02/2024","10/14/2024","11/11/2024","11/28/2024","12/25/2024","12/25/2024","12/26/2024","12/27/2024","12/28/2024","12/29/2024","12/30/2024","31/25/2024","01/01/2024","01/02/2024","01/03/2024","01/04/2024","01/05/2024"})+NETWORKDAYS.INTL("06/12/2024", "06/19/2024", 1, {"01/01/2024","01/15/2024","02/19/2024","05/27/2024","07/04/2024","09/02/2024","10/14/2024","11/11/2024","11/28/2024","12/25/2024","12/25/2024","12/26/2024","12/27/2024","12/28/2024","12/29/2024","12/30/2024","31/25/2024","01/01/2024","01/02/2024","01/03/2024","01/04/2024","01/05/2024"})+NETWORKDAYS.INTL("06/19/2024", "07/03/2024", 1, {"01/01/2024","01/15/2024","02/19/2024","05/27/2024","07/04/2024","09/02/2024","10/14/2024","11/11/2024","11/28/2024","12/25/2024","12/25/2024","12/26/2024","12/27/2024","12/28/2024","12/29/2024","12/30/2024","31/25/2024","01/01/2024","01/02/2024","01/03/2024","01/04/2024","01/05/2024"}))</f>
        <v>#VALUE!</v>
      </c>
      <c r="Z268" s="1" t="e">
        <f>ABS(NETWORKDAYS.INTL("06/05/2024", "06/11/2024", 1, {"01/01/2024","01/15/2024","02/19/2024","05/27/2024","07/04/2024","09/02/2024","10/14/2024","11/11/2024","11/28/2024","12/25/2024","12/25/2024","12/26/2024","12/27/2024","12/28/2024","12/29/2024","12/30/2024","31/25/2024","01/01/2024","01/02/2024","01/03/2024","01/04/2024","01/05/2024"}))</f>
        <v>#VALUE!</v>
      </c>
      <c r="AA268" s="1"/>
      <c r="AB268" s="5"/>
      <c r="AC268" s="5"/>
      <c r="AD268" s="1" t="e">
        <f>ABS(NETWORKDAYS.INTL("05/22/2024", "05/21/2024", 1, {"01/01/2024","01/15/2024","02/19/2024","05/27/2024","07/04/2024","09/02/2024","10/14/2024","11/11/2024","11/28/2024","12/25/2024","12/25/2024","12/26/2024","12/27/2024","12/28/2024","12/29/2024","12/30/2024","31/25/2024","01/01/2024","01/02/2024","01/03/2024","01/04/2024","01/05/2024"}))</f>
        <v>#VALUE!</v>
      </c>
      <c r="AE268" s="1">
        <f>0</f>
        <v>0</v>
      </c>
      <c r="AF268" s="1" t="e">
        <f>ABS(NETWORKDAYS.INTL("05/23/2024", "08/05/24", 1, {"01/01/2024","01/15/2024","02/19/2024","05/27/2024","07/04/2024","09/02/2024","10/14/2024","11/11/2024","11/28/2024","12/25/2024","12/25/2024","12/26/2024","12/27/2024","12/28/2024","12/29/2024","12/30/2024","31/25/2024","01/01/2024","01/02/2024","01/03/2024","01/04/2024","01/05/2024"}))</f>
        <v>#VALUE!</v>
      </c>
      <c r="AG268" s="1" t="e">
        <f>ABS(NETWORKDAYS.INTL("06/05/2024", "05/23/2024", 1, {"01/01/2024","01/15/2024","02/19/2024","05/27/2024","07/04/2024","09/02/2024","10/14/2024","11/11/2024","11/28/2024","12/25/2024","12/25/2024","12/26/2024","12/27/2024","12/28/2024","12/29/2024","12/30/2024","31/25/2024","01/01/2024","01/02/2024","01/03/2024","01/04/2024","01/05/2024"}))</f>
        <v>#VALUE!</v>
      </c>
      <c r="AH268" s="1" t="e">
        <f>ABS(NETWORKDAYS.INTL("06/05/2024", "06/05/2024", 1, {"01/01/2024","01/15/2024","02/19/2024","05/27/2024","07/04/2024","09/02/2024","10/14/2024","11/11/2024","11/28/2024","12/25/2024","12/25/2024","12/26/2024","12/27/2024","12/28/2024","12/29/2024","12/30/2024","31/25/2024","01/01/2024","01/02/2024","01/03/2024","01/04/2024","01/05/2024"}))</f>
        <v>#VALUE!</v>
      </c>
      <c r="AI268" s="1">
        <f>0</f>
        <v>0</v>
      </c>
      <c r="AJ268" s="1" t="b">
        <v>1</v>
      </c>
      <c r="AK268" s="1"/>
      <c r="AL268" s="1"/>
      <c r="AM268" s="1"/>
      <c r="AN268" s="1"/>
      <c r="AO268" s="1"/>
      <c r="AP268" s="1"/>
      <c r="AQ268" s="1"/>
      <c r="AR268" s="1"/>
      <c r="AS268" s="1"/>
      <c r="AT268" s="1"/>
      <c r="AU268" s="1"/>
      <c r="AV268" s="1"/>
      <c r="AW268" s="1"/>
      <c r="AX268" s="1"/>
      <c r="AY268" s="1"/>
      <c r="AZ268" s="1"/>
    </row>
    <row r="269" spans="1:52" ht="15" customHeight="1" x14ac:dyDescent="0.35">
      <c r="A269" s="1" t="s">
        <v>1251</v>
      </c>
      <c r="B269" s="1" t="s">
        <v>525</v>
      </c>
      <c r="C269" s="1" t="s">
        <v>988</v>
      </c>
      <c r="D269" s="1" t="s">
        <v>1199</v>
      </c>
      <c r="E269" s="1" t="s">
        <v>1169</v>
      </c>
      <c r="F269" s="9" t="s">
        <v>1252</v>
      </c>
      <c r="G269" s="1" t="s">
        <v>463</v>
      </c>
      <c r="H2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69" s="11" t="e">
        <f>ABS(NETWORKDAYS.INTL("05/30/2024", "06/03/2024", 1, {"01/01/2024","01/15/2024","02/19/2024","05/27/2024","07/04/2024","09/02/2024","10/14/2024","11/11/2024","11/28/2024","12/25/2024","12/25/2024","12/26/2024","12/27/2024","12/28/2024","12/29/2024","12/30/2024","31/25/2024","01/01/2024","01/02/2024","01/03/2024","01/04/2024","01/05/2024"}))</f>
        <v>#VALUE!</v>
      </c>
      <c r="J269" s="1">
        <f>0</f>
        <v>0</v>
      </c>
      <c r="K269" s="1"/>
      <c r="L269" s="1">
        <v>1</v>
      </c>
      <c r="M269" s="1" t="e">
        <f>ABS(NETWORKDAYS.INTL("06/04/2024", "06/04/2024", 1, {"01/01/2024","01/15/2024","02/19/2024","05/27/2024","07/04/2024","09/02/2024","10/14/2024","11/11/2024","11/28/2024","12/25/2024","12/25/2024","12/26/2024","12/27/2024","12/28/2024","12/29/2024","12/30/2024","31/25/2024","01/01/2024","01/02/2024","01/03/2024","01/04/2024","01/05/2024"}))</f>
        <v>#VALUE!</v>
      </c>
      <c r="N269" s="1">
        <f>0</f>
        <v>0</v>
      </c>
      <c r="O269" s="1">
        <f>0</f>
        <v>0</v>
      </c>
      <c r="P269" s="1"/>
      <c r="Q269" s="1">
        <v>0</v>
      </c>
      <c r="R269" s="1">
        <v>1</v>
      </c>
      <c r="S269" s="1">
        <f>0</f>
        <v>0</v>
      </c>
      <c r="T269" s="1">
        <f>0</f>
        <v>0</v>
      </c>
      <c r="U269" s="1"/>
      <c r="V269" s="1">
        <v>0</v>
      </c>
      <c r="W269" s="1">
        <v>1</v>
      </c>
      <c r="X269" s="1" t="e">
        <f>ABS(NETWORKDAYS.INTL("06/05/2024", "06/05/2024", 1, {"01/01/2024","01/15/2024","02/19/2024","05/27/2024","07/04/2024","09/02/2024","10/14/2024","11/11/2024","11/28/2024","12/25/2024","12/25/2024","12/26/2024","12/27/2024","12/28/2024","12/29/2024","12/30/2024","31/25/2024","01/01/2024","01/02/2024","01/03/2024","01/04/2024","01/05/2024"}))</f>
        <v>#VALUE!</v>
      </c>
      <c r="Y269" s="1">
        <f>0</f>
        <v>0</v>
      </c>
      <c r="Z269" s="1">
        <f>0</f>
        <v>0</v>
      </c>
      <c r="AA269" s="1"/>
      <c r="AB269" s="5"/>
      <c r="AC269" s="5"/>
      <c r="AD269" s="1" t="e">
        <f>ABS(NETWORKDAYS.INTL("06/04/2024", "06/03/2024", 1, {"01/01/2024","01/15/2024","02/19/2024","05/27/2024","07/04/2024","09/02/2024","10/14/2024","11/11/2024","11/28/2024","12/25/2024","12/25/2024","12/26/2024","12/27/2024","12/28/2024","12/29/2024","12/30/2024","31/25/2024","01/01/2024","01/02/2024","01/03/2024","01/04/2024","01/05/2024"}))</f>
        <v>#VALUE!</v>
      </c>
      <c r="AE269" s="1">
        <f>0</f>
        <v>0</v>
      </c>
      <c r="AF269" s="1" t="e">
        <f>ABS(NETWORKDAYS.INTL("05/23/2024", "08/05/24", 1, {"01/01/2024","01/15/2024","02/19/2024","05/27/2024","07/04/2024","09/02/2024","10/14/2024","11/11/2024","11/28/2024","12/25/2024","12/25/2024","12/26/2024","12/27/2024","12/28/2024","12/29/2024","12/30/2024","31/25/2024","01/01/2024","01/02/2024","01/03/2024","01/04/2024","01/05/2024"}))</f>
        <v>#VALUE!</v>
      </c>
      <c r="AG269" s="1">
        <f>0</f>
        <v>0</v>
      </c>
      <c r="AH269" s="1" t="e">
        <f>ABS(NETWORKDAYS.INTL("06/05/2024", "08/05/24", 1, {"01/01/2024","01/15/2024","02/19/2024","05/27/2024","07/04/2024","09/02/2024","10/14/2024","11/11/2024","11/28/2024","12/25/2024","12/25/2024","12/26/2024","12/27/2024","12/28/2024","12/29/2024","12/30/2024","31/25/2024","01/01/2024","01/02/2024","01/03/2024","01/04/2024","01/05/2024"}))</f>
        <v>#VALUE!</v>
      </c>
      <c r="AI269" s="1">
        <f>0</f>
        <v>0</v>
      </c>
      <c r="AJ269" s="1"/>
      <c r="AK269" s="1"/>
      <c r="AL269" s="1"/>
      <c r="AM269" s="1"/>
      <c r="AN269" s="1"/>
      <c r="AO269" s="1"/>
      <c r="AP269" s="1"/>
      <c r="AQ269" s="1"/>
      <c r="AR269" s="1"/>
      <c r="AS269" s="1"/>
      <c r="AT269" s="1"/>
      <c r="AU269" s="1"/>
      <c r="AV269" s="1"/>
      <c r="AW269" s="1"/>
      <c r="AX269" s="1"/>
      <c r="AY269" s="1"/>
      <c r="AZ269" s="1"/>
    </row>
    <row r="270" spans="1:52" ht="15" customHeight="1" x14ac:dyDescent="0.35">
      <c r="A270" s="1" t="s">
        <v>1253</v>
      </c>
      <c r="B270" s="1" t="s">
        <v>526</v>
      </c>
      <c r="C270" s="1" t="s">
        <v>988</v>
      </c>
      <c r="D270" s="1" t="s">
        <v>1168</v>
      </c>
      <c r="E270" s="1" t="s">
        <v>1169</v>
      </c>
      <c r="F270" s="9" t="s">
        <v>1254</v>
      </c>
      <c r="G270" s="1" t="s">
        <v>463</v>
      </c>
      <c r="H2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0" s="11" t="e">
        <f>ABS(NETWORKDAYS.INTL("05/27/2024", "05/30/2024", 1, {"01/01/2024","01/15/2024","02/19/2024","05/27/2024","07/04/2024","09/02/2024","10/14/2024","11/11/2024","11/28/2024","12/25/2024","12/25/2024","12/26/2024","12/27/2024","12/28/2024","12/29/2024","12/30/2024","31/25/2024","01/01/2024","01/02/2024","01/03/2024","01/04/2024","01/05/2024"}))</f>
        <v>#VALUE!</v>
      </c>
      <c r="J270" s="1">
        <f>0</f>
        <v>0</v>
      </c>
      <c r="K270" s="1"/>
      <c r="L270" s="1">
        <v>1</v>
      </c>
      <c r="M270" s="1" t="e">
        <f>ABS(NETWORKDAYS.INTL("05/30/2024", "05/30/2024", 1, {"01/01/2024","01/15/2024","02/19/2024","05/27/2024","07/04/2024","09/02/2024","10/14/2024","11/11/2024","11/28/2024","12/25/2024","12/25/2024","12/26/2024","12/27/2024","12/28/2024","12/29/2024","12/30/2024","31/25/2024","01/01/2024","01/02/2024","01/03/2024","01/04/2024","01/05/2024"}))</f>
        <v>#VALUE!</v>
      </c>
      <c r="N270" s="1">
        <f>0</f>
        <v>0</v>
      </c>
      <c r="O270" s="1">
        <f>0</f>
        <v>0</v>
      </c>
      <c r="P270" s="1"/>
      <c r="Q270" s="1">
        <v>0</v>
      </c>
      <c r="R270" s="1">
        <v>1</v>
      </c>
      <c r="S270" s="1" t="e">
        <f>ABS(NETWORKDAYS.INTL("06/05/2024", "06/11/2024", 1, {"01/01/2024","01/15/2024","02/19/2024","05/27/2024","07/04/2024","09/02/2024","10/14/2024","11/11/2024","11/28/2024","12/25/2024","12/25/2024","12/26/2024","12/27/2024","12/28/2024","12/29/2024","12/30/2024","31/25/2024","01/01/2024","01/02/2024","01/03/2024","01/04/2024","01/05/2024"}))</f>
        <v>#VALUE!</v>
      </c>
      <c r="T270" s="1">
        <f>0</f>
        <v>0</v>
      </c>
      <c r="U270" s="1"/>
      <c r="V270" s="1">
        <v>2</v>
      </c>
      <c r="W270" s="1">
        <v>2</v>
      </c>
      <c r="X270" s="1" t="e">
        <f>ABS(NETWORKDAYS.INTL("06/19/2024", "06/19/2024", 1, {"01/01/2024","01/15/2024","02/19/2024","05/27/2024","07/04/2024","09/02/2024","10/14/2024","11/11/2024","11/28/2024","12/25/2024","12/25/2024","12/26/2024","12/27/2024","12/28/2024","12/29/2024","12/30/2024","31/25/2024","01/01/2024","01/02/2024","01/03/2024","01/04/2024","01/05/2024"})+NETWORKDAYS.INTL("06/24/2024", "06/24/2024", 1, {"01/01/2024","01/15/2024","02/19/2024","05/27/2024","07/04/2024","09/02/2024","10/14/2024","11/11/2024","11/28/2024","12/25/2024","12/25/2024","12/26/2024","12/27/2024","12/28/2024","12/29/2024","12/30/2024","31/25/2024","01/01/2024","01/02/2024","01/03/2024","01/04/2024","01/05/2024"}))</f>
        <v>#VALUE!</v>
      </c>
      <c r="Y270" s="1" t="e">
        <f>ABS(NETWORKDAYS.INTL("06/19/2024", "06/19/2024", 1, {"01/01/2024","01/15/2024","02/19/2024","05/27/2024","07/04/2024","09/02/2024","10/14/2024","11/11/2024","11/28/2024","12/25/2024","12/25/2024","12/26/2024","12/27/2024","12/28/2024","12/29/2024","12/30/2024","31/25/2024","01/01/2024","01/02/2024","01/03/2024","01/04/2024","01/05/2024"}))</f>
        <v>#VALUE!</v>
      </c>
      <c r="Z270" s="1">
        <f>0</f>
        <v>0</v>
      </c>
      <c r="AA270" s="1"/>
      <c r="AB270" s="5">
        <v>45467</v>
      </c>
      <c r="AC270" s="5">
        <v>45471</v>
      </c>
      <c r="AD270" s="1" t="e">
        <f>ABS(NETWORKDAYS.INTL("05/30/2024", "05/30/2024", 1, {"01/01/2024","01/15/2024","02/19/2024","05/27/2024","07/04/2024","09/02/2024","10/14/2024","11/11/2024","11/28/2024","12/25/2024","12/25/2024","12/26/2024","12/27/2024","12/28/2024","12/29/2024","12/30/2024","31/25/2024","01/01/2024","01/02/2024","01/03/2024","01/04/2024","01/05/2024"}))</f>
        <v>#VALUE!</v>
      </c>
      <c r="AE270" s="1">
        <f>0</f>
        <v>0</v>
      </c>
      <c r="AF270" s="1" t="e">
        <f>ABS(NETWORKDAYS.INTL("06/05/2024", "08/05/24", 1, {"01/01/2024","01/15/2024","02/19/2024","05/27/2024","07/04/2024","09/02/2024","10/14/2024","11/11/2024","11/28/2024","12/25/2024","12/25/2024","12/26/2024","12/27/2024","12/28/2024","12/29/2024","12/30/2024","31/25/2024","01/01/2024","01/02/2024","01/03/2024","01/04/2024","01/05/2024"}))</f>
        <v>#VALUE!</v>
      </c>
      <c r="AG270" s="1" t="e">
        <f>ABS(NETWORKDAYS.INTL("06/13/2024", "06/05/2024", 1, {"01/01/2024","01/15/2024","02/19/2024","05/27/2024","07/04/2024","09/02/2024","10/14/2024","11/11/2024","11/28/2024","12/25/2024","12/25/2024","12/26/2024","12/27/2024","12/28/2024","12/29/2024","12/30/2024","31/25/2024","01/01/2024","01/02/2024","01/03/2024","01/04/2024","01/05/2024"}))</f>
        <v>#VALUE!</v>
      </c>
      <c r="AH270" s="1" t="e">
        <f>ABS(NETWORKDAYS.INTL("06/19/2024", "06/13/2024", 1, {"01/01/2024","01/15/2024","02/19/2024","05/27/2024","07/04/2024","09/02/2024","10/14/2024","11/11/2024","11/28/2024","12/25/2024","12/25/2024","12/26/2024","12/27/2024","12/28/2024","12/29/2024","12/30/2024","31/25/2024","01/01/2024","01/02/2024","01/03/2024","01/04/2024","01/05/2024"}))</f>
        <v>#VALUE!</v>
      </c>
      <c r="AI270" s="1" t="e">
        <f>ABS(NETWORKDAYS.INTL("06/28/2024", "06/24/2024", 1, {"01/01/2024","01/15/2024","02/19/2024","05/27/2024","07/04/2024","09/02/2024","10/14/2024","11/11/2024","11/28/2024","12/25/2024","12/25/2024","12/26/2024","12/27/2024","12/28/2024","12/29/2024","12/30/2024","31/25/2024","01/01/2024","01/02/2024","01/03/2024","01/04/2024","01/05/2024"}))</f>
        <v>#VALUE!</v>
      </c>
      <c r="AJ270" s="1"/>
      <c r="AK270" s="1"/>
      <c r="AL270" s="1"/>
      <c r="AM270" s="1"/>
      <c r="AN270" s="1"/>
      <c r="AO270" s="1"/>
      <c r="AP270" s="1"/>
      <c r="AQ270" s="1"/>
      <c r="AR270" s="1"/>
      <c r="AS270" s="1"/>
      <c r="AT270" s="1"/>
      <c r="AU270" s="1"/>
      <c r="AV270" s="1"/>
      <c r="AW270" s="1"/>
      <c r="AX270" s="1"/>
      <c r="AY270" s="1"/>
      <c r="AZ270" s="1"/>
    </row>
    <row r="271" spans="1:52" ht="15" customHeight="1" x14ac:dyDescent="0.35">
      <c r="A271" s="1" t="s">
        <v>1255</v>
      </c>
      <c r="B271" s="1" t="s">
        <v>527</v>
      </c>
      <c r="C271" s="1" t="s">
        <v>988</v>
      </c>
      <c r="D271" s="1" t="s">
        <v>1168</v>
      </c>
      <c r="E271" s="1" t="s">
        <v>1169</v>
      </c>
      <c r="F271" s="9" t="s">
        <v>1254</v>
      </c>
      <c r="G271" s="1" t="s">
        <v>463</v>
      </c>
      <c r="H2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1" s="11" t="e">
        <f>ABS(NETWORKDAYS.INTL("05/27/2024", "05/30/2024", 1, {"01/01/2024","01/15/2024","02/19/2024","05/27/2024","07/04/2024","09/02/2024","10/14/2024","11/11/2024","11/28/2024","12/25/2024","12/25/2024","12/26/2024","12/27/2024","12/28/2024","12/29/2024","12/30/2024","31/25/2024","01/01/2024","01/02/2024","01/03/2024","01/04/2024","01/05/2024"}))</f>
        <v>#VALUE!</v>
      </c>
      <c r="J271" s="1">
        <f>0</f>
        <v>0</v>
      </c>
      <c r="K271" s="1"/>
      <c r="L271" s="1">
        <v>1</v>
      </c>
      <c r="M271" s="1" t="e">
        <f>ABS(NETWORKDAYS.INTL("05/30/2024", "05/30/2024", 1, {"01/01/2024","01/15/2024","02/19/2024","05/27/2024","07/04/2024","09/02/2024","10/14/2024","11/11/2024","11/28/2024","12/25/2024","12/25/2024","12/26/2024","12/27/2024","12/28/2024","12/29/2024","12/30/2024","31/25/2024","01/01/2024","01/02/2024","01/03/2024","01/04/2024","01/05/2024"}))</f>
        <v>#VALUE!</v>
      </c>
      <c r="N271" s="1">
        <f>0</f>
        <v>0</v>
      </c>
      <c r="O271" s="1">
        <f>0</f>
        <v>0</v>
      </c>
      <c r="P271" s="1"/>
      <c r="Q271" s="1">
        <v>0</v>
      </c>
      <c r="R271" s="1">
        <v>1</v>
      </c>
      <c r="S271" s="1" t="e">
        <f>ABS(NETWORKDAYS.INTL("06/05/2024", "06/11/2024", 1, {"01/01/2024","01/15/2024","02/19/2024","05/27/2024","07/04/2024","09/02/2024","10/14/2024","11/11/2024","11/28/2024","12/25/2024","12/25/2024","12/26/2024","12/27/2024","12/28/2024","12/29/2024","12/30/2024","31/25/2024","01/01/2024","01/02/2024","01/03/2024","01/04/2024","01/05/2024"}))</f>
        <v>#VALUE!</v>
      </c>
      <c r="T271" s="1">
        <f>0</f>
        <v>0</v>
      </c>
      <c r="U271" s="1"/>
      <c r="V271" s="1">
        <v>2</v>
      </c>
      <c r="W271" s="1">
        <v>2</v>
      </c>
      <c r="X271" s="1" t="e">
        <f>ABS(NETWORKDAYS.INTL("06/19/2024", "06/19/2024", 1, {"01/01/2024","01/15/2024","02/19/2024","05/27/2024","07/04/2024","09/02/2024","10/14/2024","11/11/2024","11/28/2024","12/25/2024","12/25/2024","12/26/2024","12/27/2024","12/28/2024","12/29/2024","12/30/2024","31/25/2024","01/01/2024","01/02/2024","01/03/2024","01/04/2024","01/05/2024"})+NETWORKDAYS.INTL("06/24/2024", "06/24/2024", 1, {"01/01/2024","01/15/2024","02/19/2024","05/27/2024","07/04/2024","09/02/2024","10/14/2024","11/11/2024","11/28/2024","12/25/2024","12/25/2024","12/26/2024","12/27/2024","12/28/2024","12/29/2024","12/30/2024","31/25/2024","01/01/2024","01/02/2024","01/03/2024","01/04/2024","01/05/2024"}))</f>
        <v>#VALUE!</v>
      </c>
      <c r="Y271" s="1" t="e">
        <f>ABS(NETWORKDAYS.INTL("06/19/2024", "06/19/2024", 1, {"01/01/2024","01/15/2024","02/19/2024","05/27/2024","07/04/2024","09/02/2024","10/14/2024","11/11/2024","11/28/2024","12/25/2024","12/25/2024","12/26/2024","12/27/2024","12/28/2024","12/29/2024","12/30/2024","31/25/2024","01/01/2024","01/02/2024","01/03/2024","01/04/2024","01/05/2024"}))</f>
        <v>#VALUE!</v>
      </c>
      <c r="Z271" s="1">
        <f>0</f>
        <v>0</v>
      </c>
      <c r="AA271" s="1"/>
      <c r="AB271" s="5">
        <v>45467</v>
      </c>
      <c r="AC271" s="5">
        <v>45471</v>
      </c>
      <c r="AD271" s="1" t="e">
        <f>ABS(NETWORKDAYS.INTL("05/30/2024", "05/30/2024", 1, {"01/01/2024","01/15/2024","02/19/2024","05/27/2024","07/04/2024","09/02/2024","10/14/2024","11/11/2024","11/28/2024","12/25/2024","12/25/2024","12/26/2024","12/27/2024","12/28/2024","12/29/2024","12/30/2024","31/25/2024","01/01/2024","01/02/2024","01/03/2024","01/04/2024","01/05/2024"}))</f>
        <v>#VALUE!</v>
      </c>
      <c r="AE271" s="1">
        <f>0</f>
        <v>0</v>
      </c>
      <c r="AF271" s="1" t="e">
        <f>ABS(NETWORKDAYS.INTL("06/05/2024", "08/05/24", 1, {"01/01/2024","01/15/2024","02/19/2024","05/27/2024","07/04/2024","09/02/2024","10/14/2024","11/11/2024","11/28/2024","12/25/2024","12/25/2024","12/26/2024","12/27/2024","12/28/2024","12/29/2024","12/30/2024","31/25/2024","01/01/2024","01/02/2024","01/03/2024","01/04/2024","01/05/2024"}))</f>
        <v>#VALUE!</v>
      </c>
      <c r="AG271" s="1" t="e">
        <f>ABS(NETWORKDAYS.INTL("06/13/2024", "06/05/2024", 1, {"01/01/2024","01/15/2024","02/19/2024","05/27/2024","07/04/2024","09/02/2024","10/14/2024","11/11/2024","11/28/2024","12/25/2024","12/25/2024","12/26/2024","12/27/2024","12/28/2024","12/29/2024","12/30/2024","31/25/2024","01/01/2024","01/02/2024","01/03/2024","01/04/2024","01/05/2024"}))</f>
        <v>#VALUE!</v>
      </c>
      <c r="AH271" s="1" t="e">
        <f>ABS(NETWORKDAYS.INTL("06/19/2024", "06/13/2024", 1, {"01/01/2024","01/15/2024","02/19/2024","05/27/2024","07/04/2024","09/02/2024","10/14/2024","11/11/2024","11/28/2024","12/25/2024","12/25/2024","12/26/2024","12/27/2024","12/28/2024","12/29/2024","12/30/2024","31/25/2024","01/01/2024","01/02/2024","01/03/2024","01/04/2024","01/05/2024"}))</f>
        <v>#VALUE!</v>
      </c>
      <c r="AI271" s="1" t="e">
        <f>ABS(NETWORKDAYS.INTL("06/28/2024", "06/24/2024", 1, {"01/01/2024","01/15/2024","02/19/2024","05/27/2024","07/04/2024","09/02/2024","10/14/2024","11/11/2024","11/28/2024","12/25/2024","12/25/2024","12/26/2024","12/27/2024","12/28/2024","12/29/2024","12/30/2024","31/25/2024","01/01/2024","01/02/2024","01/03/2024","01/04/2024","01/05/2024"}))</f>
        <v>#VALUE!</v>
      </c>
      <c r="AJ271" s="1"/>
      <c r="AK271" s="1"/>
      <c r="AL271" s="1"/>
      <c r="AM271" s="1"/>
      <c r="AN271" s="1"/>
      <c r="AO271" s="1"/>
      <c r="AP271" s="1"/>
      <c r="AQ271" s="1"/>
      <c r="AR271" s="1"/>
      <c r="AS271" s="1"/>
      <c r="AT271" s="1"/>
      <c r="AU271" s="1"/>
      <c r="AV271" s="1"/>
      <c r="AW271" s="1"/>
      <c r="AX271" s="1"/>
      <c r="AY271" s="1"/>
      <c r="AZ271" s="1"/>
    </row>
    <row r="272" spans="1:52" ht="15" customHeight="1" x14ac:dyDescent="0.35">
      <c r="A272" s="1" t="s">
        <v>1256</v>
      </c>
      <c r="B272" s="1" t="s">
        <v>528</v>
      </c>
      <c r="C272" s="1" t="s">
        <v>988</v>
      </c>
      <c r="D272" s="1" t="s">
        <v>1168</v>
      </c>
      <c r="E272" s="1" t="s">
        <v>1169</v>
      </c>
      <c r="F272" s="9" t="s">
        <v>1257</v>
      </c>
      <c r="G272" s="1" t="s">
        <v>463</v>
      </c>
      <c r="H2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2" s="11" t="e">
        <f>ABS(NETWORKDAYS.INTL("05/27/24", "05/30/24", 1, {"01/01/2024","01/15/2024","02/19/2024","05/27/2024","07/04/2024","09/02/2024","10/14/2024","11/11/2024","11/28/2024","12/25/2024","12/25/2024","12/26/2024","12/27/2024","12/28/2024","12/29/2024","12/30/2024","31/25/2024","01/01/2024","01/02/2024","01/03/2024","01/04/2024","01/05/2024"}))</f>
        <v>#VALUE!</v>
      </c>
      <c r="J272" s="1">
        <f>0</f>
        <v>0</v>
      </c>
      <c r="K272" s="1"/>
      <c r="L272" s="1">
        <v>1</v>
      </c>
      <c r="M272" s="1" t="e">
        <f>ABS(NETWORKDAYS.INTL("05/30/24", "05/30/24", 1, {"01/01/2024","01/15/2024","02/19/2024","05/27/2024","07/04/2024","09/02/2024","10/14/2024","11/11/2024","11/28/2024","12/25/2024","12/25/2024","12/26/2024","12/27/2024","12/28/2024","12/29/2024","12/30/2024","31/25/2024","01/01/2024","01/02/2024","01/03/2024","01/04/2024","01/05/2024"}))</f>
        <v>#VALUE!</v>
      </c>
      <c r="N272" s="1">
        <f>0</f>
        <v>0</v>
      </c>
      <c r="O272" s="1">
        <f>0</f>
        <v>0</v>
      </c>
      <c r="P272" s="1"/>
      <c r="Q272" s="1">
        <v>1</v>
      </c>
      <c r="R272" s="1">
        <v>1</v>
      </c>
      <c r="S272" s="1" t="e">
        <f>ABS(NETWORKDAYS.INTL("06/05/24", "06/12/24", 1, {"01/01/2024","01/15/2024","02/19/2024","05/27/2024","07/04/2024","09/02/2024","10/14/2024","11/11/2024","11/28/2024","12/25/2024","12/25/2024","12/26/2024","12/27/2024","12/28/2024","12/29/2024","12/30/2024","31/25/2024","01/01/2024","01/02/2024","01/03/2024","01/04/2024","01/05/2024"}))</f>
        <v>#VALUE!</v>
      </c>
      <c r="T272" s="1">
        <f>0</f>
        <v>0</v>
      </c>
      <c r="U272" s="1"/>
      <c r="V272" s="1">
        <v>2</v>
      </c>
      <c r="W272" s="1">
        <v>2</v>
      </c>
      <c r="X272" s="1" t="e">
        <f>ABS(NETWORKDAYS.INTL("06/17/24", "06/17/24", 1, {"01/01/2024","01/15/2024","02/19/2024","05/27/2024","07/04/2024","09/02/2024","10/14/2024","11/11/2024","11/28/2024","12/25/2024","12/25/2024","12/26/2024","12/27/2024","12/28/2024","12/29/2024","12/30/2024","31/25/2024","01/01/2024","01/02/2024","01/03/2024","01/04/2024","01/05/2024"})+NETWORKDAYS.INTL("06/24/24", "06/24/24", 1, {"01/01/2024","01/15/2024","02/19/2024","05/27/2024","07/04/2024","09/02/2024","10/14/2024","11/11/2024","11/28/2024","12/25/2024","12/25/2024","12/26/2024","12/27/2024","12/28/2024","12/29/2024","12/30/2024","31/25/2024","01/01/2024","01/02/2024","01/03/2024","01/04/2024","01/05/2024"}))</f>
        <v>#VALUE!</v>
      </c>
      <c r="Y272" s="1" t="e">
        <f>ABS(NETWORKDAYS.INTL("06/19/24", "06/19/24", 1, {"01/01/2024","01/15/2024","02/19/2024","05/27/2024","07/04/2024","09/02/2024","10/14/2024","11/11/2024","11/28/2024","12/25/2024","12/25/2024","12/26/2024","12/27/2024","12/28/2024","12/29/2024","12/30/2024","31/25/2024","01/01/2024","01/02/2024","01/03/2024","01/04/2024","01/05/2024"}))</f>
        <v>#VALUE!</v>
      </c>
      <c r="Z272" s="1">
        <f>0</f>
        <v>0</v>
      </c>
      <c r="AA272" s="1"/>
      <c r="AB272" s="5">
        <v>45469</v>
      </c>
      <c r="AC272" s="5">
        <v>45471</v>
      </c>
      <c r="AD272" s="1" t="e">
        <f>ABS(NETWORKDAYS.INTL("05/30/24", "05/30/24", 1, {"01/01/2024","01/15/2024","02/19/2024","05/27/2024","07/04/2024","09/02/2024","10/14/2024","11/11/2024","11/28/2024","12/25/2024","12/25/2024","12/26/2024","12/27/2024","12/28/2024","12/29/2024","12/30/2024","31/25/2024","01/01/2024","01/02/2024","01/03/2024","01/04/2024","01/05/2024"}))</f>
        <v>#VALUE!</v>
      </c>
      <c r="AE272" s="1">
        <f>0</f>
        <v>0</v>
      </c>
      <c r="AF272" s="1" t="e">
        <f>ABS(NETWORKDAYS.INTL("06/05/24", "05/31/24", 1, {"01/01/2024","01/15/2024","02/19/2024","05/27/2024","07/04/2024","09/02/2024","10/14/2024","11/11/2024","11/28/2024","12/25/2024","12/25/2024","12/26/2024","12/27/2024","12/28/2024","12/29/2024","12/30/2024","31/25/2024","01/01/2024","01/02/2024","01/03/2024","01/04/2024","01/05/2024"}))</f>
        <v>#VALUE!</v>
      </c>
      <c r="AG272" s="1" t="e">
        <f>ABS(NETWORKDAYS.INTL("06/13/24", "06/05/24", 1, {"01/01/2024","01/15/2024","02/19/2024","05/27/2024","07/04/2024","09/02/2024","10/14/2024","11/11/2024","11/28/2024","12/25/2024","12/25/2024","12/26/2024","12/27/2024","12/28/2024","12/29/2024","12/30/2024","31/25/2024","01/01/2024","01/02/2024","01/03/2024","01/04/2024","01/05/2024"}))</f>
        <v>#VALUE!</v>
      </c>
      <c r="AH272" s="1" t="e">
        <f>ABS(NETWORKDAYS.INTL("06/17/24", "06/13/24", 1, {"01/01/2024","01/15/2024","02/19/2024","05/27/2024","07/04/2024","09/02/2024","10/14/2024","11/11/2024","11/28/2024","12/25/2024","12/25/2024","12/26/2024","12/27/2024","12/28/2024","12/29/2024","12/30/2024","31/25/2024","01/01/2024","01/02/2024","01/03/2024","01/04/2024","01/05/2024"}))</f>
        <v>#VALUE!</v>
      </c>
      <c r="AI272" s="1" t="e">
        <f>ABS(NETWORKDAYS.INTL("06/28/24", "06/26/24", 1, {"01/01/2024","01/15/2024","02/19/2024","05/27/2024","07/04/2024","09/02/2024","10/14/2024","11/11/2024","11/28/2024","12/25/2024","12/25/2024","12/26/2024","12/27/2024","12/28/2024","12/29/2024","12/30/2024","31/25/2024","01/01/2024","01/02/2024","01/03/2024","01/04/2024","01/05/2024"}))</f>
        <v>#VALUE!</v>
      </c>
      <c r="AJ272" s="1"/>
      <c r="AK272" s="1"/>
      <c r="AL272" s="1"/>
      <c r="AM272" s="1"/>
      <c r="AN272" s="1"/>
      <c r="AO272" s="1"/>
      <c r="AP272" s="1"/>
      <c r="AQ272" s="1"/>
      <c r="AR272" s="1"/>
      <c r="AS272" s="1"/>
      <c r="AT272" s="1"/>
      <c r="AU272" s="1"/>
      <c r="AV272" s="1"/>
      <c r="AW272" s="1"/>
      <c r="AX272" s="1"/>
      <c r="AY272" s="1"/>
      <c r="AZ272" s="1"/>
    </row>
    <row r="273" spans="1:52" ht="15" customHeight="1" x14ac:dyDescent="0.35">
      <c r="A273" s="1" t="s">
        <v>1258</v>
      </c>
      <c r="B273" s="1" t="s">
        <v>529</v>
      </c>
      <c r="C273" s="1" t="s">
        <v>988</v>
      </c>
      <c r="D273" s="1" t="s">
        <v>1168</v>
      </c>
      <c r="E273" s="1" t="s">
        <v>1169</v>
      </c>
      <c r="F273" s="9" t="s">
        <v>1259</v>
      </c>
      <c r="G273" s="1" t="s">
        <v>463</v>
      </c>
      <c r="H2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3" s="11" t="e">
        <f>ABS(NETWORKDAYS.INTL("05/24/24", "05/30/24", 1, {"01/01/2024","01/15/2024","02/19/2024","05/27/2024","07/04/2024","09/02/2024","10/14/2024","11/11/2024","11/28/2024","12/25/2024","12/25/2024","12/26/2024","12/27/2024","12/28/2024","12/29/2024","12/30/2024","31/25/2024","01/01/2024","01/02/2024","01/03/2024","01/04/2024","01/05/2024"}))</f>
        <v>#VALUE!</v>
      </c>
      <c r="J273" s="1">
        <f>0</f>
        <v>0</v>
      </c>
      <c r="K273" s="1"/>
      <c r="L273" s="1">
        <v>1</v>
      </c>
      <c r="M273" s="1" t="e">
        <f>ABS(NETWORKDAYS.INTL("05/30/24", "05/30/24", 1, {"01/01/2024","01/15/2024","02/19/2024","05/27/2024","07/04/2024","09/02/2024","10/14/2024","11/11/2024","11/28/2024","12/25/2024","12/25/2024","12/26/2024","12/27/2024","12/28/2024","12/29/2024","12/30/2024","31/25/2024","01/01/2024","01/02/2024","01/03/2024","01/04/2024","01/05/2024"}))</f>
        <v>#VALUE!</v>
      </c>
      <c r="N273" s="1">
        <f>0</f>
        <v>0</v>
      </c>
      <c r="O273" s="1">
        <f>0</f>
        <v>0</v>
      </c>
      <c r="P273" s="1"/>
      <c r="Q273" s="1">
        <v>1</v>
      </c>
      <c r="R273" s="1">
        <v>0</v>
      </c>
      <c r="S273" s="1" t="e">
        <f>ABS(NETWORKDAYS.INTL("06/05/24", "06/12/24", 1, {"01/01/2024","01/15/2024","02/19/2024","05/27/2024","07/04/2024","09/02/2024","10/14/2024","11/11/2024","11/28/2024","12/25/2024","12/25/2024","12/26/2024","12/27/2024","12/28/2024","12/29/2024","12/30/2024","31/25/2024","01/01/2024","01/02/2024","01/03/2024","01/04/2024","01/05/2024"}))</f>
        <v>#VALUE!</v>
      </c>
      <c r="T273" s="1">
        <f>0</f>
        <v>0</v>
      </c>
      <c r="U273" s="1"/>
      <c r="V273" s="1">
        <v>2</v>
      </c>
      <c r="W273" s="1">
        <v>2</v>
      </c>
      <c r="X273" s="1" t="e">
        <f>ABS(NETWORKDAYS.INTL("06/17/24", "06/17/24", 1, {"01/01/2024","01/15/2024","02/19/2024","05/27/2024","07/04/2024","09/02/2024","10/14/2024","11/11/2024","11/28/2024","12/25/2024","12/25/2024","12/26/2024","12/27/2024","12/28/2024","12/29/2024","12/30/2024","31/25/2024","01/01/2024","01/02/2024","01/03/2024","01/04/2024","01/05/2024"})+NETWORKDAYS.INTL("06/25/24", "06/25/24", 1, {"01/01/2024","01/15/2024","02/19/2024","05/27/2024","07/04/2024","09/02/2024","10/14/2024","11/11/2024","11/28/2024","12/25/2024","12/25/2024","12/26/2024","12/27/2024","12/28/2024","12/29/2024","12/30/2024","31/25/2024","01/01/2024","01/02/2024","01/03/2024","01/04/2024","01/05/2024"}))</f>
        <v>#VALUE!</v>
      </c>
      <c r="Y273" s="1" t="e">
        <f>ABS(NETWORKDAYS.INTL("06/19/24", "06/19/24", 1, {"01/01/2024","01/15/2024","02/19/2024","05/27/2024","07/04/2024","09/02/2024","10/14/2024","11/11/2024","11/28/2024","12/25/2024","12/25/2024","12/26/2024","12/27/2024","12/28/2024","12/29/2024","12/30/2024","31/25/2024","01/01/2024","01/02/2024","01/03/2024","01/04/2024","01/05/2024"}))</f>
        <v>#VALUE!</v>
      </c>
      <c r="Z273" s="1">
        <f>0</f>
        <v>0</v>
      </c>
      <c r="AA273" s="1"/>
      <c r="AB273" s="5">
        <v>45469</v>
      </c>
      <c r="AC273" s="5">
        <v>45471</v>
      </c>
      <c r="AD273" s="1" t="e">
        <f>ABS(NETWORKDAYS.INTL("05/30/24", "05/30/24", 1, {"01/01/2024","01/15/2024","02/19/2024","05/27/2024","07/04/2024","09/02/2024","10/14/2024","11/11/2024","11/28/2024","12/25/2024","12/25/2024","12/26/2024","12/27/2024","12/28/2024","12/29/2024","12/30/2024","31/25/2024","01/01/2024","01/02/2024","01/03/2024","01/04/2024","01/05/2024"}))</f>
        <v>#VALUE!</v>
      </c>
      <c r="AE273" s="1">
        <f>0</f>
        <v>0</v>
      </c>
      <c r="AF273" s="1">
        <f>0</f>
        <v>0</v>
      </c>
      <c r="AG273" s="1" t="e">
        <f>ABS(NETWORKDAYS.INTL("06/13/24", "08/05/24", 1, {"01/01/2024","01/15/2024","02/19/2024","05/27/2024","07/04/2024","09/02/2024","10/14/2024","11/11/2024","11/28/2024","12/25/2024","12/25/2024","12/26/2024","12/27/2024","12/28/2024","12/29/2024","12/30/2024","31/25/2024","01/01/2024","01/02/2024","01/03/2024","01/04/2024","01/05/2024"}))</f>
        <v>#VALUE!</v>
      </c>
      <c r="AH273" s="1" t="e">
        <f>ABS(NETWORKDAYS.INTL("06/17/24", "06/13/24", 1, {"01/01/2024","01/15/2024","02/19/2024","05/27/2024","07/04/2024","09/02/2024","10/14/2024","11/11/2024","11/28/2024","12/25/2024","12/25/2024","12/26/2024","12/27/2024","12/28/2024","12/29/2024","12/30/2024","31/25/2024","01/01/2024","01/02/2024","01/03/2024","01/04/2024","01/05/2024"}))</f>
        <v>#VALUE!</v>
      </c>
      <c r="AI273" s="1" t="e">
        <f>ABS(NETWORKDAYS.INTL("06/28/24", "06/26/24", 1, {"01/01/2024","01/15/2024","02/19/2024","05/27/2024","07/04/2024","09/02/2024","10/14/2024","11/11/2024","11/28/2024","12/25/2024","12/25/2024","12/26/2024","12/27/2024","12/28/2024","12/29/2024","12/30/2024","31/25/2024","01/01/2024","01/02/2024","01/03/2024","01/04/2024","01/05/2024"}))</f>
        <v>#VALUE!</v>
      </c>
      <c r="AJ273" s="1"/>
      <c r="AK273" s="1"/>
      <c r="AL273" s="1"/>
      <c r="AM273" s="1"/>
      <c r="AN273" s="1"/>
      <c r="AO273" s="1"/>
      <c r="AP273" s="1"/>
      <c r="AQ273" s="1"/>
      <c r="AR273" s="1"/>
      <c r="AS273" s="1"/>
      <c r="AT273" s="1"/>
      <c r="AU273" s="1"/>
      <c r="AV273" s="1"/>
      <c r="AW273" s="1"/>
      <c r="AX273" s="1"/>
      <c r="AY273" s="1"/>
      <c r="AZ273" s="1"/>
    </row>
    <row r="274" spans="1:52" ht="15" customHeight="1" x14ac:dyDescent="0.35">
      <c r="A274" s="1" t="s">
        <v>1260</v>
      </c>
      <c r="B274" s="1" t="s">
        <v>530</v>
      </c>
      <c r="C274" s="1" t="s">
        <v>988</v>
      </c>
      <c r="D274" s="1" t="s">
        <v>1199</v>
      </c>
      <c r="E274" s="1" t="s">
        <v>810</v>
      </c>
      <c r="F274" s="9" t="s">
        <v>1261</v>
      </c>
      <c r="G274" s="1" t="s">
        <v>463</v>
      </c>
      <c r="H2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4" s="11" t="e">
        <f>ABS(NETWORKDAYS.INTL("04/23/24", "04/23/24", 1, {"01/01/2024","01/15/2024","02/19/2024","05/27/2024","07/04/2024","09/02/2024","10/14/2024","11/11/2024","11/28/2024","12/25/2024","12/25/2024","12/26/2024","12/27/2024","12/28/2024","12/29/2024","12/30/2024","31/25/2024","01/01/2024","01/02/2024","01/03/2024","01/04/2024","01/05/2024"}))</f>
        <v>#VALUE!</v>
      </c>
      <c r="J274" s="1">
        <f>0</f>
        <v>0</v>
      </c>
      <c r="K274" s="1"/>
      <c r="L274" s="1">
        <v>0</v>
      </c>
      <c r="M274" s="1">
        <f>0</f>
        <v>0</v>
      </c>
      <c r="N274" s="1">
        <f>0</f>
        <v>0</v>
      </c>
      <c r="O274" s="1">
        <f>0</f>
        <v>0</v>
      </c>
      <c r="P274" s="1"/>
      <c r="Q274" s="1">
        <v>0</v>
      </c>
      <c r="R274" s="1">
        <v>0</v>
      </c>
      <c r="S274" s="1">
        <f>0</f>
        <v>0</v>
      </c>
      <c r="T274" s="1">
        <f>0</f>
        <v>0</v>
      </c>
      <c r="U274" s="1"/>
      <c r="V274" s="1">
        <v>0</v>
      </c>
      <c r="W274" s="1">
        <v>0</v>
      </c>
      <c r="X274" s="1">
        <f>0</f>
        <v>0</v>
      </c>
      <c r="Y274" s="1">
        <f>0</f>
        <v>0</v>
      </c>
      <c r="Z274" s="1">
        <f>0</f>
        <v>0</v>
      </c>
      <c r="AA274" s="1"/>
      <c r="AB274" s="5"/>
      <c r="AC274" s="5"/>
      <c r="AD274" s="1">
        <f>0</f>
        <v>0</v>
      </c>
      <c r="AE274" s="1">
        <f>0</f>
        <v>0</v>
      </c>
      <c r="AF274" s="1">
        <f>0</f>
        <v>0</v>
      </c>
      <c r="AG274" s="1">
        <f>0</f>
        <v>0</v>
      </c>
      <c r="AH274" s="1">
        <f>0</f>
        <v>0</v>
      </c>
      <c r="AI274" s="1">
        <f>0</f>
        <v>0</v>
      </c>
      <c r="AJ274" s="1"/>
      <c r="AK274" s="1"/>
      <c r="AL274" s="1" t="b">
        <v>1</v>
      </c>
      <c r="AM274" s="1"/>
      <c r="AN274" s="1"/>
      <c r="AO274" s="1"/>
      <c r="AP274" s="1"/>
      <c r="AQ274" s="1"/>
      <c r="AR274" s="1"/>
      <c r="AS274" s="1"/>
      <c r="AT274" s="1"/>
      <c r="AU274" s="1"/>
      <c r="AV274" s="1"/>
      <c r="AW274" s="1"/>
      <c r="AX274" s="1"/>
      <c r="AY274" s="1"/>
      <c r="AZ274" s="1"/>
    </row>
    <row r="275" spans="1:52" ht="15" customHeight="1" x14ac:dyDescent="0.35">
      <c r="A275" s="1" t="s">
        <v>1262</v>
      </c>
      <c r="B275" s="1" t="s">
        <v>531</v>
      </c>
      <c r="C275" s="1" t="s">
        <v>988</v>
      </c>
      <c r="D275" s="1" t="s">
        <v>1199</v>
      </c>
      <c r="E275" s="1" t="s">
        <v>810</v>
      </c>
      <c r="F275" s="9" t="s">
        <v>1263</v>
      </c>
      <c r="G275" s="1" t="s">
        <v>463</v>
      </c>
      <c r="H2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5" s="11" t="e">
        <f>ABS(NETWORKDAYS.INTL("04/16/24", "04/16/24", 1, {"01/01/2024","01/15/2024","02/19/2024","05/27/2024","07/04/2024","09/02/2024","10/14/2024","11/11/2024","11/28/2024","12/25/2024","12/25/2024","12/26/2024","12/27/2024","12/28/2024","12/29/2024","12/30/2024","31/25/2024","01/01/2024","01/02/2024","01/03/2024","01/04/2024","01/05/2024"}))</f>
        <v>#VALUE!</v>
      </c>
      <c r="J275" s="1">
        <f>0</f>
        <v>0</v>
      </c>
      <c r="K275" s="1"/>
      <c r="L275" s="1">
        <v>0</v>
      </c>
      <c r="M275" s="1">
        <f>0</f>
        <v>0</v>
      </c>
      <c r="N275" s="1">
        <f>0</f>
        <v>0</v>
      </c>
      <c r="O275" s="1">
        <f>0</f>
        <v>0</v>
      </c>
      <c r="P275" s="1"/>
      <c r="Q275" s="1">
        <v>0</v>
      </c>
      <c r="R275" s="1">
        <v>0</v>
      </c>
      <c r="S275" s="1">
        <f>0</f>
        <v>0</v>
      </c>
      <c r="T275" s="1">
        <f>0</f>
        <v>0</v>
      </c>
      <c r="U275" s="1"/>
      <c r="V275" s="1">
        <v>0</v>
      </c>
      <c r="W275" s="1">
        <v>0</v>
      </c>
      <c r="X275" s="1">
        <f>0</f>
        <v>0</v>
      </c>
      <c r="Y275" s="1">
        <f>0</f>
        <v>0</v>
      </c>
      <c r="Z275" s="1">
        <f>0</f>
        <v>0</v>
      </c>
      <c r="AA275" s="1"/>
      <c r="AB275" s="5"/>
      <c r="AC275" s="5"/>
      <c r="AD275" s="1">
        <f>0</f>
        <v>0</v>
      </c>
      <c r="AE275" s="1">
        <f>0</f>
        <v>0</v>
      </c>
      <c r="AF275" s="1">
        <f>0</f>
        <v>0</v>
      </c>
      <c r="AG275" s="1">
        <f>0</f>
        <v>0</v>
      </c>
      <c r="AH275" s="1">
        <f>0</f>
        <v>0</v>
      </c>
      <c r="AI275" s="1">
        <f>0</f>
        <v>0</v>
      </c>
      <c r="AJ275" s="1"/>
      <c r="AK275" s="1"/>
      <c r="AL275" s="1" t="b">
        <v>1</v>
      </c>
      <c r="AM275" s="1"/>
      <c r="AN275" s="1"/>
      <c r="AO275" s="1"/>
      <c r="AP275" s="1"/>
      <c r="AQ275" s="1"/>
      <c r="AR275" s="1"/>
      <c r="AS275" s="1"/>
      <c r="AT275" s="1"/>
      <c r="AU275" s="1"/>
      <c r="AV275" s="1"/>
      <c r="AW275" s="1"/>
      <c r="AX275" s="1"/>
      <c r="AY275" s="1"/>
      <c r="AZ275" s="1"/>
    </row>
    <row r="276" spans="1:52" ht="15" customHeight="1" x14ac:dyDescent="0.35">
      <c r="A276" s="1" t="s">
        <v>1264</v>
      </c>
      <c r="B276" s="1" t="s">
        <v>532</v>
      </c>
      <c r="C276" s="1" t="s">
        <v>988</v>
      </c>
      <c r="D276" s="1" t="s">
        <v>1199</v>
      </c>
      <c r="E276" s="1" t="s">
        <v>810</v>
      </c>
      <c r="F276" s="9" t="s">
        <v>1265</v>
      </c>
      <c r="G276" s="1" t="s">
        <v>463</v>
      </c>
      <c r="H2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6" s="11" t="e">
        <f>ABS(NETWORKDAYS.INTL("04/08/24", "04/08/24", 1, {"01/01/2024","01/15/2024","02/19/2024","05/27/2024","07/04/2024","09/02/2024","10/14/2024","11/11/2024","11/28/2024","12/25/2024","12/25/2024","12/26/2024","12/27/2024","12/28/2024","12/29/2024","12/30/2024","31/25/2024","01/01/2024","01/02/2024","01/03/2024","01/04/2024","01/05/2024"}))</f>
        <v>#VALUE!</v>
      </c>
      <c r="J276" s="1">
        <f>0</f>
        <v>0</v>
      </c>
      <c r="K276" s="1"/>
      <c r="L276" s="1">
        <v>0</v>
      </c>
      <c r="M276" s="1">
        <f>0</f>
        <v>0</v>
      </c>
      <c r="N276" s="1">
        <f>0</f>
        <v>0</v>
      </c>
      <c r="O276" s="1">
        <f>0</f>
        <v>0</v>
      </c>
      <c r="P276" s="1"/>
      <c r="Q276" s="1">
        <v>0</v>
      </c>
      <c r="R276" s="1">
        <v>0</v>
      </c>
      <c r="S276" s="1">
        <f>0</f>
        <v>0</v>
      </c>
      <c r="T276" s="1">
        <f>0</f>
        <v>0</v>
      </c>
      <c r="U276" s="1"/>
      <c r="V276" s="1">
        <v>0</v>
      </c>
      <c r="W276" s="1">
        <v>1</v>
      </c>
      <c r="X276" s="1" t="e">
        <f>ABS(NETWORKDAYS.INTL("05/22/24", "05/22/24", 1, {"01/01/2024","01/15/2024","02/19/2024","05/27/2024","07/04/2024","09/02/2024","10/14/2024","11/11/2024","11/28/2024","12/25/2024","12/25/2024","12/26/2024","12/27/2024","12/28/2024","12/29/2024","12/30/2024","31/25/2024","01/01/2024","01/02/2024","01/03/2024","01/04/2024","01/05/2024"}))</f>
        <v>#VALUE!</v>
      </c>
      <c r="Y276" s="1">
        <f>0</f>
        <v>0</v>
      </c>
      <c r="Z276" s="1">
        <f>0</f>
        <v>0</v>
      </c>
      <c r="AA276" s="1"/>
      <c r="AB276" s="5"/>
      <c r="AC276" s="5"/>
      <c r="AD276" s="1">
        <f>0</f>
        <v>0</v>
      </c>
      <c r="AE276" s="1">
        <f>0</f>
        <v>0</v>
      </c>
      <c r="AF276" s="1">
        <f>0</f>
        <v>0</v>
      </c>
      <c r="AG276" s="1">
        <f>0</f>
        <v>0</v>
      </c>
      <c r="AH276" s="1" t="e">
        <f>ABS(NETWORKDAYS.INTL("05/22/24", "08/05/24", 1, {"01/01/2024","01/15/2024","02/19/2024","05/27/2024","07/04/2024","09/02/2024","10/14/2024","11/11/2024","11/28/2024","12/25/2024","12/25/2024","12/26/2024","12/27/2024","12/28/2024","12/29/2024","12/30/2024","31/25/2024","01/01/2024","01/02/2024","01/03/2024","01/04/2024","01/05/2024"}))</f>
        <v>#VALUE!</v>
      </c>
      <c r="AI276" s="1">
        <f>0</f>
        <v>0</v>
      </c>
      <c r="AJ276" s="1"/>
      <c r="AK276" s="1"/>
      <c r="AL276" s="1" t="b">
        <v>1</v>
      </c>
      <c r="AM276" s="1"/>
      <c r="AN276" s="1"/>
      <c r="AO276" s="1"/>
      <c r="AP276" s="1"/>
      <c r="AQ276" s="1"/>
      <c r="AR276" s="1"/>
      <c r="AS276" s="1"/>
      <c r="AT276" s="1"/>
      <c r="AU276" s="1"/>
      <c r="AV276" s="1"/>
      <c r="AW276" s="1"/>
      <c r="AX276" s="1"/>
      <c r="AY276" s="1"/>
      <c r="AZ276" s="1"/>
    </row>
    <row r="277" spans="1:52" ht="15" customHeight="1" x14ac:dyDescent="0.35">
      <c r="A277" s="1" t="s">
        <v>1266</v>
      </c>
      <c r="B277" s="1" t="s">
        <v>533</v>
      </c>
      <c r="C277" s="1" t="s">
        <v>988</v>
      </c>
      <c r="D277" s="1" t="s">
        <v>1199</v>
      </c>
      <c r="E277" s="1" t="s">
        <v>810</v>
      </c>
      <c r="F277" s="9" t="s">
        <v>1267</v>
      </c>
      <c r="G277" s="1" t="s">
        <v>463</v>
      </c>
      <c r="H2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7" s="11" t="e">
        <f>ABS(NETWORKDAYS.INTL("04/23/24", "04/25/24", 1, {"01/01/2024","01/15/2024","02/19/2024","05/27/2024","07/04/2024","09/02/2024","10/14/2024","11/11/2024","11/28/2024","12/25/2024","12/25/2024","12/26/2024","12/27/2024","12/28/2024","12/29/2024","12/30/2024","31/25/2024","01/01/2024","01/02/2024","01/03/2024","01/04/2024","01/05/2024"}))</f>
        <v>#VALUE!</v>
      </c>
      <c r="J277" s="1">
        <f>0</f>
        <v>0</v>
      </c>
      <c r="K277" s="1"/>
      <c r="L277" s="1">
        <v>0</v>
      </c>
      <c r="M277" s="1">
        <f>0</f>
        <v>0</v>
      </c>
      <c r="N277" s="1">
        <f>0</f>
        <v>0</v>
      </c>
      <c r="O277" s="1">
        <f>0</f>
        <v>0</v>
      </c>
      <c r="P277" s="1"/>
      <c r="Q277" s="1">
        <v>0</v>
      </c>
      <c r="R277" s="1">
        <v>0</v>
      </c>
      <c r="S277" s="1">
        <f>0</f>
        <v>0</v>
      </c>
      <c r="T277" s="1">
        <f>0</f>
        <v>0</v>
      </c>
      <c r="U277" s="1"/>
      <c r="V277" s="1">
        <v>0</v>
      </c>
      <c r="W277" s="1">
        <v>0</v>
      </c>
      <c r="X277" s="1">
        <f>0</f>
        <v>0</v>
      </c>
      <c r="Y277" s="1">
        <f>0</f>
        <v>0</v>
      </c>
      <c r="Z277" s="1">
        <f>0</f>
        <v>0</v>
      </c>
      <c r="AA277" s="1"/>
      <c r="AB277" s="5"/>
      <c r="AC277" s="5"/>
      <c r="AD277" s="1">
        <f>0</f>
        <v>0</v>
      </c>
      <c r="AE277" s="1">
        <f>0</f>
        <v>0</v>
      </c>
      <c r="AF277" s="1">
        <f>0</f>
        <v>0</v>
      </c>
      <c r="AG277" s="1">
        <f>0</f>
        <v>0</v>
      </c>
      <c r="AH277" s="1">
        <f>0</f>
        <v>0</v>
      </c>
      <c r="AI277" s="1">
        <f>0</f>
        <v>0</v>
      </c>
      <c r="AJ277" s="1"/>
      <c r="AK277" s="1"/>
      <c r="AL277" s="1" t="b">
        <v>1</v>
      </c>
      <c r="AM277" s="1"/>
      <c r="AN277" s="1"/>
      <c r="AO277" s="1"/>
      <c r="AP277" s="1"/>
      <c r="AQ277" s="1"/>
      <c r="AR277" s="1"/>
      <c r="AS277" s="1"/>
      <c r="AT277" s="1"/>
      <c r="AU277" s="1"/>
      <c r="AV277" s="1"/>
      <c r="AW277" s="1"/>
      <c r="AX277" s="1"/>
      <c r="AY277" s="1"/>
      <c r="AZ277" s="1"/>
    </row>
    <row r="278" spans="1:52" ht="15" customHeight="1" x14ac:dyDescent="0.35">
      <c r="A278" s="1" t="s">
        <v>1268</v>
      </c>
      <c r="B278" s="1" t="s">
        <v>534</v>
      </c>
      <c r="C278" s="1" t="s">
        <v>988</v>
      </c>
      <c r="D278" s="1" t="s">
        <v>1199</v>
      </c>
      <c r="E278" s="1" t="s">
        <v>810</v>
      </c>
      <c r="F278" s="9" t="s">
        <v>1269</v>
      </c>
      <c r="G278" s="1" t="s">
        <v>463</v>
      </c>
      <c r="H2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8" s="11" t="e">
        <f>ABS(NETWORKDAYS.INTL("04/08/24", "04/08/24", 1, {"01/01/2024","01/15/2024","02/19/2024","05/27/2024","07/04/2024","09/02/2024","10/14/2024","11/11/2024","11/28/2024","12/25/2024","12/25/2024","12/26/2024","12/27/2024","12/28/2024","12/29/2024","12/30/2024","31/25/2024","01/01/2024","01/02/2024","01/03/2024","01/04/2024","01/05/2024"}))</f>
        <v>#VALUE!</v>
      </c>
      <c r="J278" s="1">
        <f>0</f>
        <v>0</v>
      </c>
      <c r="K278" s="1"/>
      <c r="L278" s="1">
        <v>0</v>
      </c>
      <c r="M278" s="1">
        <f>0</f>
        <v>0</v>
      </c>
      <c r="N278" s="1">
        <f>0</f>
        <v>0</v>
      </c>
      <c r="O278" s="1">
        <f>0</f>
        <v>0</v>
      </c>
      <c r="P278" s="1"/>
      <c r="Q278" s="1">
        <v>0</v>
      </c>
      <c r="R278" s="1">
        <v>0</v>
      </c>
      <c r="S278" s="1">
        <f>0</f>
        <v>0</v>
      </c>
      <c r="T278" s="1">
        <f>0</f>
        <v>0</v>
      </c>
      <c r="U278" s="1"/>
      <c r="V278" s="1">
        <v>0</v>
      </c>
      <c r="W278" s="1">
        <v>0</v>
      </c>
      <c r="X278" s="1">
        <f>0</f>
        <v>0</v>
      </c>
      <c r="Y278" s="1">
        <f>0</f>
        <v>0</v>
      </c>
      <c r="Z278" s="1">
        <f>0</f>
        <v>0</v>
      </c>
      <c r="AA278" s="1"/>
      <c r="AB278" s="5"/>
      <c r="AC278" s="5"/>
      <c r="AD278" s="1">
        <f>0</f>
        <v>0</v>
      </c>
      <c r="AE278" s="1">
        <f>0</f>
        <v>0</v>
      </c>
      <c r="AF278" s="1">
        <f>0</f>
        <v>0</v>
      </c>
      <c r="AG278" s="1">
        <f>0</f>
        <v>0</v>
      </c>
      <c r="AH278" s="1">
        <f>0</f>
        <v>0</v>
      </c>
      <c r="AI278" s="1">
        <f>0</f>
        <v>0</v>
      </c>
      <c r="AJ278" s="1"/>
      <c r="AK278" s="1"/>
      <c r="AL278" s="1" t="b">
        <v>1</v>
      </c>
      <c r="AM278" s="1"/>
      <c r="AN278" s="1"/>
      <c r="AO278" s="1"/>
      <c r="AP278" s="1"/>
      <c r="AQ278" s="1"/>
      <c r="AR278" s="1"/>
      <c r="AS278" s="1"/>
      <c r="AT278" s="1"/>
      <c r="AU278" s="1"/>
      <c r="AV278" s="1"/>
      <c r="AW278" s="1"/>
      <c r="AX278" s="1"/>
      <c r="AY278" s="1"/>
      <c r="AZ278" s="1"/>
    </row>
    <row r="279" spans="1:52" ht="15" customHeight="1" x14ac:dyDescent="0.35">
      <c r="A279" s="1" t="s">
        <v>1270</v>
      </c>
      <c r="B279" s="1" t="s">
        <v>535</v>
      </c>
      <c r="C279" s="1" t="s">
        <v>988</v>
      </c>
      <c r="D279" s="1" t="s">
        <v>1199</v>
      </c>
      <c r="E279" s="1" t="s">
        <v>810</v>
      </c>
      <c r="F279" s="9" t="s">
        <v>1271</v>
      </c>
      <c r="G279" s="1" t="s">
        <v>463</v>
      </c>
      <c r="H2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79" s="11" t="e">
        <f>ABS(NETWORKDAYS.INTL("04/16/24", "04/16/24", 1, {"01/01/2024","01/15/2024","02/19/2024","05/27/2024","07/04/2024","09/02/2024","10/14/2024","11/11/2024","11/28/2024","12/25/2024","12/25/2024","12/26/2024","12/27/2024","12/28/2024","12/29/2024","12/30/2024","31/25/2024","01/01/2024","01/02/2024","01/03/2024","01/04/2024","01/05/2024"}))</f>
        <v>#VALUE!</v>
      </c>
      <c r="J279" s="1">
        <f>0</f>
        <v>0</v>
      </c>
      <c r="K279" s="1"/>
      <c r="L279" s="1">
        <v>0</v>
      </c>
      <c r="M279" s="1">
        <f>0</f>
        <v>0</v>
      </c>
      <c r="N279" s="1">
        <f>0</f>
        <v>0</v>
      </c>
      <c r="O279" s="1">
        <f>0</f>
        <v>0</v>
      </c>
      <c r="P279" s="1"/>
      <c r="Q279" s="1">
        <v>0</v>
      </c>
      <c r="R279" s="1">
        <v>0</v>
      </c>
      <c r="S279" s="1">
        <f>0</f>
        <v>0</v>
      </c>
      <c r="T279" s="1">
        <f>0</f>
        <v>0</v>
      </c>
      <c r="U279" s="1"/>
      <c r="V279" s="1">
        <v>0</v>
      </c>
      <c r="W279" s="1">
        <v>1</v>
      </c>
      <c r="X279" s="1" t="e">
        <f>ABS(NETWORKDAYS.INTL("06/04/24", "06/04/24", 1, {"01/01/2024","01/15/2024","02/19/2024","05/27/2024","07/04/2024","09/02/2024","10/14/2024","11/11/2024","11/28/2024","12/25/2024","12/25/2024","12/26/2024","12/27/2024","12/28/2024","12/29/2024","12/30/2024","31/25/2024","01/01/2024","01/02/2024","01/03/2024","01/04/2024","01/05/2024"}))</f>
        <v>#VALUE!</v>
      </c>
      <c r="Y279" s="1">
        <f>0</f>
        <v>0</v>
      </c>
      <c r="Z279" s="1">
        <f>0</f>
        <v>0</v>
      </c>
      <c r="AA279" s="1"/>
      <c r="AB279" s="5"/>
      <c r="AC279" s="5"/>
      <c r="AD279" s="1">
        <f>0</f>
        <v>0</v>
      </c>
      <c r="AE279" s="1">
        <f>0</f>
        <v>0</v>
      </c>
      <c r="AF279" s="1">
        <f>0</f>
        <v>0</v>
      </c>
      <c r="AG279" s="1">
        <f>0</f>
        <v>0</v>
      </c>
      <c r="AH279" s="1" t="e">
        <f>ABS(NETWORKDAYS.INTL("06/04/24", "08/05/24", 1, {"01/01/2024","01/15/2024","02/19/2024","05/27/2024","07/04/2024","09/02/2024","10/14/2024","11/11/2024","11/28/2024","12/25/2024","12/25/2024","12/26/2024","12/27/2024","12/28/2024","12/29/2024","12/30/2024","31/25/2024","01/01/2024","01/02/2024","01/03/2024","01/04/2024","01/05/2024"}))</f>
        <v>#VALUE!</v>
      </c>
      <c r="AI279" s="1">
        <f>0</f>
        <v>0</v>
      </c>
      <c r="AJ279" s="1"/>
      <c r="AK279" s="1"/>
      <c r="AL279" s="1" t="b">
        <v>1</v>
      </c>
      <c r="AM279" s="1"/>
      <c r="AN279" s="1"/>
      <c r="AO279" s="1"/>
      <c r="AP279" s="1"/>
      <c r="AQ279" s="1"/>
      <c r="AR279" s="1"/>
      <c r="AS279" s="1"/>
      <c r="AT279" s="1"/>
      <c r="AU279" s="1"/>
      <c r="AV279" s="1"/>
      <c r="AW279" s="1"/>
      <c r="AX279" s="1"/>
      <c r="AY279" s="1"/>
      <c r="AZ279" s="1"/>
    </row>
    <row r="280" spans="1:52" ht="15" customHeight="1" x14ac:dyDescent="0.35">
      <c r="A280" s="1" t="s">
        <v>1272</v>
      </c>
      <c r="B280" s="1" t="s">
        <v>536</v>
      </c>
      <c r="C280" s="1" t="s">
        <v>988</v>
      </c>
      <c r="D280" s="1" t="s">
        <v>1199</v>
      </c>
      <c r="E280" s="1" t="s">
        <v>810</v>
      </c>
      <c r="F280" s="9" t="s">
        <v>1273</v>
      </c>
      <c r="G280" s="1" t="s">
        <v>463</v>
      </c>
      <c r="H2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0" s="11" t="e">
        <f>ABS(NETWORKDAYS.INTL("04/16/24", "04/16/24", 1, {"01/01/2024","01/15/2024","02/19/2024","05/27/2024","07/04/2024","09/02/2024","10/14/2024","11/11/2024","11/28/2024","12/25/2024","12/25/2024","12/26/2024","12/27/2024","12/28/2024","12/29/2024","12/30/2024","31/25/2024","01/01/2024","01/02/2024","01/03/2024","01/04/2024","01/05/2024"}))</f>
        <v>#VALUE!</v>
      </c>
      <c r="J280" s="1">
        <f>0</f>
        <v>0</v>
      </c>
      <c r="K280" s="1"/>
      <c r="L280" s="1">
        <v>0</v>
      </c>
      <c r="M280" s="1">
        <f>0</f>
        <v>0</v>
      </c>
      <c r="N280" s="1">
        <f>0</f>
        <v>0</v>
      </c>
      <c r="O280" s="1">
        <f>0</f>
        <v>0</v>
      </c>
      <c r="P280" s="1"/>
      <c r="Q280" s="1">
        <v>0</v>
      </c>
      <c r="R280" s="1">
        <v>0</v>
      </c>
      <c r="S280" s="1">
        <f>0</f>
        <v>0</v>
      </c>
      <c r="T280" s="1">
        <f>0</f>
        <v>0</v>
      </c>
      <c r="U280" s="1"/>
      <c r="V280" s="1">
        <v>0</v>
      </c>
      <c r="W280" s="1">
        <v>1</v>
      </c>
      <c r="X280" s="1" t="e">
        <f>ABS(NETWORKDAYS.INTL("06/04/24", "06/04/24", 1, {"01/01/2024","01/15/2024","02/19/2024","05/27/2024","07/04/2024","09/02/2024","10/14/2024","11/11/2024","11/28/2024","12/25/2024","12/25/2024","12/26/2024","12/27/2024","12/28/2024","12/29/2024","12/30/2024","31/25/2024","01/01/2024","01/02/2024","01/03/2024","01/04/2024","01/05/2024"}))</f>
        <v>#VALUE!</v>
      </c>
      <c r="Y280" s="1">
        <f>0</f>
        <v>0</v>
      </c>
      <c r="Z280" s="1">
        <f>0</f>
        <v>0</v>
      </c>
      <c r="AA280" s="1"/>
      <c r="AB280" s="5"/>
      <c r="AC280" s="5"/>
      <c r="AD280" s="1">
        <f>0</f>
        <v>0</v>
      </c>
      <c r="AE280" s="1">
        <f>0</f>
        <v>0</v>
      </c>
      <c r="AF280" s="1">
        <f>0</f>
        <v>0</v>
      </c>
      <c r="AG280" s="1">
        <f>0</f>
        <v>0</v>
      </c>
      <c r="AH280" s="1" t="e">
        <f>ABS(NETWORKDAYS.INTL("06/04/24", "08/05/24", 1, {"01/01/2024","01/15/2024","02/19/2024","05/27/2024","07/04/2024","09/02/2024","10/14/2024","11/11/2024","11/28/2024","12/25/2024","12/25/2024","12/26/2024","12/27/2024","12/28/2024","12/29/2024","12/30/2024","31/25/2024","01/01/2024","01/02/2024","01/03/2024","01/04/2024","01/05/2024"}))</f>
        <v>#VALUE!</v>
      </c>
      <c r="AI280" s="1">
        <f>0</f>
        <v>0</v>
      </c>
      <c r="AJ280" s="1"/>
      <c r="AK280" s="1"/>
      <c r="AL280" s="1" t="b">
        <v>1</v>
      </c>
      <c r="AM280" s="1"/>
      <c r="AN280" s="1"/>
      <c r="AO280" s="1"/>
      <c r="AP280" s="1"/>
      <c r="AQ280" s="1"/>
      <c r="AR280" s="1"/>
      <c r="AS280" s="1"/>
      <c r="AT280" s="1"/>
      <c r="AU280" s="1"/>
      <c r="AV280" s="1"/>
      <c r="AW280" s="1"/>
      <c r="AX280" s="1"/>
      <c r="AY280" s="1"/>
      <c r="AZ280" s="1"/>
    </row>
    <row r="281" spans="1:52" ht="15" customHeight="1" x14ac:dyDescent="0.35">
      <c r="A281" s="1" t="s">
        <v>1274</v>
      </c>
      <c r="B281" s="1" t="s">
        <v>537</v>
      </c>
      <c r="C281" s="1" t="s">
        <v>988</v>
      </c>
      <c r="D281" s="1" t="s">
        <v>1199</v>
      </c>
      <c r="E281" s="1" t="s">
        <v>810</v>
      </c>
      <c r="F281" s="9" t="s">
        <v>1275</v>
      </c>
      <c r="G281" s="1" t="s">
        <v>463</v>
      </c>
      <c r="H2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1" s="11" t="e">
        <f>ABS(NETWORKDAYS.INTL("04/15/24", "04/15/24", 1, {"01/01/2024","01/15/2024","02/19/2024","05/27/2024","07/04/2024","09/02/2024","10/14/2024","11/11/2024","11/28/2024","12/25/2024","12/25/2024","12/26/2024","12/27/2024","12/28/2024","12/29/2024","12/30/2024","31/25/2024","01/01/2024","01/02/2024","01/03/2024","01/04/2024","01/05/2024"}))</f>
        <v>#VALUE!</v>
      </c>
      <c r="J281" s="1">
        <f>0</f>
        <v>0</v>
      </c>
      <c r="K281" s="1"/>
      <c r="L281" s="1">
        <v>0</v>
      </c>
      <c r="M281" s="1">
        <f>0</f>
        <v>0</v>
      </c>
      <c r="N281" s="1">
        <f>0</f>
        <v>0</v>
      </c>
      <c r="O281" s="1">
        <f>0</f>
        <v>0</v>
      </c>
      <c r="P281" s="1"/>
      <c r="Q281" s="1">
        <v>0</v>
      </c>
      <c r="R281" s="1">
        <v>0</v>
      </c>
      <c r="S281" s="1">
        <f>0</f>
        <v>0</v>
      </c>
      <c r="T281" s="1">
        <f>0</f>
        <v>0</v>
      </c>
      <c r="U281" s="1"/>
      <c r="V281" s="1">
        <v>0</v>
      </c>
      <c r="W281" s="1">
        <v>1</v>
      </c>
      <c r="X281" s="1" t="e">
        <f>ABS(NETWORKDAYS.INTL("05/22/24", "05/22/24", 1, {"01/01/2024","01/15/2024","02/19/2024","05/27/2024","07/04/2024","09/02/2024","10/14/2024","11/11/2024","11/28/2024","12/25/2024","12/25/2024","12/26/2024","12/27/2024","12/28/2024","12/29/2024","12/30/2024","31/25/2024","01/01/2024","01/02/2024","01/03/2024","01/04/2024","01/05/2024"}))</f>
        <v>#VALUE!</v>
      </c>
      <c r="Y281" s="1">
        <f>0</f>
        <v>0</v>
      </c>
      <c r="Z281" s="1">
        <f>0</f>
        <v>0</v>
      </c>
      <c r="AA281" s="1"/>
      <c r="AB281" s="5"/>
      <c r="AC281" s="5"/>
      <c r="AD281" s="1">
        <f>0</f>
        <v>0</v>
      </c>
      <c r="AE281" s="1">
        <f>0</f>
        <v>0</v>
      </c>
      <c r="AF281" s="1">
        <f>0</f>
        <v>0</v>
      </c>
      <c r="AG281" s="1">
        <f>0</f>
        <v>0</v>
      </c>
      <c r="AH281" s="1" t="e">
        <f>ABS(NETWORKDAYS.INTL("05/22/24", "08/05/24", 1, {"01/01/2024","01/15/2024","02/19/2024","05/27/2024","07/04/2024","09/02/2024","10/14/2024","11/11/2024","11/28/2024","12/25/2024","12/25/2024","12/26/2024","12/27/2024","12/28/2024","12/29/2024","12/30/2024","31/25/2024","01/01/2024","01/02/2024","01/03/2024","01/04/2024","01/05/2024"}))</f>
        <v>#VALUE!</v>
      </c>
      <c r="AI281" s="1">
        <f>0</f>
        <v>0</v>
      </c>
      <c r="AJ281" s="1"/>
      <c r="AK281" s="1"/>
      <c r="AL281" s="1" t="b">
        <v>1</v>
      </c>
      <c r="AM281" s="1"/>
      <c r="AN281" s="1"/>
      <c r="AO281" s="1"/>
      <c r="AP281" s="1"/>
      <c r="AQ281" s="1"/>
      <c r="AR281" s="1"/>
      <c r="AS281" s="1"/>
      <c r="AT281" s="1"/>
      <c r="AU281" s="1"/>
      <c r="AV281" s="1"/>
      <c r="AW281" s="1"/>
      <c r="AX281" s="1"/>
      <c r="AY281" s="1"/>
      <c r="AZ281" s="1"/>
    </row>
    <row r="282" spans="1:52" ht="15" customHeight="1" x14ac:dyDescent="0.35">
      <c r="A282" s="1" t="s">
        <v>1276</v>
      </c>
      <c r="B282" s="1" t="s">
        <v>538</v>
      </c>
      <c r="C282" s="1" t="s">
        <v>988</v>
      </c>
      <c r="D282" s="1" t="s">
        <v>1199</v>
      </c>
      <c r="E282" s="1" t="s">
        <v>810</v>
      </c>
      <c r="F282" s="9" t="s">
        <v>1277</v>
      </c>
      <c r="G282" s="1" t="s">
        <v>463</v>
      </c>
      <c r="H2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2" s="11" t="e">
        <f>ABS(NETWORKDAYS.INTL("04/15/24", "04/15/24", 1, {"01/01/2024","01/15/2024","02/19/2024","05/27/2024","07/04/2024","09/02/2024","10/14/2024","11/11/2024","11/28/2024","12/25/2024","12/25/2024","12/26/2024","12/27/2024","12/28/2024","12/29/2024","12/30/2024","31/25/2024","01/01/2024","01/02/2024","01/03/2024","01/04/2024","01/05/2024"}))</f>
        <v>#VALUE!</v>
      </c>
      <c r="J282" s="1">
        <f>0</f>
        <v>0</v>
      </c>
      <c r="K282" s="1"/>
      <c r="L282" s="1">
        <v>0</v>
      </c>
      <c r="M282" s="1">
        <f>0</f>
        <v>0</v>
      </c>
      <c r="N282" s="1">
        <f>0</f>
        <v>0</v>
      </c>
      <c r="O282" s="1">
        <f>0</f>
        <v>0</v>
      </c>
      <c r="P282" s="1"/>
      <c r="Q282" s="1">
        <v>0</v>
      </c>
      <c r="R282" s="1">
        <v>0</v>
      </c>
      <c r="S282" s="1">
        <f>0</f>
        <v>0</v>
      </c>
      <c r="T282" s="1">
        <f>0</f>
        <v>0</v>
      </c>
      <c r="U282" s="1"/>
      <c r="V282" s="1">
        <v>0</v>
      </c>
      <c r="W282" s="1">
        <v>0</v>
      </c>
      <c r="X282" s="1">
        <f>0</f>
        <v>0</v>
      </c>
      <c r="Y282" s="1">
        <f>0</f>
        <v>0</v>
      </c>
      <c r="Z282" s="1">
        <f>0</f>
        <v>0</v>
      </c>
      <c r="AA282" s="1"/>
      <c r="AB282" s="5"/>
      <c r="AC282" s="5"/>
      <c r="AD282" s="1">
        <f>0</f>
        <v>0</v>
      </c>
      <c r="AE282" s="1">
        <f>0</f>
        <v>0</v>
      </c>
      <c r="AF282" s="1">
        <f>0</f>
        <v>0</v>
      </c>
      <c r="AG282" s="1">
        <f>0</f>
        <v>0</v>
      </c>
      <c r="AH282" s="1">
        <f>0</f>
        <v>0</v>
      </c>
      <c r="AI282" s="1">
        <f>0</f>
        <v>0</v>
      </c>
      <c r="AJ282" s="1"/>
      <c r="AK282" s="1"/>
      <c r="AL282" s="1" t="b">
        <v>1</v>
      </c>
      <c r="AM282" s="1"/>
      <c r="AN282" s="1"/>
      <c r="AO282" s="1"/>
      <c r="AP282" s="1"/>
      <c r="AQ282" s="1"/>
      <c r="AR282" s="1"/>
      <c r="AS282" s="1"/>
      <c r="AT282" s="1"/>
      <c r="AU282" s="1"/>
      <c r="AV282" s="1"/>
      <c r="AW282" s="1"/>
      <c r="AX282" s="1"/>
      <c r="AY282" s="1"/>
      <c r="AZ282" s="1"/>
    </row>
    <row r="283" spans="1:52" ht="15" customHeight="1" x14ac:dyDescent="0.35">
      <c r="A283" s="1" t="s">
        <v>1278</v>
      </c>
      <c r="B283" s="1" t="s">
        <v>539</v>
      </c>
      <c r="C283" s="1" t="s">
        <v>988</v>
      </c>
      <c r="D283" s="1" t="s">
        <v>1199</v>
      </c>
      <c r="E283" s="1" t="s">
        <v>810</v>
      </c>
      <c r="F283" s="9" t="s">
        <v>1279</v>
      </c>
      <c r="G283" s="1" t="s">
        <v>463</v>
      </c>
      <c r="H2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3" s="11" t="e">
        <f>ABS(NETWORKDAYS.INTL("04/08/24", "04/08/24", 1, {"01/01/2024","01/15/2024","02/19/2024","05/27/2024","07/04/2024","09/02/2024","10/14/2024","11/11/2024","11/28/2024","12/25/2024","12/25/2024","12/26/2024","12/27/2024","12/28/2024","12/29/2024","12/30/2024","31/25/2024","01/01/2024","01/02/2024","01/03/2024","01/04/2024","01/05/2024"}))</f>
        <v>#VALUE!</v>
      </c>
      <c r="J283" s="1">
        <f>0</f>
        <v>0</v>
      </c>
      <c r="K283" s="1"/>
      <c r="L283" s="1">
        <v>0</v>
      </c>
      <c r="M283" s="1">
        <f>0</f>
        <v>0</v>
      </c>
      <c r="N283" s="1">
        <f>0</f>
        <v>0</v>
      </c>
      <c r="O283" s="1">
        <f>0</f>
        <v>0</v>
      </c>
      <c r="P283" s="1"/>
      <c r="Q283" s="1">
        <v>0</v>
      </c>
      <c r="R283" s="1">
        <v>0</v>
      </c>
      <c r="S283" s="1">
        <f>0</f>
        <v>0</v>
      </c>
      <c r="T283" s="1">
        <f>0</f>
        <v>0</v>
      </c>
      <c r="U283" s="1"/>
      <c r="V283" s="1">
        <v>0</v>
      </c>
      <c r="W283" s="1">
        <v>1</v>
      </c>
      <c r="X283" s="1" t="e">
        <f>ABS(NETWORKDAYS.INTL("05/22/24", "05/22/24", 1, {"01/01/2024","01/15/2024","02/19/2024","05/27/2024","07/04/2024","09/02/2024","10/14/2024","11/11/2024","11/28/2024","12/25/2024","12/25/2024","12/26/2024","12/27/2024","12/28/2024","12/29/2024","12/30/2024","31/25/2024","01/01/2024","01/02/2024","01/03/2024","01/04/2024","01/05/2024"}))</f>
        <v>#VALUE!</v>
      </c>
      <c r="Y283" s="1">
        <f>0</f>
        <v>0</v>
      </c>
      <c r="Z283" s="1">
        <f>0</f>
        <v>0</v>
      </c>
      <c r="AA283" s="1"/>
      <c r="AB283" s="5"/>
      <c r="AC283" s="5"/>
      <c r="AD283" s="1">
        <f>0</f>
        <v>0</v>
      </c>
      <c r="AE283" s="1">
        <f>0</f>
        <v>0</v>
      </c>
      <c r="AF283" s="1">
        <f>0</f>
        <v>0</v>
      </c>
      <c r="AG283" s="1">
        <f>0</f>
        <v>0</v>
      </c>
      <c r="AH283" s="1" t="e">
        <f>ABS(NETWORKDAYS.INTL("05/22/24", "08/05/24", 1, {"01/01/2024","01/15/2024","02/19/2024","05/27/2024","07/04/2024","09/02/2024","10/14/2024","11/11/2024","11/28/2024","12/25/2024","12/25/2024","12/26/2024","12/27/2024","12/28/2024","12/29/2024","12/30/2024","31/25/2024","01/01/2024","01/02/2024","01/03/2024","01/04/2024","01/05/2024"}))</f>
        <v>#VALUE!</v>
      </c>
      <c r="AI283" s="1">
        <f>0</f>
        <v>0</v>
      </c>
      <c r="AJ283" s="1"/>
      <c r="AK283" s="1"/>
      <c r="AL283" s="1" t="b">
        <v>1</v>
      </c>
      <c r="AM283" s="1"/>
      <c r="AN283" s="1"/>
      <c r="AO283" s="1"/>
      <c r="AP283" s="1"/>
      <c r="AQ283" s="1"/>
      <c r="AR283" s="1"/>
      <c r="AS283" s="1"/>
      <c r="AT283" s="1"/>
      <c r="AU283" s="1"/>
      <c r="AV283" s="1"/>
      <c r="AW283" s="1"/>
      <c r="AX283" s="1"/>
      <c r="AY283" s="1"/>
      <c r="AZ283" s="1"/>
    </row>
    <row r="284" spans="1:52" ht="15" customHeight="1" x14ac:dyDescent="0.35">
      <c r="A284" s="1" t="s">
        <v>1280</v>
      </c>
      <c r="B284" s="1" t="s">
        <v>540</v>
      </c>
      <c r="C284" s="1" t="s">
        <v>988</v>
      </c>
      <c r="D284" s="1" t="s">
        <v>1199</v>
      </c>
      <c r="E284" s="1" t="s">
        <v>810</v>
      </c>
      <c r="F284" s="9" t="s">
        <v>1281</v>
      </c>
      <c r="G284" s="1" t="s">
        <v>463</v>
      </c>
      <c r="H2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4" s="11" t="e">
        <f>ABS(NETWORKDAYS.INTL("04/08/24", "08/05/24", 1, {"01/01/2024","01/15/2024","02/19/2024","05/27/2024","07/04/2024","09/02/2024","10/14/2024","11/11/2024","11/28/2024","12/25/2024","12/25/2024","12/26/2024","12/27/2024","12/28/2024","12/29/2024","12/30/2024","31/25/2024","01/01/2024","01/02/2024","01/03/2024","01/04/2024","01/05/2024"}))</f>
        <v>#VALUE!</v>
      </c>
      <c r="J284" s="1" t="e">
        <f>ABS(NETWORKDAYS.INTL("04/10/24", "08/05/24", 1, {"01/01/2024","01/15/2024","02/19/2024","05/27/2024","07/04/2024","09/02/2024","10/14/2024","11/11/2024","11/28/2024","12/25/2024","12/25/2024","12/26/2024","12/27/2024","12/28/2024","12/29/2024","12/30/2024","31/25/2024","01/01/2024","01/02/2024","01/03/2024","01/04/2024","01/05/2024"}))</f>
        <v>#VALUE!</v>
      </c>
      <c r="K284" s="1"/>
      <c r="L284" s="1">
        <v>0</v>
      </c>
      <c r="M284" s="1">
        <f>0</f>
        <v>0</v>
      </c>
      <c r="N284" s="1">
        <f>0</f>
        <v>0</v>
      </c>
      <c r="O284" s="1">
        <f>0</f>
        <v>0</v>
      </c>
      <c r="P284" s="1"/>
      <c r="Q284" s="1">
        <v>0</v>
      </c>
      <c r="R284" s="1">
        <v>0</v>
      </c>
      <c r="S284" s="1">
        <f>0</f>
        <v>0</v>
      </c>
      <c r="T284" s="1">
        <f>0</f>
        <v>0</v>
      </c>
      <c r="U284" s="1"/>
      <c r="V284" s="1">
        <v>0</v>
      </c>
      <c r="W284" s="1">
        <v>0</v>
      </c>
      <c r="X284" s="1">
        <f>0</f>
        <v>0</v>
      </c>
      <c r="Y284" s="1">
        <f>0</f>
        <v>0</v>
      </c>
      <c r="Z284" s="1">
        <f>0</f>
        <v>0</v>
      </c>
      <c r="AA284" s="1"/>
      <c r="AB284" s="5"/>
      <c r="AC284" s="5"/>
      <c r="AD284" s="1">
        <f>0</f>
        <v>0</v>
      </c>
      <c r="AE284" s="1">
        <f>0</f>
        <v>0</v>
      </c>
      <c r="AF284" s="1">
        <f>0</f>
        <v>0</v>
      </c>
      <c r="AG284" s="1">
        <f>0</f>
        <v>0</v>
      </c>
      <c r="AH284" s="1">
        <f>0</f>
        <v>0</v>
      </c>
      <c r="AI284" s="1">
        <f>0</f>
        <v>0</v>
      </c>
      <c r="AJ284" s="1"/>
      <c r="AK284" s="1"/>
      <c r="AL284" s="1" t="b">
        <v>1</v>
      </c>
      <c r="AM284" s="1"/>
      <c r="AN284" s="1"/>
      <c r="AO284" s="1"/>
      <c r="AP284" s="1"/>
      <c r="AQ284" s="1"/>
      <c r="AR284" s="1"/>
      <c r="AS284" s="1"/>
      <c r="AT284" s="1"/>
      <c r="AU284" s="1"/>
      <c r="AV284" s="1"/>
      <c r="AW284" s="1"/>
      <c r="AX284" s="1"/>
      <c r="AY284" s="1"/>
      <c r="AZ284" s="1"/>
    </row>
    <row r="285" spans="1:52" ht="15" customHeight="1" x14ac:dyDescent="0.35">
      <c r="A285" s="1" t="s">
        <v>1282</v>
      </c>
      <c r="B285" s="1" t="s">
        <v>541</v>
      </c>
      <c r="C285" s="1" t="s">
        <v>988</v>
      </c>
      <c r="D285" s="1" t="s">
        <v>1199</v>
      </c>
      <c r="E285" s="1" t="s">
        <v>810</v>
      </c>
      <c r="F285" s="9" t="s">
        <v>1283</v>
      </c>
      <c r="G285" s="1" t="s">
        <v>463</v>
      </c>
      <c r="H2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5" s="11" t="e">
        <f>ABS(NETWORKDAYS.INTL("04/08/24", "04/08/24", 1, {"01/01/2024","01/15/2024","02/19/2024","05/27/2024","07/04/2024","09/02/2024","10/14/2024","11/11/2024","11/28/2024","12/25/2024","12/25/2024","12/26/2024","12/27/2024","12/28/2024","12/29/2024","12/30/2024","31/25/2024","01/01/2024","01/02/2024","01/03/2024","01/04/2024","01/05/2024"}))</f>
        <v>#VALUE!</v>
      </c>
      <c r="J285" s="1">
        <f>0</f>
        <v>0</v>
      </c>
      <c r="K285" s="1"/>
      <c r="L285" s="1">
        <v>0</v>
      </c>
      <c r="M285" s="1">
        <f>0</f>
        <v>0</v>
      </c>
      <c r="N285" s="1">
        <f>0</f>
        <v>0</v>
      </c>
      <c r="O285" s="1">
        <f>0</f>
        <v>0</v>
      </c>
      <c r="P285" s="1"/>
      <c r="Q285" s="1">
        <v>0</v>
      </c>
      <c r="R285" s="1">
        <v>0</v>
      </c>
      <c r="S285" s="1">
        <f>0</f>
        <v>0</v>
      </c>
      <c r="T285" s="1">
        <f>0</f>
        <v>0</v>
      </c>
      <c r="U285" s="1"/>
      <c r="V285" s="1">
        <v>0</v>
      </c>
      <c r="W285" s="1">
        <v>1</v>
      </c>
      <c r="X285" s="1" t="e">
        <f>ABS(NETWORKDAYS.INTL("05/28/24", "05/28/24", 1, {"01/01/2024","01/15/2024","02/19/2024","05/27/2024","07/04/2024","09/02/2024","10/14/2024","11/11/2024","11/28/2024","12/25/2024","12/25/2024","12/26/2024","12/27/2024","12/28/2024","12/29/2024","12/30/2024","31/25/2024","01/01/2024","01/02/2024","01/03/2024","01/04/2024","01/05/2024"}))</f>
        <v>#VALUE!</v>
      </c>
      <c r="Y285" s="1">
        <f>0</f>
        <v>0</v>
      </c>
      <c r="Z285" s="1">
        <f>0</f>
        <v>0</v>
      </c>
      <c r="AA285" s="1"/>
      <c r="AB285" s="5"/>
      <c r="AC285" s="5"/>
      <c r="AD285" s="1">
        <f>0</f>
        <v>0</v>
      </c>
      <c r="AE285" s="1">
        <f>0</f>
        <v>0</v>
      </c>
      <c r="AF285" s="1">
        <f>0</f>
        <v>0</v>
      </c>
      <c r="AG285" s="1">
        <f>0</f>
        <v>0</v>
      </c>
      <c r="AH285" s="1" t="e">
        <f>ABS(NETWORKDAYS.INTL("05/28/24", "08/05/24", 1, {"01/01/2024","01/15/2024","02/19/2024","05/27/2024","07/04/2024","09/02/2024","10/14/2024","11/11/2024","11/28/2024","12/25/2024","12/25/2024","12/26/2024","12/27/2024","12/28/2024","12/29/2024","12/30/2024","31/25/2024","01/01/2024","01/02/2024","01/03/2024","01/04/2024","01/05/2024"}))</f>
        <v>#VALUE!</v>
      </c>
      <c r="AI285" s="1">
        <f>0</f>
        <v>0</v>
      </c>
      <c r="AJ285" s="1"/>
      <c r="AK285" s="1"/>
      <c r="AL285" s="1" t="b">
        <v>1</v>
      </c>
      <c r="AM285" s="1"/>
      <c r="AN285" s="1"/>
      <c r="AO285" s="1"/>
      <c r="AP285" s="1"/>
      <c r="AQ285" s="1"/>
      <c r="AR285" s="1"/>
      <c r="AS285" s="1"/>
      <c r="AT285" s="1"/>
      <c r="AU285" s="1"/>
      <c r="AV285" s="1"/>
      <c r="AW285" s="1"/>
      <c r="AX285" s="1"/>
      <c r="AY285" s="1"/>
      <c r="AZ285" s="1"/>
    </row>
    <row r="286" spans="1:52" ht="15" customHeight="1" x14ac:dyDescent="0.35">
      <c r="A286" s="1" t="s">
        <v>1284</v>
      </c>
      <c r="B286" s="1" t="s">
        <v>542</v>
      </c>
      <c r="C286" s="1" t="s">
        <v>988</v>
      </c>
      <c r="D286" s="1" t="s">
        <v>1199</v>
      </c>
      <c r="E286" s="1" t="s">
        <v>810</v>
      </c>
      <c r="F286" s="9" t="s">
        <v>1285</v>
      </c>
      <c r="G286" s="1" t="s">
        <v>463</v>
      </c>
      <c r="H2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6" s="11" t="e">
        <f>ABS(NETWORKDAYS.INTL("04/16/24", "08/05/24", 1, {"01/01/2024","01/15/2024","02/19/2024","05/27/2024","07/04/2024","09/02/2024","10/14/2024","11/11/2024","11/28/2024","12/25/2024","12/25/2024","12/26/2024","12/27/2024","12/28/2024","12/29/2024","12/30/2024","31/25/2024","01/01/2024","01/02/2024","01/03/2024","01/04/2024","01/05/2024"}))</f>
        <v>#VALUE!</v>
      </c>
      <c r="J286" s="1" t="e">
        <f>ABS(NETWORKDAYS.INTL("04/16/24", "08/05/24", 1, {"01/01/2024","01/15/2024","02/19/2024","05/27/2024","07/04/2024","09/02/2024","10/14/2024","11/11/2024","11/28/2024","12/25/2024","12/25/2024","12/26/2024","12/27/2024","12/28/2024","12/29/2024","12/30/2024","31/25/2024","01/01/2024","01/02/2024","01/03/2024","01/04/2024","01/05/2024"}))</f>
        <v>#VALUE!</v>
      </c>
      <c r="K286" s="1"/>
      <c r="L286" s="1">
        <v>0</v>
      </c>
      <c r="M286" s="1">
        <f>0</f>
        <v>0</v>
      </c>
      <c r="N286" s="1">
        <f>0</f>
        <v>0</v>
      </c>
      <c r="O286" s="1">
        <f>0</f>
        <v>0</v>
      </c>
      <c r="P286" s="1"/>
      <c r="Q286" s="1">
        <v>0</v>
      </c>
      <c r="R286" s="1">
        <v>0</v>
      </c>
      <c r="S286" s="1">
        <f>0</f>
        <v>0</v>
      </c>
      <c r="T286" s="1">
        <f>0</f>
        <v>0</v>
      </c>
      <c r="U286" s="1"/>
      <c r="V286" s="1">
        <v>0</v>
      </c>
      <c r="W286" s="1">
        <v>0</v>
      </c>
      <c r="X286" s="1">
        <f>0</f>
        <v>0</v>
      </c>
      <c r="Y286" s="1">
        <f>0</f>
        <v>0</v>
      </c>
      <c r="Z286" s="1">
        <f>0</f>
        <v>0</v>
      </c>
      <c r="AA286" s="1"/>
      <c r="AB286" s="5"/>
      <c r="AC286" s="5"/>
      <c r="AD286" s="1">
        <f>0</f>
        <v>0</v>
      </c>
      <c r="AE286" s="1">
        <f>0</f>
        <v>0</v>
      </c>
      <c r="AF286" s="1">
        <f>0</f>
        <v>0</v>
      </c>
      <c r="AG286" s="1">
        <f>0</f>
        <v>0</v>
      </c>
      <c r="AH286" s="1">
        <f>0</f>
        <v>0</v>
      </c>
      <c r="AI286" s="1">
        <f>0</f>
        <v>0</v>
      </c>
      <c r="AJ286" s="1"/>
      <c r="AK286" s="1"/>
      <c r="AL286" s="1" t="b">
        <v>1</v>
      </c>
      <c r="AM286" s="1"/>
      <c r="AN286" s="1"/>
      <c r="AO286" s="1"/>
      <c r="AP286" s="1"/>
      <c r="AQ286" s="1"/>
      <c r="AR286" s="1"/>
      <c r="AS286" s="1"/>
      <c r="AT286" s="1"/>
      <c r="AU286" s="1"/>
      <c r="AV286" s="1"/>
      <c r="AW286" s="1"/>
      <c r="AX286" s="1"/>
      <c r="AY286" s="1"/>
      <c r="AZ286" s="1"/>
    </row>
    <row r="287" spans="1:52" ht="15" customHeight="1" x14ac:dyDescent="0.35">
      <c r="A287" s="1" t="s">
        <v>1286</v>
      </c>
      <c r="B287" s="1" t="s">
        <v>543</v>
      </c>
      <c r="C287" s="1" t="s">
        <v>988</v>
      </c>
      <c r="D287" s="1" t="s">
        <v>1199</v>
      </c>
      <c r="E287" s="1" t="s">
        <v>810</v>
      </c>
      <c r="F287" s="9" t="s">
        <v>1287</v>
      </c>
      <c r="G287" s="1" t="s">
        <v>463</v>
      </c>
      <c r="H2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7" s="11" t="e">
        <f>ABS(NETWORKDAYS.INTL("04/08/24", "04/08/24", 1, {"01/01/2024","01/15/2024","02/19/2024","05/27/2024","07/04/2024","09/02/2024","10/14/2024","11/11/2024","11/28/2024","12/25/2024","12/25/2024","12/26/2024","12/27/2024","12/28/2024","12/29/2024","12/30/2024","31/25/2024","01/01/2024","01/02/2024","01/03/2024","01/04/2024","01/05/2024"}))</f>
        <v>#VALUE!</v>
      </c>
      <c r="J287" s="1">
        <f>0</f>
        <v>0</v>
      </c>
      <c r="K287" s="1"/>
      <c r="L287" s="1">
        <v>0</v>
      </c>
      <c r="M287" s="1">
        <f>0</f>
        <v>0</v>
      </c>
      <c r="N287" s="1">
        <f>0</f>
        <v>0</v>
      </c>
      <c r="O287" s="1">
        <f>0</f>
        <v>0</v>
      </c>
      <c r="P287" s="1"/>
      <c r="Q287" s="1">
        <v>0</v>
      </c>
      <c r="R287" s="1">
        <v>0</v>
      </c>
      <c r="S287" s="1">
        <f>0</f>
        <v>0</v>
      </c>
      <c r="T287" s="1">
        <f>0</f>
        <v>0</v>
      </c>
      <c r="U287" s="1"/>
      <c r="V287" s="1">
        <v>0</v>
      </c>
      <c r="W287" s="1">
        <v>0</v>
      </c>
      <c r="X287" s="1">
        <f>0</f>
        <v>0</v>
      </c>
      <c r="Y287" s="1">
        <f>0</f>
        <v>0</v>
      </c>
      <c r="Z287" s="1">
        <f>0</f>
        <v>0</v>
      </c>
      <c r="AA287" s="1"/>
      <c r="AB287" s="5"/>
      <c r="AC287" s="5"/>
      <c r="AD287" s="1">
        <f>0</f>
        <v>0</v>
      </c>
      <c r="AE287" s="1">
        <f>0</f>
        <v>0</v>
      </c>
      <c r="AF287" s="1">
        <f>0</f>
        <v>0</v>
      </c>
      <c r="AG287" s="1">
        <f>0</f>
        <v>0</v>
      </c>
      <c r="AH287" s="1">
        <f>0</f>
        <v>0</v>
      </c>
      <c r="AI287" s="1">
        <f>0</f>
        <v>0</v>
      </c>
      <c r="AJ287" s="1"/>
      <c r="AK287" s="1"/>
      <c r="AL287" s="1" t="b">
        <v>1</v>
      </c>
      <c r="AM287" s="1"/>
      <c r="AN287" s="1"/>
      <c r="AO287" s="1"/>
      <c r="AP287" s="1"/>
      <c r="AQ287" s="1"/>
      <c r="AR287" s="1"/>
      <c r="AS287" s="1"/>
      <c r="AT287" s="1"/>
      <c r="AU287" s="1"/>
      <c r="AV287" s="1"/>
      <c r="AW287" s="1"/>
      <c r="AX287" s="1"/>
      <c r="AY287" s="1"/>
      <c r="AZ287" s="1"/>
    </row>
    <row r="288" spans="1:52" ht="15" customHeight="1" x14ac:dyDescent="0.35">
      <c r="A288" s="1" t="s">
        <v>1288</v>
      </c>
      <c r="B288" s="1" t="s">
        <v>544</v>
      </c>
      <c r="C288" s="1" t="s">
        <v>988</v>
      </c>
      <c r="D288" s="1" t="s">
        <v>1199</v>
      </c>
      <c r="E288" s="1" t="s">
        <v>810</v>
      </c>
      <c r="F288" s="9" t="s">
        <v>1289</v>
      </c>
      <c r="G288" s="1" t="s">
        <v>463</v>
      </c>
      <c r="H2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8" s="11" t="e">
        <f>ABS(NETWORKDAYS.INTL("04/16/24", "04/16/24", 1, {"01/01/2024","01/15/2024","02/19/2024","05/27/2024","07/04/2024","09/02/2024","10/14/2024","11/11/2024","11/28/2024","12/25/2024","12/25/2024","12/26/2024","12/27/2024","12/28/2024","12/29/2024","12/30/2024","31/25/2024","01/01/2024","01/02/2024","01/03/2024","01/04/2024","01/05/2024"}))</f>
        <v>#VALUE!</v>
      </c>
      <c r="J288" s="1">
        <f>0</f>
        <v>0</v>
      </c>
      <c r="K288" s="1"/>
      <c r="L288" s="1">
        <v>0</v>
      </c>
      <c r="M288" s="1">
        <f>0</f>
        <v>0</v>
      </c>
      <c r="N288" s="1">
        <f>0</f>
        <v>0</v>
      </c>
      <c r="O288" s="1">
        <f>0</f>
        <v>0</v>
      </c>
      <c r="P288" s="1"/>
      <c r="Q288" s="1">
        <v>0</v>
      </c>
      <c r="R288" s="1">
        <v>0</v>
      </c>
      <c r="S288" s="1">
        <f>0</f>
        <v>0</v>
      </c>
      <c r="T288" s="1">
        <f>0</f>
        <v>0</v>
      </c>
      <c r="U288" s="1"/>
      <c r="V288" s="1">
        <v>0</v>
      </c>
      <c r="W288" s="1">
        <v>0</v>
      </c>
      <c r="X288" s="1">
        <f>0</f>
        <v>0</v>
      </c>
      <c r="Y288" s="1">
        <f>0</f>
        <v>0</v>
      </c>
      <c r="Z288" s="1">
        <f>0</f>
        <v>0</v>
      </c>
      <c r="AA288" s="1"/>
      <c r="AB288" s="5"/>
      <c r="AC288" s="5"/>
      <c r="AD288" s="1">
        <f>0</f>
        <v>0</v>
      </c>
      <c r="AE288" s="1">
        <f>0</f>
        <v>0</v>
      </c>
      <c r="AF288" s="1">
        <f>0</f>
        <v>0</v>
      </c>
      <c r="AG288" s="1">
        <f>0</f>
        <v>0</v>
      </c>
      <c r="AH288" s="1">
        <f>0</f>
        <v>0</v>
      </c>
      <c r="AI288" s="1">
        <f>0</f>
        <v>0</v>
      </c>
      <c r="AJ288" s="1"/>
      <c r="AK288" s="1"/>
      <c r="AL288" s="1" t="b">
        <v>1</v>
      </c>
      <c r="AM288" s="1"/>
      <c r="AN288" s="1"/>
      <c r="AO288" s="1"/>
      <c r="AP288" s="1"/>
      <c r="AQ288" s="1"/>
      <c r="AR288" s="1"/>
      <c r="AS288" s="1"/>
      <c r="AT288" s="1"/>
      <c r="AU288" s="1"/>
      <c r="AV288" s="1"/>
      <c r="AW288" s="1"/>
      <c r="AX288" s="1"/>
      <c r="AY288" s="1"/>
      <c r="AZ288" s="1"/>
    </row>
    <row r="289" spans="1:52" ht="15" customHeight="1" x14ac:dyDescent="0.35">
      <c r="A289" s="1" t="s">
        <v>1290</v>
      </c>
      <c r="B289" s="1" t="s">
        <v>545</v>
      </c>
      <c r="C289" s="1" t="s">
        <v>988</v>
      </c>
      <c r="D289" s="1" t="s">
        <v>1199</v>
      </c>
      <c r="E289" s="1" t="s">
        <v>810</v>
      </c>
      <c r="F289" s="9" t="s">
        <v>1291</v>
      </c>
      <c r="G289" s="1" t="s">
        <v>463</v>
      </c>
      <c r="H2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89" s="11" t="e">
        <f>ABS(NETWORKDAYS.INTL("04/08/24", "04/08/24", 1, {"01/01/2024","01/15/2024","02/19/2024","05/27/2024","07/04/2024","09/02/2024","10/14/2024","11/11/2024","11/28/2024","12/25/2024","12/25/2024","12/26/2024","12/27/2024","12/28/2024","12/29/2024","12/30/2024","31/25/2024","01/01/2024","01/02/2024","01/03/2024","01/04/2024","01/05/2024"}))</f>
        <v>#VALUE!</v>
      </c>
      <c r="J289" s="1">
        <f>0</f>
        <v>0</v>
      </c>
      <c r="K289" s="1"/>
      <c r="L289" s="1">
        <v>0</v>
      </c>
      <c r="M289" s="1">
        <f>0</f>
        <v>0</v>
      </c>
      <c r="N289" s="1">
        <f>0</f>
        <v>0</v>
      </c>
      <c r="O289" s="1">
        <f>0</f>
        <v>0</v>
      </c>
      <c r="P289" s="1"/>
      <c r="Q289" s="1">
        <v>0</v>
      </c>
      <c r="R289" s="1">
        <v>0</v>
      </c>
      <c r="S289" s="1">
        <f>0</f>
        <v>0</v>
      </c>
      <c r="T289" s="1">
        <f>0</f>
        <v>0</v>
      </c>
      <c r="U289" s="1"/>
      <c r="V289" s="1">
        <v>0</v>
      </c>
      <c r="W289" s="1">
        <v>0</v>
      </c>
      <c r="X289" s="1">
        <f>0</f>
        <v>0</v>
      </c>
      <c r="Y289" s="1">
        <f>0</f>
        <v>0</v>
      </c>
      <c r="Z289" s="1">
        <f>0</f>
        <v>0</v>
      </c>
      <c r="AA289" s="1"/>
      <c r="AB289" s="5"/>
      <c r="AC289" s="5"/>
      <c r="AD289" s="1">
        <f>0</f>
        <v>0</v>
      </c>
      <c r="AE289" s="1">
        <f>0</f>
        <v>0</v>
      </c>
      <c r="AF289" s="1">
        <f>0</f>
        <v>0</v>
      </c>
      <c r="AG289" s="1">
        <f>0</f>
        <v>0</v>
      </c>
      <c r="AH289" s="1">
        <f>0</f>
        <v>0</v>
      </c>
      <c r="AI289" s="1">
        <f>0</f>
        <v>0</v>
      </c>
      <c r="AJ289" s="1"/>
      <c r="AK289" s="1"/>
      <c r="AL289" s="1" t="b">
        <v>1</v>
      </c>
      <c r="AM289" s="1"/>
      <c r="AN289" s="1"/>
      <c r="AO289" s="1"/>
      <c r="AP289" s="1"/>
      <c r="AQ289" s="1"/>
      <c r="AR289" s="1"/>
      <c r="AS289" s="1"/>
      <c r="AT289" s="1"/>
      <c r="AU289" s="1"/>
      <c r="AV289" s="1"/>
      <c r="AW289" s="1"/>
      <c r="AX289" s="1"/>
      <c r="AY289" s="1"/>
      <c r="AZ289" s="1"/>
    </row>
    <row r="290" spans="1:52" ht="15" customHeight="1" x14ac:dyDescent="0.35">
      <c r="A290" s="1" t="s">
        <v>1292</v>
      </c>
      <c r="B290" s="1" t="s">
        <v>546</v>
      </c>
      <c r="C290" s="1" t="s">
        <v>988</v>
      </c>
      <c r="D290" s="1" t="s">
        <v>1199</v>
      </c>
      <c r="E290" s="1" t="s">
        <v>810</v>
      </c>
      <c r="F290" s="9" t="s">
        <v>1293</v>
      </c>
      <c r="G290" s="1" t="s">
        <v>463</v>
      </c>
      <c r="H2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0" s="11" t="e">
        <f>ABS(NETWORKDAYS.INTL("04/16/24", "04/16/24", 1, {"01/01/2024","01/15/2024","02/19/2024","05/27/2024","07/04/2024","09/02/2024","10/14/2024","11/11/2024","11/28/2024","12/25/2024","12/25/2024","12/26/2024","12/27/2024","12/28/2024","12/29/2024","12/30/2024","31/25/2024","01/01/2024","01/02/2024","01/03/2024","01/04/2024","01/05/2024"}))</f>
        <v>#VALUE!</v>
      </c>
      <c r="J290" s="1">
        <f>0</f>
        <v>0</v>
      </c>
      <c r="K290" s="1"/>
      <c r="L290" s="1">
        <v>0</v>
      </c>
      <c r="M290" s="1">
        <f>0</f>
        <v>0</v>
      </c>
      <c r="N290" s="1">
        <f>0</f>
        <v>0</v>
      </c>
      <c r="O290" s="1">
        <f>0</f>
        <v>0</v>
      </c>
      <c r="P290" s="1"/>
      <c r="Q290" s="1">
        <v>0</v>
      </c>
      <c r="R290" s="1">
        <v>0</v>
      </c>
      <c r="S290" s="1">
        <f>0</f>
        <v>0</v>
      </c>
      <c r="T290" s="1">
        <f>0</f>
        <v>0</v>
      </c>
      <c r="U290" s="1"/>
      <c r="V290" s="1">
        <v>0</v>
      </c>
      <c r="W290" s="1">
        <v>0</v>
      </c>
      <c r="X290" s="1">
        <f>0</f>
        <v>0</v>
      </c>
      <c r="Y290" s="1">
        <f>0</f>
        <v>0</v>
      </c>
      <c r="Z290" s="1">
        <f>0</f>
        <v>0</v>
      </c>
      <c r="AA290" s="1"/>
      <c r="AB290" s="5"/>
      <c r="AC290" s="5"/>
      <c r="AD290" s="1">
        <f>0</f>
        <v>0</v>
      </c>
      <c r="AE290" s="1">
        <f>0</f>
        <v>0</v>
      </c>
      <c r="AF290" s="1">
        <f>0</f>
        <v>0</v>
      </c>
      <c r="AG290" s="1">
        <f>0</f>
        <v>0</v>
      </c>
      <c r="AH290" s="1">
        <f>0</f>
        <v>0</v>
      </c>
      <c r="AI290" s="1">
        <f>0</f>
        <v>0</v>
      </c>
      <c r="AJ290" s="1"/>
      <c r="AK290" s="1"/>
      <c r="AL290" s="1" t="b">
        <v>1</v>
      </c>
      <c r="AM290" s="1"/>
      <c r="AN290" s="1"/>
      <c r="AO290" s="1"/>
      <c r="AP290" s="1"/>
      <c r="AQ290" s="1"/>
      <c r="AR290" s="1"/>
      <c r="AS290" s="1"/>
      <c r="AT290" s="1"/>
      <c r="AU290" s="1"/>
      <c r="AV290" s="1"/>
      <c r="AW290" s="1"/>
      <c r="AX290" s="1"/>
      <c r="AY290" s="1"/>
      <c r="AZ290" s="1"/>
    </row>
    <row r="291" spans="1:52" ht="15" customHeight="1" x14ac:dyDescent="0.35">
      <c r="A291" s="1" t="s">
        <v>1294</v>
      </c>
      <c r="B291" s="1" t="s">
        <v>547</v>
      </c>
      <c r="C291" s="1" t="s">
        <v>988</v>
      </c>
      <c r="D291" s="1" t="s">
        <v>1199</v>
      </c>
      <c r="E291" s="1" t="s">
        <v>810</v>
      </c>
      <c r="F291" s="9" t="s">
        <v>1295</v>
      </c>
      <c r="G291" s="1" t="s">
        <v>463</v>
      </c>
      <c r="H2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1" s="11" t="e">
        <f>ABS(NETWORKDAYS.INTL("04/15/24", "04/15/24", 1, {"01/01/2024","01/15/2024","02/19/2024","05/27/2024","07/04/2024","09/02/2024","10/14/2024","11/11/2024","11/28/2024","12/25/2024","12/25/2024","12/26/2024","12/27/2024","12/28/2024","12/29/2024","12/30/2024","31/25/2024","01/01/2024","01/02/2024","01/03/2024","01/04/2024","01/05/2024"}))</f>
        <v>#VALUE!</v>
      </c>
      <c r="J291" s="1">
        <f>0</f>
        <v>0</v>
      </c>
      <c r="K291" s="1"/>
      <c r="L291" s="1">
        <v>0</v>
      </c>
      <c r="M291" s="1">
        <f>0</f>
        <v>0</v>
      </c>
      <c r="N291" s="1">
        <f>0</f>
        <v>0</v>
      </c>
      <c r="O291" s="1">
        <f>0</f>
        <v>0</v>
      </c>
      <c r="P291" s="1"/>
      <c r="Q291" s="1">
        <v>0</v>
      </c>
      <c r="R291" s="1">
        <v>0</v>
      </c>
      <c r="S291" s="1">
        <f>0</f>
        <v>0</v>
      </c>
      <c r="T291" s="1">
        <f>0</f>
        <v>0</v>
      </c>
      <c r="U291" s="1"/>
      <c r="V291" s="1">
        <v>0</v>
      </c>
      <c r="W291" s="1">
        <v>0</v>
      </c>
      <c r="X291" s="1">
        <f>0</f>
        <v>0</v>
      </c>
      <c r="Y291" s="1">
        <f>0</f>
        <v>0</v>
      </c>
      <c r="Z291" s="1">
        <f>0</f>
        <v>0</v>
      </c>
      <c r="AA291" s="1"/>
      <c r="AB291" s="5"/>
      <c r="AC291" s="5"/>
      <c r="AD291" s="1">
        <f>0</f>
        <v>0</v>
      </c>
      <c r="AE291" s="1">
        <f>0</f>
        <v>0</v>
      </c>
      <c r="AF291" s="1">
        <f>0</f>
        <v>0</v>
      </c>
      <c r="AG291" s="1">
        <f>0</f>
        <v>0</v>
      </c>
      <c r="AH291" s="1">
        <f>0</f>
        <v>0</v>
      </c>
      <c r="AI291" s="1">
        <f>0</f>
        <v>0</v>
      </c>
      <c r="AJ291" s="1"/>
      <c r="AK291" s="1"/>
      <c r="AL291" s="1" t="b">
        <v>1</v>
      </c>
      <c r="AM291" s="1"/>
      <c r="AN291" s="1"/>
      <c r="AO291" s="1"/>
      <c r="AP291" s="1"/>
      <c r="AQ291" s="1"/>
      <c r="AR291" s="1"/>
      <c r="AS291" s="1"/>
      <c r="AT291" s="1"/>
      <c r="AU291" s="1"/>
      <c r="AV291" s="1"/>
      <c r="AW291" s="1"/>
      <c r="AX291" s="1"/>
      <c r="AY291" s="1"/>
      <c r="AZ291" s="1"/>
    </row>
    <row r="292" spans="1:52" ht="15" customHeight="1" x14ac:dyDescent="0.35">
      <c r="A292" s="1" t="s">
        <v>1296</v>
      </c>
      <c r="B292" s="1" t="s">
        <v>548</v>
      </c>
      <c r="C292" s="1" t="s">
        <v>988</v>
      </c>
      <c r="D292" s="1" t="s">
        <v>1199</v>
      </c>
      <c r="E292" s="1" t="s">
        <v>810</v>
      </c>
      <c r="F292" s="9" t="s">
        <v>1297</v>
      </c>
      <c r="G292" s="1" t="s">
        <v>463</v>
      </c>
      <c r="H2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2" s="11" t="e">
        <f>ABS(NETWORKDAYS.INTL("04/08/24", "04/08/24", 1, {"01/01/2024","01/15/2024","02/19/2024","05/27/2024","07/04/2024","09/02/2024","10/14/2024","11/11/2024","11/28/2024","12/25/2024","12/25/2024","12/26/2024","12/27/2024","12/28/2024","12/29/2024","12/30/2024","31/25/2024","01/01/2024","01/02/2024","01/03/2024","01/04/2024","01/05/2024"}))</f>
        <v>#VALUE!</v>
      </c>
      <c r="J292" s="1">
        <f>0</f>
        <v>0</v>
      </c>
      <c r="K292" s="1"/>
      <c r="L292" s="1">
        <v>0</v>
      </c>
      <c r="M292" s="1">
        <f>0</f>
        <v>0</v>
      </c>
      <c r="N292" s="1">
        <f>0</f>
        <v>0</v>
      </c>
      <c r="O292" s="1">
        <f>0</f>
        <v>0</v>
      </c>
      <c r="P292" s="1"/>
      <c r="Q292" s="1">
        <v>0</v>
      </c>
      <c r="R292" s="1">
        <v>0</v>
      </c>
      <c r="S292" s="1">
        <f>0</f>
        <v>0</v>
      </c>
      <c r="T292" s="1">
        <f>0</f>
        <v>0</v>
      </c>
      <c r="U292" s="1"/>
      <c r="V292" s="1">
        <v>0</v>
      </c>
      <c r="W292" s="1">
        <v>0</v>
      </c>
      <c r="X292" s="1">
        <f>0</f>
        <v>0</v>
      </c>
      <c r="Y292" s="1">
        <f>0</f>
        <v>0</v>
      </c>
      <c r="Z292" s="1">
        <f>0</f>
        <v>0</v>
      </c>
      <c r="AA292" s="1"/>
      <c r="AB292" s="5"/>
      <c r="AC292" s="5"/>
      <c r="AD292" s="1">
        <f>0</f>
        <v>0</v>
      </c>
      <c r="AE292" s="1">
        <f>0</f>
        <v>0</v>
      </c>
      <c r="AF292" s="1">
        <f>0</f>
        <v>0</v>
      </c>
      <c r="AG292" s="1">
        <f>0</f>
        <v>0</v>
      </c>
      <c r="AH292" s="1">
        <f>0</f>
        <v>0</v>
      </c>
      <c r="AI292" s="1">
        <f>0</f>
        <v>0</v>
      </c>
      <c r="AJ292" s="1"/>
      <c r="AK292" s="1"/>
      <c r="AL292" s="1" t="b">
        <v>1</v>
      </c>
      <c r="AM292" s="1"/>
      <c r="AN292" s="1"/>
      <c r="AO292" s="1"/>
      <c r="AP292" s="1"/>
      <c r="AQ292" s="1"/>
      <c r="AR292" s="1"/>
      <c r="AS292" s="1"/>
      <c r="AT292" s="1"/>
      <c r="AU292" s="1"/>
      <c r="AV292" s="1"/>
      <c r="AW292" s="1"/>
      <c r="AX292" s="1"/>
      <c r="AY292" s="1"/>
      <c r="AZ292" s="1"/>
    </row>
    <row r="293" spans="1:52" ht="15" customHeight="1" x14ac:dyDescent="0.35">
      <c r="A293" s="1" t="s">
        <v>1298</v>
      </c>
      <c r="B293" s="1" t="s">
        <v>549</v>
      </c>
      <c r="C293" s="1" t="s">
        <v>988</v>
      </c>
      <c r="D293" s="1" t="s">
        <v>1199</v>
      </c>
      <c r="E293" s="1" t="s">
        <v>810</v>
      </c>
      <c r="F293" s="9" t="s">
        <v>1299</v>
      </c>
      <c r="G293" s="1" t="s">
        <v>463</v>
      </c>
      <c r="H2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3" s="11" t="e">
        <f>ABS(NETWORKDAYS.INTL("04/08/24", "08/05/24", 1, {"01/01/2024","01/15/2024","02/19/2024","05/27/2024","07/04/2024","09/02/2024","10/14/2024","11/11/2024","11/28/2024","12/25/2024","12/25/2024","12/26/2024","12/27/2024","12/28/2024","12/29/2024","12/30/2024","31/25/2024","01/01/2024","01/02/2024","01/03/2024","01/04/2024","01/05/2024"}))</f>
        <v>#VALUE!</v>
      </c>
      <c r="J293" s="1" t="e">
        <f>ABS(NETWORKDAYS.INTL("04/10/24", "08/05/24", 1, {"01/01/2024","01/15/2024","02/19/2024","05/27/2024","07/04/2024","09/02/2024","10/14/2024","11/11/2024","11/28/2024","12/25/2024","12/25/2024","12/26/2024","12/27/2024","12/28/2024","12/29/2024","12/30/2024","31/25/2024","01/01/2024","01/02/2024","01/03/2024","01/04/2024","01/05/2024"}))</f>
        <v>#VALUE!</v>
      </c>
      <c r="K293" s="1"/>
      <c r="L293" s="1">
        <v>0</v>
      </c>
      <c r="M293" s="1">
        <f>0</f>
        <v>0</v>
      </c>
      <c r="N293" s="1">
        <f>0</f>
        <v>0</v>
      </c>
      <c r="O293" s="1">
        <f>0</f>
        <v>0</v>
      </c>
      <c r="P293" s="1"/>
      <c r="Q293" s="1">
        <v>0</v>
      </c>
      <c r="R293" s="1">
        <v>0</v>
      </c>
      <c r="S293" s="1">
        <f>0</f>
        <v>0</v>
      </c>
      <c r="T293" s="1">
        <f>0</f>
        <v>0</v>
      </c>
      <c r="U293" s="1"/>
      <c r="V293" s="1">
        <v>0</v>
      </c>
      <c r="W293" s="1">
        <v>0</v>
      </c>
      <c r="X293" s="1">
        <f>0</f>
        <v>0</v>
      </c>
      <c r="Y293" s="1">
        <f>0</f>
        <v>0</v>
      </c>
      <c r="Z293" s="1">
        <f>0</f>
        <v>0</v>
      </c>
      <c r="AA293" s="1"/>
      <c r="AB293" s="5"/>
      <c r="AC293" s="5"/>
      <c r="AD293" s="1">
        <f>0</f>
        <v>0</v>
      </c>
      <c r="AE293" s="1">
        <f>0</f>
        <v>0</v>
      </c>
      <c r="AF293" s="1">
        <f>0</f>
        <v>0</v>
      </c>
      <c r="AG293" s="1">
        <f>0</f>
        <v>0</v>
      </c>
      <c r="AH293" s="1">
        <f>0</f>
        <v>0</v>
      </c>
      <c r="AI293" s="1">
        <f>0</f>
        <v>0</v>
      </c>
      <c r="AJ293" s="1"/>
      <c r="AK293" s="1"/>
      <c r="AL293" s="1" t="b">
        <v>1</v>
      </c>
      <c r="AM293" s="1"/>
      <c r="AN293" s="1"/>
      <c r="AO293" s="1"/>
      <c r="AP293" s="1"/>
      <c r="AQ293" s="1"/>
      <c r="AR293" s="1"/>
      <c r="AS293" s="1"/>
      <c r="AT293" s="1"/>
      <c r="AU293" s="1"/>
      <c r="AV293" s="1"/>
      <c r="AW293" s="1"/>
      <c r="AX293" s="1"/>
      <c r="AY293" s="1"/>
      <c r="AZ293" s="1"/>
    </row>
    <row r="294" spans="1:52" ht="15" customHeight="1" x14ac:dyDescent="0.35">
      <c r="A294" s="1" t="s">
        <v>1300</v>
      </c>
      <c r="B294" s="1" t="s">
        <v>550</v>
      </c>
      <c r="C294" s="1" t="s">
        <v>988</v>
      </c>
      <c r="D294" s="1" t="s">
        <v>1199</v>
      </c>
      <c r="E294" s="1" t="s">
        <v>810</v>
      </c>
      <c r="F294" s="9" t="s">
        <v>1301</v>
      </c>
      <c r="G294" s="1" t="s">
        <v>463</v>
      </c>
      <c r="H2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4" s="11" t="e">
        <f>ABS(NETWORKDAYS.INTL("04/08/24", "04/08/24", 1, {"01/01/2024","01/15/2024","02/19/2024","05/27/2024","07/04/2024","09/02/2024","10/14/2024","11/11/2024","11/28/2024","12/25/2024","12/25/2024","12/26/2024","12/27/2024","12/28/2024","12/29/2024","12/30/2024","31/25/2024","01/01/2024","01/02/2024","01/03/2024","01/04/2024","01/05/2024"}))</f>
        <v>#VALUE!</v>
      </c>
      <c r="J294" s="1">
        <f>0</f>
        <v>0</v>
      </c>
      <c r="K294" s="1"/>
      <c r="L294" s="1">
        <v>0</v>
      </c>
      <c r="M294" s="1">
        <f>0</f>
        <v>0</v>
      </c>
      <c r="N294" s="1">
        <f>0</f>
        <v>0</v>
      </c>
      <c r="O294" s="1">
        <f>0</f>
        <v>0</v>
      </c>
      <c r="P294" s="1"/>
      <c r="Q294" s="1">
        <v>0</v>
      </c>
      <c r="R294" s="1">
        <v>0</v>
      </c>
      <c r="S294" s="1">
        <f>0</f>
        <v>0</v>
      </c>
      <c r="T294" s="1">
        <f>0</f>
        <v>0</v>
      </c>
      <c r="U294" s="1"/>
      <c r="V294" s="1">
        <v>0</v>
      </c>
      <c r="W294" s="1">
        <v>0</v>
      </c>
      <c r="X294" s="1">
        <f>0</f>
        <v>0</v>
      </c>
      <c r="Y294" s="1">
        <f>0</f>
        <v>0</v>
      </c>
      <c r="Z294" s="1">
        <f>0</f>
        <v>0</v>
      </c>
      <c r="AA294" s="1"/>
      <c r="AB294" s="5"/>
      <c r="AC294" s="5"/>
      <c r="AD294" s="1">
        <f>0</f>
        <v>0</v>
      </c>
      <c r="AE294" s="1">
        <f>0</f>
        <v>0</v>
      </c>
      <c r="AF294" s="1">
        <f>0</f>
        <v>0</v>
      </c>
      <c r="AG294" s="1">
        <f>0</f>
        <v>0</v>
      </c>
      <c r="AH294" s="1">
        <f>0</f>
        <v>0</v>
      </c>
      <c r="AI294" s="1">
        <f>0</f>
        <v>0</v>
      </c>
      <c r="AJ294" s="1"/>
      <c r="AK294" s="1"/>
      <c r="AL294" s="1" t="b">
        <v>1</v>
      </c>
      <c r="AM294" s="1"/>
      <c r="AN294" s="1"/>
      <c r="AO294" s="1"/>
      <c r="AP294" s="1"/>
      <c r="AQ294" s="1"/>
      <c r="AR294" s="1"/>
      <c r="AS294" s="1"/>
      <c r="AT294" s="1"/>
      <c r="AU294" s="1"/>
      <c r="AV294" s="1"/>
      <c r="AW294" s="1"/>
      <c r="AX294" s="1"/>
      <c r="AY294" s="1"/>
      <c r="AZ294" s="1"/>
    </row>
    <row r="295" spans="1:52" ht="15" customHeight="1" x14ac:dyDescent="0.35">
      <c r="A295" s="1" t="s">
        <v>1302</v>
      </c>
      <c r="B295" s="1" t="s">
        <v>551</v>
      </c>
      <c r="C295" s="1" t="s">
        <v>988</v>
      </c>
      <c r="D295" s="1" t="s">
        <v>1199</v>
      </c>
      <c r="E295" s="1" t="s">
        <v>810</v>
      </c>
      <c r="F295" s="9" t="s">
        <v>1303</v>
      </c>
      <c r="G295" s="1" t="s">
        <v>463</v>
      </c>
      <c r="H2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5" s="11" t="e">
        <f>ABS(NETWORKDAYS.INTL("04/08/24", "04/08/24", 1, {"01/01/2024","01/15/2024","02/19/2024","05/27/2024","07/04/2024","09/02/2024","10/14/2024","11/11/2024","11/28/2024","12/25/2024","12/25/2024","12/26/2024","12/27/2024","12/28/2024","12/29/2024","12/30/2024","31/25/2024","01/01/2024","01/02/2024","01/03/2024","01/04/2024","01/05/2024"}))</f>
        <v>#VALUE!</v>
      </c>
      <c r="J295" s="1">
        <f>0</f>
        <v>0</v>
      </c>
      <c r="K295" s="1"/>
      <c r="L295" s="1">
        <v>0</v>
      </c>
      <c r="M295" s="1">
        <f>0</f>
        <v>0</v>
      </c>
      <c r="N295" s="1">
        <f>0</f>
        <v>0</v>
      </c>
      <c r="O295" s="1">
        <f>0</f>
        <v>0</v>
      </c>
      <c r="P295" s="1"/>
      <c r="Q295" s="1">
        <v>0</v>
      </c>
      <c r="R295" s="1">
        <v>0</v>
      </c>
      <c r="S295" s="1">
        <f>0</f>
        <v>0</v>
      </c>
      <c r="T295" s="1">
        <f>0</f>
        <v>0</v>
      </c>
      <c r="U295" s="1"/>
      <c r="V295" s="1">
        <v>0</v>
      </c>
      <c r="W295" s="1">
        <v>0</v>
      </c>
      <c r="X295" s="1">
        <f>0</f>
        <v>0</v>
      </c>
      <c r="Y295" s="1">
        <f>0</f>
        <v>0</v>
      </c>
      <c r="Z295" s="1">
        <f>0</f>
        <v>0</v>
      </c>
      <c r="AA295" s="1"/>
      <c r="AB295" s="5"/>
      <c r="AC295" s="5"/>
      <c r="AD295" s="1">
        <f>0</f>
        <v>0</v>
      </c>
      <c r="AE295" s="1">
        <f>0</f>
        <v>0</v>
      </c>
      <c r="AF295" s="1">
        <f>0</f>
        <v>0</v>
      </c>
      <c r="AG295" s="1">
        <f>0</f>
        <v>0</v>
      </c>
      <c r="AH295" s="1">
        <f>0</f>
        <v>0</v>
      </c>
      <c r="AI295" s="1">
        <f>0</f>
        <v>0</v>
      </c>
      <c r="AJ295" s="1"/>
      <c r="AK295" s="1"/>
      <c r="AL295" s="1" t="b">
        <v>1</v>
      </c>
      <c r="AM295" s="1"/>
      <c r="AN295" s="1"/>
      <c r="AO295" s="1"/>
      <c r="AP295" s="1"/>
      <c r="AQ295" s="1"/>
      <c r="AR295" s="1"/>
      <c r="AS295" s="1"/>
      <c r="AT295" s="1"/>
      <c r="AU295" s="1"/>
      <c r="AV295" s="1"/>
      <c r="AW295" s="1"/>
      <c r="AX295" s="1"/>
      <c r="AY295" s="1"/>
      <c r="AZ295" s="1"/>
    </row>
    <row r="296" spans="1:52" ht="15" customHeight="1" x14ac:dyDescent="0.35">
      <c r="A296" s="1" t="s">
        <v>1304</v>
      </c>
      <c r="B296" s="1" t="s">
        <v>552</v>
      </c>
      <c r="C296" s="1" t="s">
        <v>988</v>
      </c>
      <c r="D296" s="1" t="s">
        <v>1228</v>
      </c>
      <c r="E296" s="1" t="s">
        <v>1143</v>
      </c>
      <c r="F296" s="9" t="s">
        <v>1305</v>
      </c>
      <c r="G296" s="1" t="s">
        <v>463</v>
      </c>
      <c r="H2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6" s="11" t="e">
        <f>ABS(NETWORKDAYS.INTL("04/30/24", "05/07/24", 1, {"01/01/2024","01/15/2024","02/19/2024","05/27/2024","07/04/2024","09/02/2024","10/14/2024","11/11/2024","11/28/2024","12/25/2024","12/25/2024","12/26/2024","12/27/2024","12/28/2024","12/29/2024","12/30/2024","31/25/2024","01/01/2024","01/02/2024","01/03/2024","01/04/2024","01/05/2024"}))</f>
        <v>#VALUE!</v>
      </c>
      <c r="J296" s="1">
        <f>0</f>
        <v>0</v>
      </c>
      <c r="K296" s="1"/>
      <c r="L296" s="1">
        <v>1</v>
      </c>
      <c r="M296" s="1" t="e">
        <f>ABS(NETWORKDAYS.INTL("05/08/24", "05/08/24", 1, {"01/01/2024","01/15/2024","02/19/2024","05/27/2024","07/04/2024","09/02/2024","10/14/2024","11/11/2024","11/28/2024","12/25/2024","12/25/2024","12/26/2024","12/27/2024","12/28/2024","12/29/2024","12/30/2024","31/25/2024","01/01/2024","01/02/2024","01/03/2024","01/04/2024","01/05/2024"}))</f>
        <v>#VALUE!</v>
      </c>
      <c r="N296" s="1">
        <f>0</f>
        <v>0</v>
      </c>
      <c r="O296" s="1">
        <f>0</f>
        <v>0</v>
      </c>
      <c r="P296" s="1"/>
      <c r="Q296" s="1">
        <v>1</v>
      </c>
      <c r="R296" s="1">
        <v>1</v>
      </c>
      <c r="S296" s="1" t="e">
        <f>ABS(NETWORKDAYS.INTL("05/17/24", "05/17/24", 1, {"01/01/2024","01/15/2024","02/19/2024","05/27/2024","07/04/2024","09/02/2024","10/14/2024","11/11/2024","11/28/2024","12/25/2024","12/25/2024","12/26/2024","12/27/2024","12/28/2024","12/29/2024","12/30/2024","31/25/2024","01/01/2024","01/02/2024","01/03/2024","01/04/2024","01/05/2024"}))</f>
        <v>#VALUE!</v>
      </c>
      <c r="T296" s="1">
        <f>0</f>
        <v>0</v>
      </c>
      <c r="U296" s="1"/>
      <c r="V296" s="1">
        <v>1</v>
      </c>
      <c r="W296" s="1">
        <v>1</v>
      </c>
      <c r="X296" s="1" t="e">
        <f>ABS(NETWORKDAYS.INTL("05/30/24", "05/31/24", 1, {"01/01/2024","01/15/2024","02/19/2024","05/27/2024","07/04/2024","09/02/2024","10/14/2024","11/11/2024","11/28/2024","12/25/2024","12/25/2024","12/26/2024","12/27/2024","12/28/2024","12/29/2024","12/30/2024","31/25/2024","01/01/2024","01/02/2024","01/03/2024","01/04/2024","01/05/2024"}))</f>
        <v>#VALUE!</v>
      </c>
      <c r="Y296" s="1">
        <f>0</f>
        <v>0</v>
      </c>
      <c r="Z296" s="1">
        <f>0</f>
        <v>0</v>
      </c>
      <c r="AA296" s="1"/>
      <c r="AB296" s="5"/>
      <c r="AC296" s="5"/>
      <c r="AD296" s="1" t="e">
        <f>ABS(NETWORKDAYS.INTL("05/08/24", "05/07/24", 1, {"01/01/2024","01/15/2024","02/19/2024","05/27/2024","07/04/2024","09/02/2024","10/14/2024","11/11/2024","11/28/2024","12/25/2024","12/25/2024","12/26/2024","12/27/2024","12/28/2024","12/29/2024","12/30/2024","31/25/2024","01/01/2024","01/02/2024","01/03/2024","01/04/2024","01/05/2024"}))</f>
        <v>#VALUE!</v>
      </c>
      <c r="AE296" s="1">
        <f>0</f>
        <v>0</v>
      </c>
      <c r="AF296" s="1" t="e">
        <f>ABS(NETWORKDAYS.INTL("05/17/24", "05/08/24", 1, {"01/01/2024","01/15/2024","02/19/2024","05/27/2024","07/04/2024","09/02/2024","10/14/2024","11/11/2024","11/28/2024","12/25/2024","12/25/2024","12/26/2024","12/27/2024","12/28/2024","12/29/2024","12/30/2024","31/25/2024","01/01/2024","01/02/2024","01/03/2024","01/04/2024","01/05/2024"}))</f>
        <v>#VALUE!</v>
      </c>
      <c r="AG296" s="1" t="e">
        <f>ABS(NETWORKDAYS.INTL("05/18/24", "05/17/24", 1, {"01/01/2024","01/15/2024","02/19/2024","05/27/2024","07/04/2024","09/02/2024","10/14/2024","11/11/2024","11/28/2024","12/25/2024","12/25/2024","12/26/2024","12/27/2024","12/28/2024","12/29/2024","12/30/2024","31/25/2024","01/01/2024","01/02/2024","01/03/2024","01/04/2024","01/05/2024"}))</f>
        <v>#VALUE!</v>
      </c>
      <c r="AH296" s="1" t="e">
        <f>ABS(NETWORKDAYS.INTL("05/30/24", "05/18/24", 1, {"01/01/2024","01/15/2024","02/19/2024","05/27/2024","07/04/2024","09/02/2024","10/14/2024","11/11/2024","11/28/2024","12/25/2024","12/25/2024","12/26/2024","12/27/2024","12/28/2024","12/29/2024","12/30/2024","31/25/2024","01/01/2024","01/02/2024","01/03/2024","01/04/2024","01/05/2024"}))</f>
        <v>#VALUE!</v>
      </c>
      <c r="AI296" s="1">
        <f>0</f>
        <v>0</v>
      </c>
      <c r="AJ296" s="1"/>
      <c r="AK296" s="1"/>
      <c r="AL296" s="1"/>
      <c r="AM296" s="1"/>
      <c r="AN296" s="1"/>
      <c r="AO296" s="1"/>
      <c r="AP296" s="1"/>
      <c r="AQ296" s="1"/>
      <c r="AR296" s="1"/>
      <c r="AS296" s="1"/>
      <c r="AT296" s="1"/>
      <c r="AU296" s="1"/>
      <c r="AV296" s="1"/>
      <c r="AW296" s="1"/>
      <c r="AX296" s="1"/>
      <c r="AY296" s="1"/>
      <c r="AZ296" s="1"/>
    </row>
    <row r="297" spans="1:52" ht="15" customHeight="1" x14ac:dyDescent="0.35">
      <c r="A297" s="1" t="s">
        <v>1306</v>
      </c>
      <c r="B297" s="1" t="s">
        <v>553</v>
      </c>
      <c r="C297" s="1" t="s">
        <v>988</v>
      </c>
      <c r="D297" s="1" t="s">
        <v>1168</v>
      </c>
      <c r="E297" s="1" t="s">
        <v>1143</v>
      </c>
      <c r="F297" s="9" t="s">
        <v>1307</v>
      </c>
      <c r="G297" s="1" t="s">
        <v>463</v>
      </c>
      <c r="H2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7" s="11" t="e">
        <f>ABS(NETWORKDAYS.INTL("05/06/24", "05/22/24", 1, {"01/01/2024","01/15/2024","02/19/2024","05/27/2024","07/04/2024","09/02/2024","10/14/2024","11/11/2024","11/28/2024","12/25/2024","12/25/2024","12/26/2024","12/27/2024","12/28/2024","12/29/2024","12/30/2024","31/25/2024","01/01/2024","01/02/2024","01/03/2024","01/04/2024","01/05/2024"}))</f>
        <v>#VALUE!</v>
      </c>
      <c r="J297" s="1" t="e">
        <f>ABS(NETWORKDAYS.INTL("05/10/24", "05/16/24", 1, {"01/01/2024","01/15/2024","02/19/2024","05/27/2024","07/04/2024","09/02/2024","10/14/2024","11/11/2024","11/28/2024","12/25/2024","12/25/2024","12/26/2024","12/27/2024","12/28/2024","12/29/2024","12/30/2024","31/25/2024","01/01/2024","01/02/2024","01/03/2024","01/04/2024","01/05/2024"}))</f>
        <v>#VALUE!</v>
      </c>
      <c r="K297" s="1"/>
      <c r="L297" s="1">
        <v>1</v>
      </c>
      <c r="M297" s="1" t="e">
        <f>ABS(NETWORKDAYS.INTL("05/22/24", "05/22/24", 1, {"01/01/2024","01/15/2024","02/19/2024","05/27/2024","07/04/2024","09/02/2024","10/14/2024","11/11/2024","11/28/2024","12/25/2024","12/25/2024","12/26/2024","12/27/2024","12/28/2024","12/29/2024","12/30/2024","31/25/2024","01/01/2024","01/02/2024","01/03/2024","01/04/2024","01/05/2024"}))</f>
        <v>#VALUE!</v>
      </c>
      <c r="N297" s="1">
        <f>0</f>
        <v>0</v>
      </c>
      <c r="O297" s="1">
        <f>0</f>
        <v>0</v>
      </c>
      <c r="P297" s="1"/>
      <c r="Q297" s="1">
        <v>1</v>
      </c>
      <c r="R297" s="1">
        <v>1</v>
      </c>
      <c r="S297" s="1" t="e">
        <f>ABS(NETWORKDAYS.INTL("05/23/24", "06/12/24", 1, {"01/01/2024","01/15/2024","02/19/2024","05/27/2024","07/04/2024","09/02/2024","10/14/2024","11/11/2024","11/28/2024","12/25/2024","12/25/2024","12/26/2024","12/27/2024","12/28/2024","12/29/2024","12/30/2024","31/25/2024","01/01/2024","01/02/2024","01/03/2024","01/04/2024","01/05/2024"})+NETWORKDAYS.INTL("06/21/24", "07/03/24", 1, {"01/01/2024","01/15/2024","02/19/2024","05/27/2024","07/04/2024","09/02/2024","10/14/2024","11/11/2024","11/28/2024","12/25/2024","12/25/2024","12/26/2024","12/27/2024","12/28/2024","12/29/2024","12/30/2024","31/25/2024","01/01/2024","01/02/2024","01/03/2024","01/04/2024","01/05/2024"})+NETWORKDAYS.INTL("07/01/24", "08/05/24", 1, {"01/01/2024","01/15/2024","02/19/2024","05/27/2024","07/04/2024","09/02/2024","10/14/2024","11/11/2024","11/28/2024","12/25/2024","12/25/2024","12/26/2024","12/27/2024","12/28/2024","12/29/2024","12/30/2024","31/25/2024","01/01/2024","01/02/2024","01/03/2024","01/04/2024","01/05/2024"}))</f>
        <v>#VALUE!</v>
      </c>
      <c r="T297" s="1" t="e">
        <f>ABS(NETWORKDAYS.INTL("05/23/24", "06/11/24", 1, {"01/01/2024","01/15/2024","02/19/2024","05/27/2024","07/04/2024","09/02/2024","10/14/2024","11/11/2024","11/28/2024","12/25/2024","12/25/2024","12/26/2024","12/27/2024","12/28/2024","12/29/2024","12/30/2024","31/25/2024","01/01/2024","01/02/2024","01/03/2024","01/04/2024","01/05/2024"})+NETWORKDAYS.INTL("06/25/24", "06/28/24", 1, {"01/01/2024","01/15/2024","02/19/2024","05/27/2024","07/04/2024","09/02/2024","10/14/2024","11/11/2024","11/28/2024","12/25/2024","12/25/2024","12/26/2024","12/27/2024","12/28/2024","12/29/2024","12/30/2024","31/25/2024","01/01/2024","01/02/2024","01/03/2024","01/04/2024","01/05/2024"}))</f>
        <v>#VALUE!</v>
      </c>
      <c r="U297" s="1"/>
      <c r="V297" s="1">
        <v>1</v>
      </c>
      <c r="W297" s="1">
        <v>1</v>
      </c>
      <c r="X297" s="1" t="e">
        <f>ABS(NETWORKDAYS.INTL("07/10/2024", "07/10/2024", 1, {"01/01/2024","01/15/2024","02/19/2024","05/27/2024","07/04/2024","09/02/2024","10/14/2024","11/11/2024","11/28/2024","12/25/2024","12/25/2024","12/26/2024","12/27/2024","12/28/2024","12/29/2024","12/30/2024","31/25/2024","01/01/2024","01/02/2024","01/03/2024","01/04/2024","01/05/2024"}))</f>
        <v>#VALUE!</v>
      </c>
      <c r="Y297" s="1">
        <f>0</f>
        <v>0</v>
      </c>
      <c r="Z297" s="1">
        <f>0</f>
        <v>0</v>
      </c>
      <c r="AA297" s="1"/>
      <c r="AB297" s="5">
        <v>45483</v>
      </c>
      <c r="AC297" s="5"/>
      <c r="AD297" s="1" t="e">
        <f>ABS(NETWORKDAYS.INTL("05/22/24", "05/22/24", 1, {"01/01/2024","01/15/2024","02/19/2024","05/27/2024","07/04/2024","09/02/2024","10/14/2024","11/11/2024","11/28/2024","12/25/2024","12/25/2024","12/26/2024","12/27/2024","12/28/2024","12/29/2024","12/30/2024","31/25/2024","01/01/2024","01/02/2024","01/03/2024","01/04/2024","01/05/2024"}))</f>
        <v>#VALUE!</v>
      </c>
      <c r="AE297" s="1">
        <f>0</f>
        <v>0</v>
      </c>
      <c r="AF297" s="1" t="e">
        <f>ABS(NETWORKDAYS.INTL("05/23/24", "05/22/24", 1, {"01/01/2024","01/15/2024","02/19/2024","05/27/2024","07/04/2024","09/02/2024","10/14/2024","11/11/2024","11/28/2024","12/25/2024","12/25/2024","12/26/2024","12/27/2024","12/28/2024","12/29/2024","12/30/2024","31/25/2024","01/01/2024","01/02/2024","01/03/2024","01/04/2024","01/05/2024"}))</f>
        <v>#VALUE!</v>
      </c>
      <c r="AG297" s="1" t="e">
        <f>ABS(NETWORKDAYS.INTL("07/03/24", "05/23/24", 1, {"01/01/2024","01/15/2024","02/19/2024","05/27/2024","07/04/2024","09/02/2024","10/14/2024","11/11/2024","11/28/2024","12/25/2024","12/25/2024","12/26/2024","12/27/2024","12/28/2024","12/29/2024","12/30/2024","31/25/2024","01/01/2024","01/02/2024","01/03/2024","01/04/2024","01/05/2024"}))</f>
        <v>#VALUE!</v>
      </c>
      <c r="AH297" s="1" t="e">
        <f>ABS(NETWORKDAYS.INTL("07/10/2024", "07/03/24", 1, {"01/01/2024","01/15/2024","02/19/2024","05/27/2024","07/04/2024","09/02/2024","10/14/2024","11/11/2024","11/28/2024","12/25/2024","12/25/2024","12/26/2024","12/27/2024","12/28/2024","12/29/2024","12/30/2024","31/25/2024","01/01/2024","01/02/2024","01/03/2024","01/04/2024","01/05/2024"}))</f>
        <v>#VALUE!</v>
      </c>
      <c r="AI297" s="1">
        <f>0</f>
        <v>0</v>
      </c>
      <c r="AJ297" s="1"/>
      <c r="AK297" s="1"/>
      <c r="AL297" s="1"/>
      <c r="AM297" s="1"/>
      <c r="AN297" s="1"/>
      <c r="AO297" s="1"/>
      <c r="AP297" s="1"/>
      <c r="AQ297" s="1"/>
      <c r="AR297" s="1"/>
      <c r="AS297" s="1"/>
      <c r="AT297" s="1"/>
      <c r="AU297" s="1"/>
      <c r="AV297" s="1"/>
      <c r="AW297" s="1"/>
      <c r="AX297" s="1"/>
      <c r="AY297" s="1"/>
      <c r="AZ297" s="1"/>
    </row>
    <row r="298" spans="1:52" ht="15" customHeight="1" x14ac:dyDescent="0.35">
      <c r="A298" s="1" t="s">
        <v>1308</v>
      </c>
      <c r="B298" s="1" t="s">
        <v>554</v>
      </c>
      <c r="C298" s="1" t="s">
        <v>988</v>
      </c>
      <c r="D298" s="1" t="s">
        <v>1228</v>
      </c>
      <c r="E298" s="1" t="s">
        <v>1143</v>
      </c>
      <c r="F298" s="9" t="s">
        <v>1309</v>
      </c>
      <c r="G298" s="1" t="s">
        <v>463</v>
      </c>
      <c r="H2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298" s="11" t="e">
        <f>ABS(NETWORKDAYS.INTL("04/18/24", "04/29/24", 1, {"01/01/2024","01/15/2024","02/19/2024","05/27/2024","07/04/2024","09/02/2024","10/14/2024","11/11/2024","11/28/2024","12/25/2024","12/25/2024","12/26/2024","12/27/2024","12/28/2024","12/29/2024","12/30/2024","31/25/2024","01/01/2024","01/02/2024","01/03/2024","01/04/2024","01/05/2024"}))</f>
        <v>#VALUE!</v>
      </c>
      <c r="J298" s="1" t="e">
        <f>ABS(NETWORKDAYS.INTL("04/20/24", "04/22/24", 1, {"01/01/2024","01/15/2024","02/19/2024","05/27/2024","07/04/2024","09/02/2024","10/14/2024","11/11/2024","11/28/2024","12/25/2024","12/25/2024","12/26/2024","12/27/2024","12/28/2024","12/29/2024","12/30/2024","31/25/2024","01/01/2024","01/02/2024","01/03/2024","01/04/2024","01/05/2024"}))</f>
        <v>#VALUE!</v>
      </c>
      <c r="K298" s="1"/>
      <c r="L298" s="1">
        <v>1</v>
      </c>
      <c r="M298" s="1" t="e">
        <f>ABS(NETWORKDAYS.INTL("05/01/24", "05/02/24", 1, {"01/01/2024","01/15/2024","02/19/2024","05/27/2024","07/04/2024","09/02/2024","10/14/2024","11/11/2024","11/28/2024","12/25/2024","12/25/2024","12/26/2024","12/27/2024","12/28/2024","12/29/2024","12/30/2024","31/25/2024","01/01/2024","01/02/2024","01/03/2024","01/04/2024","01/05/2024"}))</f>
        <v>#VALUE!</v>
      </c>
      <c r="N298" s="1">
        <f>0</f>
        <v>0</v>
      </c>
      <c r="O298" s="1">
        <f>0</f>
        <v>0</v>
      </c>
      <c r="P298" s="1"/>
      <c r="Q298" s="1">
        <v>1</v>
      </c>
      <c r="R298" s="1">
        <v>1</v>
      </c>
      <c r="S298" s="1" t="e">
        <f>ABS(NETWORKDAYS.INTL("05/17/24", "05/24/24", 1, {"01/01/2024","01/15/2024","02/19/2024","05/27/2024","07/04/2024","09/02/2024","10/14/2024","11/11/2024","11/28/2024","12/25/2024","12/25/2024","12/26/2024","12/27/2024","12/28/2024","12/29/2024","12/30/2024","31/25/2024","01/01/2024","01/02/2024","01/03/2024","01/04/2024","01/05/2024"}))</f>
        <v>#VALUE!</v>
      </c>
      <c r="T298" s="1">
        <f>0</f>
        <v>0</v>
      </c>
      <c r="U298" s="1"/>
      <c r="V298" s="1">
        <v>1</v>
      </c>
      <c r="W298" s="1">
        <v>1</v>
      </c>
      <c r="X298" s="1" t="e">
        <f>ABS(NETWORKDAYS.INTL("06/03/24", "06/04/24", 1, {"01/01/2024","01/15/2024","02/19/2024","05/27/2024","07/04/2024","09/02/2024","10/14/2024","11/11/2024","11/28/2024","12/25/2024","12/25/2024","12/26/2024","12/27/2024","12/28/2024","12/29/2024","12/30/2024","31/25/2024","01/01/2024","01/02/2024","01/03/2024","01/04/2024","01/05/2024"}))</f>
        <v>#VALUE!</v>
      </c>
      <c r="Y298" s="1" t="e">
        <f>ABS(NETWORKDAYS.INTL("06/04/24", "06/11/24", 1, {"01/01/2024","01/15/2024","02/19/2024","05/27/2024","07/04/2024","09/02/2024","10/14/2024","11/11/2024","11/28/2024","12/25/2024","12/25/2024","12/26/2024","12/27/2024","12/28/2024","12/29/2024","12/30/2024","31/25/2024","01/01/2024","01/02/2024","01/03/2024","01/04/2024","01/05/2024"}))</f>
        <v>#VALUE!</v>
      </c>
      <c r="Z298" s="1">
        <f>0</f>
        <v>0</v>
      </c>
      <c r="AA298" s="1"/>
      <c r="AB298" s="5"/>
      <c r="AC298" s="5"/>
      <c r="AD298" s="1" t="e">
        <f>ABS(NETWORKDAYS.INTL("05/01/24", "04/29/24", 1, {"01/01/2024","01/15/2024","02/19/2024","05/27/2024","07/04/2024","09/02/2024","10/14/2024","11/11/2024","11/28/2024","12/25/2024","12/25/2024","12/26/2024","12/27/2024","12/28/2024","12/29/2024","12/30/2024","31/25/2024","01/01/2024","01/02/2024","01/03/2024","01/04/2024","01/05/2024"}))</f>
        <v>#VALUE!</v>
      </c>
      <c r="AE298" s="1">
        <f>0</f>
        <v>0</v>
      </c>
      <c r="AF298" s="1" t="e">
        <f>ABS(NETWORKDAYS.INTL("05/17/24", "05/03/24", 1, {"01/01/2024","01/15/2024","02/19/2024","05/27/2024","07/04/2024","09/02/2024","10/14/2024","11/11/2024","11/28/2024","12/25/2024","12/25/2024","12/26/2024","12/27/2024","12/28/2024","12/29/2024","12/30/2024","31/25/2024","01/01/2024","01/02/2024","01/03/2024","01/04/2024","01/05/2024"}))</f>
        <v>#VALUE!</v>
      </c>
      <c r="AG298" s="1" t="e">
        <f>ABS(NETWORKDAYS.INTL("05/25/24", "05/17/24", 1, {"01/01/2024","01/15/2024","02/19/2024","05/27/2024","07/04/2024","09/02/2024","10/14/2024","11/11/2024","11/28/2024","12/25/2024","12/25/2024","12/26/2024","12/27/2024","12/28/2024","12/29/2024","12/30/2024","31/25/2024","01/01/2024","01/02/2024","01/03/2024","01/04/2024","01/05/2024"}))</f>
        <v>#VALUE!</v>
      </c>
      <c r="AH298" s="1" t="e">
        <f>ABS(NETWORKDAYS.INTL("06/03/24", "05/25/24", 1, {"01/01/2024","01/15/2024","02/19/2024","05/27/2024","07/04/2024","09/02/2024","10/14/2024","11/11/2024","11/28/2024","12/25/2024","12/25/2024","12/26/2024","12/27/2024","12/28/2024","12/29/2024","12/30/2024","31/25/2024","01/01/2024","01/02/2024","01/03/2024","01/04/2024","01/05/2024"}))</f>
        <v>#VALUE!</v>
      </c>
      <c r="AI298" s="1">
        <f>0</f>
        <v>0</v>
      </c>
      <c r="AJ298" s="1"/>
      <c r="AK298" s="1"/>
      <c r="AL298" s="1"/>
      <c r="AM298" s="1"/>
      <c r="AN298" s="1"/>
      <c r="AO298" s="1"/>
      <c r="AP298" s="1"/>
      <c r="AQ298" s="1"/>
      <c r="AR298" s="1"/>
      <c r="AS298" s="1"/>
      <c r="AT298" s="1"/>
      <c r="AU298" s="1"/>
      <c r="AV298" s="1"/>
      <c r="AW298" s="1"/>
      <c r="AX298" s="1"/>
      <c r="AY298" s="1"/>
      <c r="AZ298" s="1"/>
    </row>
    <row r="299" spans="1:52" ht="15" customHeight="1" x14ac:dyDescent="0.35">
      <c r="A299" s="1" t="s">
        <v>1310</v>
      </c>
      <c r="B299" s="1" t="s">
        <v>555</v>
      </c>
      <c r="C299" s="1" t="s">
        <v>1157</v>
      </c>
      <c r="D299" s="1" t="s">
        <v>1311</v>
      </c>
      <c r="E299" s="1" t="s">
        <v>1119</v>
      </c>
      <c r="F299" s="9" t="s">
        <v>1312</v>
      </c>
      <c r="G299" s="1" t="s">
        <v>463</v>
      </c>
      <c r="H2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299" s="11" t="e">
        <f>ABS(NETWORKDAYS.INTL("04/12/24", "04/16/24", 1, {"01/01/2024","01/15/2024","02/19/2024","05/27/2024","07/04/2024","09/02/2024","10/14/2024","11/11/2024","11/28/2024","12/25/2024","12/25/2024","12/26/2024","12/27/2024","12/28/2024","12/29/2024","12/30/2024","31/25/2024","01/01/2024","01/02/2024","01/03/2024","01/04/2024","01/05/2024"}))</f>
        <v>#VALUE!</v>
      </c>
      <c r="J299" s="1">
        <f>0</f>
        <v>0</v>
      </c>
      <c r="K299" s="1"/>
      <c r="L299" s="1">
        <v>1</v>
      </c>
      <c r="M299" s="1" t="e">
        <f>ABS(NETWORKDAYS.INTL("04/17/24", "04/19/24", 1, {"01/01/2024","01/15/2024","02/19/2024","05/27/2024","07/04/2024","09/02/2024","10/14/2024","11/11/2024","11/28/2024","12/25/2024","12/25/2024","12/26/2024","12/27/2024","12/28/2024","12/29/2024","12/30/2024","31/25/2024","01/01/2024","01/02/2024","01/03/2024","01/04/2024","01/05/2024"}))</f>
        <v>#VALUE!</v>
      </c>
      <c r="N299" s="1">
        <f>0</f>
        <v>0</v>
      </c>
      <c r="O299" s="1">
        <f>0</f>
        <v>0</v>
      </c>
      <c r="P299" s="1"/>
      <c r="Q299" s="1">
        <v>1</v>
      </c>
      <c r="R299" s="1">
        <v>1</v>
      </c>
      <c r="S299" s="1" t="e">
        <f>ABS(NETWORKDAYS.INTL("04/24/24", "05/03/24", 1, {"01/01/2024","01/15/2024","02/19/2024","05/27/2024","07/04/2024","09/02/2024","10/14/2024","11/11/2024","11/28/2024","12/25/2024","12/25/2024","12/26/2024","12/27/2024","12/28/2024","12/29/2024","12/30/2024","31/25/2024","01/01/2024","01/02/2024","01/03/2024","01/04/2024","01/05/2024"}))</f>
        <v>#VALUE!</v>
      </c>
      <c r="T299" s="1">
        <f>0</f>
        <v>0</v>
      </c>
      <c r="U299" s="1"/>
      <c r="V299" s="1">
        <v>1</v>
      </c>
      <c r="W299" s="1">
        <v>0</v>
      </c>
      <c r="X299" s="1">
        <f>0</f>
        <v>0</v>
      </c>
      <c r="Y299" s="1">
        <f>0</f>
        <v>0</v>
      </c>
      <c r="Z299" s="1">
        <f>0</f>
        <v>0</v>
      </c>
      <c r="AA299" s="1"/>
      <c r="AB299" s="5"/>
      <c r="AC299" s="5"/>
      <c r="AD299" s="1" t="e">
        <f>ABS(NETWORKDAYS.INTL("04/17/24", "04/16/24", 1, {"01/01/2024","01/15/2024","02/19/2024","05/27/2024","07/04/2024","09/02/2024","10/14/2024","11/11/2024","11/28/2024","12/25/2024","12/25/2024","12/26/2024","12/27/2024","12/28/2024","12/29/2024","12/30/2024","31/25/2024","01/01/2024","01/02/2024","01/03/2024","01/04/2024","01/05/2024"}))</f>
        <v>#VALUE!</v>
      </c>
      <c r="AE299" s="1">
        <f>0</f>
        <v>0</v>
      </c>
      <c r="AF299" s="1" t="e">
        <f>ABS(NETWORKDAYS.INTL("04/24/24", "04/20/24", 1, {"01/01/2024","01/15/2024","02/19/2024","05/27/2024","07/04/2024","09/02/2024","10/14/2024","11/11/2024","11/28/2024","12/25/2024","12/25/2024","12/26/2024","12/27/2024","12/28/2024","12/29/2024","12/30/2024","31/25/2024","01/01/2024","01/02/2024","01/03/2024","01/04/2024","01/05/2024"}))</f>
        <v>#VALUE!</v>
      </c>
      <c r="AG299" s="1" t="e">
        <f>ABS(NETWORKDAYS.INTL("07/09/2024", "04/24/24", 1, {"01/01/2024","01/15/2024","02/19/2024","05/27/2024","07/04/2024","09/02/2024","10/14/2024","11/11/2024","11/28/2024","12/25/2024","12/25/2024","12/26/2024","12/27/2024","12/28/2024","12/29/2024","12/30/2024","31/25/2024","01/01/2024","01/02/2024","01/03/2024","01/04/2024","01/05/2024"}))</f>
        <v>#VALUE!</v>
      </c>
      <c r="AH299" s="1">
        <f>0</f>
        <v>0</v>
      </c>
      <c r="AI299" s="1">
        <f>0</f>
        <v>0</v>
      </c>
      <c r="AJ299" s="1" t="b">
        <v>1</v>
      </c>
      <c r="AK299" s="1"/>
      <c r="AL299" s="1"/>
      <c r="AM299" s="1"/>
      <c r="AN299" s="1"/>
      <c r="AO299" s="1"/>
      <c r="AP299" s="1"/>
      <c r="AQ299" s="1"/>
      <c r="AR299" s="1"/>
      <c r="AS299" s="1"/>
      <c r="AT299" s="1"/>
      <c r="AU299" s="1"/>
      <c r="AV299" s="1"/>
      <c r="AW299" s="1"/>
      <c r="AX299" s="1"/>
      <c r="AY299" s="1"/>
      <c r="AZ299" s="1"/>
    </row>
    <row r="300" spans="1:52" ht="15" customHeight="1" x14ac:dyDescent="0.35">
      <c r="A300" s="1" t="s">
        <v>1313</v>
      </c>
      <c r="B300" s="1" t="s">
        <v>556</v>
      </c>
      <c r="C300" s="1" t="s">
        <v>988</v>
      </c>
      <c r="D300" s="1" t="s">
        <v>1228</v>
      </c>
      <c r="E300" s="1" t="s">
        <v>1119</v>
      </c>
      <c r="F300" s="9" t="s">
        <v>1314</v>
      </c>
      <c r="G300" s="1" t="s">
        <v>463</v>
      </c>
      <c r="H3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0" s="11" t="e">
        <f>ABS(NETWORKDAYS.INTL("04/01/24", "04/04/24", 1, {"01/01/2024","01/15/2024","02/19/2024","05/27/2024","07/04/2024","09/02/2024","10/14/2024","11/11/2024","11/28/2024","12/25/2024","12/25/2024","12/26/2024","12/27/2024","12/28/2024","12/29/2024","12/30/2024","31/25/2024","01/01/2024","01/02/2024","01/03/2024","01/04/2024","01/05/2024"}))</f>
        <v>#VALUE!</v>
      </c>
      <c r="J300" s="1">
        <f>0</f>
        <v>0</v>
      </c>
      <c r="K300" s="1"/>
      <c r="L300" s="1">
        <v>1</v>
      </c>
      <c r="M300" s="1" t="e">
        <f>ABS(NETWORKDAYS.INTL("04/04/24", "04/04/24", 1, {"01/01/2024","01/15/2024","02/19/2024","05/27/2024","07/04/2024","09/02/2024","10/14/2024","11/11/2024","11/28/2024","12/25/2024","12/25/2024","12/26/2024","12/27/2024","12/28/2024","12/29/2024","12/30/2024","31/25/2024","01/01/2024","01/02/2024","01/03/2024","01/04/2024","01/05/2024"}))</f>
        <v>#VALUE!</v>
      </c>
      <c r="N300" s="1">
        <f>0</f>
        <v>0</v>
      </c>
      <c r="O300" s="1">
        <f>0</f>
        <v>0</v>
      </c>
      <c r="P300" s="1"/>
      <c r="Q300" s="1">
        <v>1</v>
      </c>
      <c r="R300" s="1">
        <v>1</v>
      </c>
      <c r="S300" s="1" t="e">
        <f>ABS(NETWORKDAYS.INTL("04/05/24", "04/10/24", 1, {"01/01/2024","01/15/2024","02/19/2024","05/27/2024","07/04/2024","09/02/2024","10/14/2024","11/11/2024","11/28/2024","12/25/2024","12/25/2024","12/26/2024","12/27/2024","12/28/2024","12/29/2024","12/30/2024","31/25/2024","01/01/2024","01/02/2024","01/03/2024","01/04/2024","01/05/2024"}))</f>
        <v>#VALUE!</v>
      </c>
      <c r="T300" s="1">
        <f>0</f>
        <v>0</v>
      </c>
      <c r="U300" s="1"/>
      <c r="V300" s="1">
        <v>2</v>
      </c>
      <c r="W300" s="1">
        <v>2</v>
      </c>
      <c r="X300" s="1" t="e">
        <f>ABS(NETWORKDAYS.INTL("04/11/24", "05/13/24", 1, {"01/01/2024","01/15/2024","02/19/2024","05/27/2024","07/04/2024","09/02/2024","10/14/2024","11/11/2024","11/28/2024","12/25/2024","12/25/2024","12/26/2024","12/27/2024","12/28/2024","12/29/2024","12/30/2024","31/25/2024","01/01/2024","01/02/2024","01/03/2024","01/04/2024","01/05/2024"})+NETWORKDAYS.INTL("05/16/24", "05/20/24", 1, {"01/01/2024","01/15/2024","02/19/2024","05/27/2024","07/04/2024","09/02/2024","10/14/2024","11/11/2024","11/28/2024","12/25/2024","12/25/2024","12/26/2024","12/27/2024","12/28/2024","12/29/2024","12/30/2024","31/25/2024","01/01/2024","01/02/2024","01/03/2024","01/04/2024","01/05/2024"}))</f>
        <v>#VALUE!</v>
      </c>
      <c r="Y300" s="1" t="e">
        <f>ABS(NETWORKDAYS.INTL("05/13/24", "05/16/24", 1, {"01/01/2024","01/15/2024","02/19/2024","05/27/2024","07/04/2024","09/02/2024","10/14/2024","11/11/2024","11/28/2024","12/25/2024","12/25/2024","12/26/2024","12/27/2024","12/28/2024","12/29/2024","12/30/2024","31/25/2024","01/01/2024","01/02/2024","01/03/2024","01/04/2024","01/05/2024"}))</f>
        <v>#VALUE!</v>
      </c>
      <c r="Z300" s="1">
        <f>0</f>
        <v>0</v>
      </c>
      <c r="AA300" s="1"/>
      <c r="AB300" s="5"/>
      <c r="AC300" s="5"/>
      <c r="AD300" s="1" t="e">
        <f>ABS(NETWORKDAYS.INTL("04/04/24", "04/04/24", 1, {"01/01/2024","01/15/2024","02/19/2024","05/27/2024","07/04/2024","09/02/2024","10/14/2024","11/11/2024","11/28/2024","12/25/2024","12/25/2024","12/26/2024","12/27/2024","12/28/2024","12/29/2024","12/30/2024","31/25/2024","01/01/2024","01/02/2024","01/03/2024","01/04/2024","01/05/2024"}))</f>
        <v>#VALUE!</v>
      </c>
      <c r="AE300" s="1">
        <f>0</f>
        <v>0</v>
      </c>
      <c r="AF300" s="1" t="e">
        <f>ABS(NETWORKDAYS.INTL("04/05/24", "04/04/24", 1, {"01/01/2024","01/15/2024","02/19/2024","05/27/2024","07/04/2024","09/02/2024","10/14/2024","11/11/2024","11/28/2024","12/25/2024","12/25/2024","12/26/2024","12/27/2024","12/28/2024","12/29/2024","12/30/2024","31/25/2024","01/01/2024","01/02/2024","01/03/2024","01/04/2024","01/05/2024"}))</f>
        <v>#VALUE!</v>
      </c>
      <c r="AG300" s="1" t="e">
        <f>ABS(NETWORKDAYS.INTL("04/10/24", "04/05/24", 1, {"01/01/2024","01/15/2024","02/19/2024","05/27/2024","07/04/2024","09/02/2024","10/14/2024","11/11/2024","11/28/2024","12/25/2024","12/25/2024","12/26/2024","12/27/2024","12/28/2024","12/29/2024","12/30/2024","31/25/2024","01/01/2024","01/02/2024","01/03/2024","01/04/2024","01/05/2024"}))</f>
        <v>#VALUE!</v>
      </c>
      <c r="AH300" s="1" t="e">
        <f>ABS(NETWORKDAYS.INTL("04/11/24", "04/10/24", 1, {"01/01/2024","01/15/2024","02/19/2024","05/27/2024","07/04/2024","09/02/2024","10/14/2024","11/11/2024","11/28/2024","12/25/2024","12/25/2024","12/26/2024","12/27/2024","12/28/2024","12/29/2024","12/30/2024","31/25/2024","01/01/2024","01/02/2024","01/03/2024","01/04/2024","01/05/2024"}))</f>
        <v>#VALUE!</v>
      </c>
      <c r="AI300" s="1">
        <f>0</f>
        <v>0</v>
      </c>
      <c r="AJ300" s="1" t="b">
        <v>1</v>
      </c>
      <c r="AK300" s="1"/>
      <c r="AL300" s="1"/>
      <c r="AM300" s="1"/>
      <c r="AN300" s="1"/>
      <c r="AO300" s="1"/>
      <c r="AP300" s="1"/>
      <c r="AQ300" s="1"/>
      <c r="AR300" s="1"/>
      <c r="AS300" s="1"/>
      <c r="AT300" s="1"/>
      <c r="AU300" s="1"/>
      <c r="AV300" s="1"/>
      <c r="AW300" s="1"/>
      <c r="AX300" s="1"/>
      <c r="AY300" s="1"/>
      <c r="AZ300" s="1"/>
    </row>
    <row r="301" spans="1:52" ht="15" customHeight="1" x14ac:dyDescent="0.35">
      <c r="A301" s="1" t="s">
        <v>1315</v>
      </c>
      <c r="B301" s="1" t="s">
        <v>557</v>
      </c>
      <c r="C301" s="1" t="s">
        <v>601</v>
      </c>
      <c r="D301" s="1" t="s">
        <v>1316</v>
      </c>
      <c r="E301" s="1" t="s">
        <v>1317</v>
      </c>
      <c r="F301" s="9" t="s">
        <v>1318</v>
      </c>
      <c r="G301" s="1" t="s">
        <v>463</v>
      </c>
      <c r="H3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01" s="11" t="e">
        <f>ABS(NETWORKDAYS.INTL("04/01/24", "04/05/24", 1, {"01/01/2024","01/15/2024","02/19/2024","05/27/2024","07/04/2024","09/02/2024","10/14/2024","11/11/2024","11/28/2024","12/25/2024","12/25/2024","12/26/2024","12/27/2024","12/28/2024","12/29/2024","12/30/2024","31/25/2024","01/01/2024","01/02/2024","01/03/2024","01/04/2024","01/05/2024"}))</f>
        <v>#VALUE!</v>
      </c>
      <c r="J301" s="1">
        <f>0</f>
        <v>0</v>
      </c>
      <c r="K301" s="1"/>
      <c r="L301" s="1">
        <v>0</v>
      </c>
      <c r="M301" s="1">
        <f>0</f>
        <v>0</v>
      </c>
      <c r="N301" s="1">
        <f>0</f>
        <v>0</v>
      </c>
      <c r="O301" s="1">
        <f>0</f>
        <v>0</v>
      </c>
      <c r="P301" s="1"/>
      <c r="Q301" s="1">
        <v>0</v>
      </c>
      <c r="R301" s="1">
        <v>1</v>
      </c>
      <c r="S301" s="1">
        <f>0</f>
        <v>0</v>
      </c>
      <c r="T301" s="1">
        <f>0</f>
        <v>0</v>
      </c>
      <c r="U301" s="1"/>
      <c r="V301" s="1">
        <v>0</v>
      </c>
      <c r="W301" s="1">
        <v>0</v>
      </c>
      <c r="X301" s="1">
        <f>0</f>
        <v>0</v>
      </c>
      <c r="Y301" s="1">
        <f>0</f>
        <v>0</v>
      </c>
      <c r="Z301" s="1">
        <f>0</f>
        <v>0</v>
      </c>
      <c r="AA301" s="1"/>
      <c r="AB301" s="5"/>
      <c r="AC301" s="5"/>
      <c r="AD301" s="1">
        <f>0</f>
        <v>0</v>
      </c>
      <c r="AE301" s="1">
        <f>0</f>
        <v>0</v>
      </c>
      <c r="AF301" s="1" t="e">
        <f>ABS(NETWORKDAYS.INTL("04/24/24", "08/05/24", 1, {"01/01/2024","01/15/2024","02/19/2024","05/27/2024","07/04/2024","09/02/2024","10/14/2024","11/11/2024","11/28/2024","12/25/2024","12/25/2024","12/26/2024","12/27/2024","12/28/2024","12/29/2024","12/30/2024","31/25/2024","01/01/2024","01/02/2024","01/03/2024","01/04/2024","01/05/2024"}))</f>
        <v>#VALUE!</v>
      </c>
      <c r="AG301" s="1">
        <f>0</f>
        <v>0</v>
      </c>
      <c r="AH301" s="1">
        <f>0</f>
        <v>0</v>
      </c>
      <c r="AI301" s="1">
        <f>0</f>
        <v>0</v>
      </c>
      <c r="AJ301" s="1" t="b">
        <v>1</v>
      </c>
      <c r="AK301" s="1"/>
      <c r="AL301" s="1"/>
      <c r="AM301" s="1"/>
      <c r="AN301" s="1"/>
      <c r="AO301" s="1"/>
      <c r="AP301" s="1"/>
      <c r="AQ301" s="1"/>
      <c r="AR301" s="1"/>
      <c r="AS301" s="1"/>
      <c r="AT301" s="1"/>
      <c r="AU301" s="1"/>
      <c r="AV301" s="1"/>
      <c r="AW301" s="1"/>
      <c r="AX301" s="1"/>
      <c r="AY301" s="1"/>
      <c r="AZ301" s="1"/>
    </row>
    <row r="302" spans="1:52" ht="15" customHeight="1" x14ac:dyDescent="0.35">
      <c r="A302" s="1" t="s">
        <v>1319</v>
      </c>
      <c r="B302" s="1" t="s">
        <v>558</v>
      </c>
      <c r="C302" s="1" t="s">
        <v>988</v>
      </c>
      <c r="D302" s="1" t="s">
        <v>1168</v>
      </c>
      <c r="E302" s="1" t="s">
        <v>1119</v>
      </c>
      <c r="F302" s="9" t="s">
        <v>1320</v>
      </c>
      <c r="G302" s="1" t="s">
        <v>463</v>
      </c>
      <c r="H3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2" s="11" t="e">
        <f>ABS(NETWORKDAYS.INTL("04/01/24", "04/04/24", 1, {"01/01/2024","01/15/2024","02/19/2024","05/27/2024","07/04/2024","09/02/2024","10/14/2024","11/11/2024","11/28/2024","12/25/2024","12/25/2024","12/26/2024","12/27/2024","12/28/2024","12/29/2024","12/30/2024","31/25/2024","01/01/2024","01/02/2024","01/03/2024","01/04/2024","01/05/2024"}))</f>
        <v>#VALUE!</v>
      </c>
      <c r="J302" s="1">
        <f>0</f>
        <v>0</v>
      </c>
      <c r="K302" s="1"/>
      <c r="L302" s="1">
        <v>1</v>
      </c>
      <c r="M302" s="1" t="e">
        <f>ABS(NETWORKDAYS.INTL("04/04/24", "04/04/24", 1, {"01/01/2024","01/15/2024","02/19/2024","05/27/2024","07/04/2024","09/02/2024","10/14/2024","11/11/2024","11/28/2024","12/25/2024","12/25/2024","12/26/2024","12/27/2024","12/28/2024","12/29/2024","12/30/2024","31/25/2024","01/01/2024","01/02/2024","01/03/2024","01/04/2024","01/05/2024"}))</f>
        <v>#VALUE!</v>
      </c>
      <c r="N302" s="1">
        <f>0</f>
        <v>0</v>
      </c>
      <c r="O302" s="1">
        <f>0</f>
        <v>0</v>
      </c>
      <c r="P302" s="1"/>
      <c r="Q302" s="1">
        <v>1</v>
      </c>
      <c r="R302" s="1">
        <v>1</v>
      </c>
      <c r="S302" s="1" t="e">
        <f>ABS(NETWORKDAYS.INTL("04/08/24", "04/10/24", 1, {"01/01/2024","01/15/2024","02/19/2024","05/27/2024","07/04/2024","09/02/2024","10/14/2024","11/11/2024","11/28/2024","12/25/2024","12/25/2024","12/26/2024","12/27/2024","12/28/2024","12/29/2024","12/30/2024","31/25/2024","01/01/2024","01/02/2024","01/03/2024","01/04/2024","01/05/2024"}))</f>
        <v>#VALUE!</v>
      </c>
      <c r="T302" s="1">
        <f>0</f>
        <v>0</v>
      </c>
      <c r="U302" s="1"/>
      <c r="V302" s="1">
        <v>3</v>
      </c>
      <c r="W302" s="1">
        <v>3</v>
      </c>
      <c r="X302" s="1" t="e">
        <f>ABS(NETWORKDAYS.INTL("04/12/24", "04/12/24", 1, {"01/01/2024","01/15/2024","02/19/2024","05/27/2024","07/04/2024","09/02/2024","10/14/2024","11/11/2024","11/28/2024","12/25/2024","12/25/2024","12/26/2024","12/27/2024","12/28/2024","12/29/2024","12/30/2024","31/25/2024","01/01/2024","01/02/2024","01/03/2024","01/04/2024","01/05/2024"})+NETWORKDAYS.INTL("04/23/24", "04/23/24", 1, {"01/01/2024","01/15/2024","02/19/2024","05/27/2024","07/04/2024","09/02/2024","10/14/2024","11/11/2024","11/28/2024","12/25/2024","12/25/2024","12/26/2024","12/27/2024","12/28/2024","12/29/2024","12/30/2024","31/25/2024","01/01/2024","01/02/2024","01/03/2024","01/04/2024","01/05/2024"})+NETWORKDAYS.INTL("05/20/24", "05/20/24", 1, {"01/01/2024","01/15/2024","02/19/2024","05/27/2024","07/04/2024","09/02/2024","10/14/2024","11/11/2024","11/28/2024","12/25/2024","12/25/2024","12/26/2024","12/27/2024","12/28/2024","12/29/2024","12/30/2024","31/25/2024","01/01/2024","01/02/2024","01/03/2024","01/04/2024","01/05/2024"}))</f>
        <v>#VALUE!</v>
      </c>
      <c r="Y302" s="1" t="e">
        <f>ABS(NETWORKDAYS.INTL("04/12/24", "04/18/24", 1, {"01/01/2024","01/15/2024","02/19/2024","05/27/2024","07/04/2024","09/02/2024","10/14/2024","11/11/2024","11/28/2024","12/25/2024","12/25/2024","12/26/2024","12/27/2024","12/28/2024","12/29/2024","12/30/2024","31/25/2024","01/01/2024","01/02/2024","01/03/2024","01/04/2024","01/05/2024"})+NETWORKDAYS.INTL("04/24/24", "05/03/24", 1, {"01/01/2024","01/15/2024","02/19/2024","05/27/2024","07/04/2024","09/02/2024","10/14/2024","11/11/2024","11/28/2024","12/25/2024","12/25/2024","12/26/2024","12/27/2024","12/28/2024","12/29/2024","12/30/2024","31/25/2024","01/01/2024","01/02/2024","01/03/2024","01/04/2024","01/05/2024"}))</f>
        <v>#VALUE!</v>
      </c>
      <c r="Z302" s="1">
        <f>0</f>
        <v>0</v>
      </c>
      <c r="AA302" s="1"/>
      <c r="AB302" s="5">
        <v>45432</v>
      </c>
      <c r="AC302" s="5"/>
      <c r="AD302" s="1" t="e">
        <f>ABS(NETWORKDAYS.INTL("04/04/24", "04/04/24", 1, {"01/01/2024","01/15/2024","02/19/2024","05/27/2024","07/04/2024","09/02/2024","10/14/2024","11/11/2024","11/28/2024","12/25/2024","12/25/2024","12/26/2024","12/27/2024","12/28/2024","12/29/2024","12/30/2024","31/25/2024","01/01/2024","01/02/2024","01/03/2024","01/04/2024","01/05/2024"}))</f>
        <v>#VALUE!</v>
      </c>
      <c r="AE302" s="1">
        <f>0</f>
        <v>0</v>
      </c>
      <c r="AF302" s="1" t="e">
        <f>ABS(NETWORKDAYS.INTL("04/05/24", "04/04/24", 1, {"01/01/2024","01/15/2024","02/19/2024","05/27/2024","07/04/2024","09/02/2024","10/14/2024","11/11/2024","11/28/2024","12/25/2024","12/25/2024","12/26/2024","12/27/2024","12/28/2024","12/29/2024","12/30/2024","31/25/2024","01/01/2024","01/02/2024","01/03/2024","01/04/2024","01/05/2024"}))</f>
        <v>#VALUE!</v>
      </c>
      <c r="AG302" s="1" t="e">
        <f>ABS(NETWORKDAYS.INTL("04/11/24", "04/05/24", 1, {"01/01/2024","01/15/2024","02/19/2024","05/27/2024","07/04/2024","09/02/2024","10/14/2024","11/11/2024","11/28/2024","12/25/2024","12/25/2024","12/26/2024","12/27/2024","12/28/2024","12/29/2024","12/30/2024","31/25/2024","01/01/2024","01/02/2024","01/03/2024","01/04/2024","01/05/2024"}))</f>
        <v>#VALUE!</v>
      </c>
      <c r="AH302" s="1" t="e">
        <f>ABS(NETWORKDAYS.INTL("04/12/24", "04/11/24", 1, {"01/01/2024","01/15/2024","02/19/2024","05/27/2024","07/04/2024","09/02/2024","10/14/2024","11/11/2024","11/28/2024","12/25/2024","12/25/2024","12/26/2024","12/27/2024","12/28/2024","12/29/2024","12/30/2024","31/25/2024","01/01/2024","01/02/2024","01/03/2024","01/04/2024","01/05/2024"}))</f>
        <v>#VALUE!</v>
      </c>
      <c r="AI302" s="1">
        <f>0</f>
        <v>0</v>
      </c>
      <c r="AJ302" s="1" t="b">
        <v>1</v>
      </c>
      <c r="AK302" s="1"/>
      <c r="AL302" s="1"/>
      <c r="AM302" s="1"/>
      <c r="AN302" s="1"/>
      <c r="AO302" s="1"/>
      <c r="AP302" s="1"/>
      <c r="AQ302" s="1"/>
      <c r="AR302" s="1"/>
      <c r="AS302" s="1"/>
      <c r="AT302" s="1"/>
      <c r="AU302" s="1"/>
      <c r="AV302" s="1"/>
      <c r="AW302" s="1"/>
      <c r="AX302" s="1"/>
      <c r="AY302" s="1"/>
      <c r="AZ302" s="1"/>
    </row>
    <row r="303" spans="1:52" ht="15" customHeight="1" x14ac:dyDescent="0.35">
      <c r="A303" s="1" t="s">
        <v>1321</v>
      </c>
      <c r="B303" s="1" t="s">
        <v>559</v>
      </c>
      <c r="C303" s="1" t="s">
        <v>988</v>
      </c>
      <c r="D303" s="1" t="s">
        <v>1322</v>
      </c>
      <c r="E303" s="1" t="s">
        <v>1119</v>
      </c>
      <c r="F303" s="9" t="s">
        <v>1323</v>
      </c>
      <c r="G303" s="1" t="s">
        <v>463</v>
      </c>
      <c r="H3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3" s="11" t="e">
        <f>ABS(NETWORKDAYS.INTL("04/01/24", "04/04/24", 1, {"01/01/2024","01/15/2024","02/19/2024","05/27/2024","07/04/2024","09/02/2024","10/14/2024","11/11/2024","11/28/2024","12/25/2024","12/25/2024","12/26/2024","12/27/2024","12/28/2024","12/29/2024","12/30/2024","31/25/2024","01/01/2024","01/02/2024","01/03/2024","01/04/2024","01/05/2024"}))</f>
        <v>#VALUE!</v>
      </c>
      <c r="J303" s="1">
        <f>0</f>
        <v>0</v>
      </c>
      <c r="K303" s="1"/>
      <c r="L303" s="1">
        <v>1</v>
      </c>
      <c r="M303" s="1" t="e">
        <f>ABS(NETWORKDAYS.INTL("04/04/24", "04/04/24", 1, {"01/01/2024","01/15/2024","02/19/2024","05/27/2024","07/04/2024","09/02/2024","10/14/2024","11/11/2024","11/28/2024","12/25/2024","12/25/2024","12/26/2024","12/27/2024","12/28/2024","12/29/2024","12/30/2024","31/25/2024","01/01/2024","01/02/2024","01/03/2024","01/04/2024","01/05/2024"}))</f>
        <v>#VALUE!</v>
      </c>
      <c r="N303" s="1">
        <f>0</f>
        <v>0</v>
      </c>
      <c r="O303" s="1">
        <f>0</f>
        <v>0</v>
      </c>
      <c r="P303" s="1"/>
      <c r="Q303" s="1">
        <v>0</v>
      </c>
      <c r="R303" s="1">
        <v>1</v>
      </c>
      <c r="S303" s="1" t="e">
        <f>ABS(NETWORKDAYS.INTL("04/08/24", "04/10/24", 1, {"01/01/2024","01/15/2024","02/19/2024","05/27/2024","07/04/2024","09/02/2024","10/14/2024","11/11/2024","11/28/2024","12/25/2024","12/25/2024","12/26/2024","12/27/2024","12/28/2024","12/29/2024","12/30/2024","31/25/2024","01/01/2024","01/02/2024","01/03/2024","01/04/2024","01/05/2024"}))</f>
        <v>#VALUE!</v>
      </c>
      <c r="T303" s="1">
        <f>0</f>
        <v>0</v>
      </c>
      <c r="U303" s="1"/>
      <c r="V303" s="1">
        <v>0</v>
      </c>
      <c r="W303" s="1">
        <v>0</v>
      </c>
      <c r="X303" s="1">
        <f>0</f>
        <v>0</v>
      </c>
      <c r="Y303" s="1">
        <f>0</f>
        <v>0</v>
      </c>
      <c r="Z303" s="1">
        <f>0</f>
        <v>0</v>
      </c>
      <c r="AA303" s="1"/>
      <c r="AB303" s="5"/>
      <c r="AC303" s="5"/>
      <c r="AD303" s="1" t="e">
        <f>ABS(NETWORKDAYS.INTL("04/04/24", "04/04/24", 1, {"01/01/2024","01/15/2024","02/19/2024","05/27/2024","07/04/2024","09/02/2024","10/14/2024","11/11/2024","11/28/2024","12/25/2024","12/25/2024","12/26/2024","12/27/2024","12/28/2024","12/29/2024","12/30/2024","31/25/2024","01/01/2024","01/02/2024","01/03/2024","01/04/2024","01/05/2024"}))</f>
        <v>#VALUE!</v>
      </c>
      <c r="AE303" s="1">
        <f>0</f>
        <v>0</v>
      </c>
      <c r="AF303" s="1" t="e">
        <f>ABS(NETWORKDAYS.INTL("04/05/24", "08/05/24", 1, {"01/01/2024","01/15/2024","02/19/2024","05/27/2024","07/04/2024","09/02/2024","10/14/2024","11/11/2024","11/28/2024","12/25/2024","12/25/2024","12/26/2024","12/27/2024","12/28/2024","12/29/2024","12/30/2024","31/25/2024","01/01/2024","01/02/2024","01/03/2024","01/04/2024","01/05/2024"}))</f>
        <v>#VALUE!</v>
      </c>
      <c r="AG303" s="1">
        <f>0</f>
        <v>0</v>
      </c>
      <c r="AH303" s="1">
        <f>0</f>
        <v>0</v>
      </c>
      <c r="AI303" s="1">
        <f>0</f>
        <v>0</v>
      </c>
      <c r="AJ303" s="1" t="b">
        <v>1</v>
      </c>
      <c r="AK303" s="1"/>
      <c r="AL303" s="1"/>
      <c r="AM303" s="1"/>
      <c r="AN303" s="1"/>
      <c r="AO303" s="1"/>
      <c r="AP303" s="1"/>
      <c r="AQ303" s="1"/>
      <c r="AR303" s="1"/>
      <c r="AS303" s="1"/>
      <c r="AT303" s="1"/>
      <c r="AU303" s="1"/>
      <c r="AV303" s="1"/>
      <c r="AW303" s="1"/>
      <c r="AX303" s="1"/>
      <c r="AY303" s="1"/>
      <c r="AZ303" s="1"/>
    </row>
    <row r="304" spans="1:52" ht="15" customHeight="1" x14ac:dyDescent="0.35">
      <c r="A304" s="1" t="s">
        <v>1324</v>
      </c>
      <c r="B304" s="1" t="s">
        <v>37</v>
      </c>
      <c r="C304" s="1" t="s">
        <v>640</v>
      </c>
      <c r="D304" s="1" t="s">
        <v>1325</v>
      </c>
      <c r="E304" s="1" t="s">
        <v>1326</v>
      </c>
      <c r="F304" s="9" t="s">
        <v>1327</v>
      </c>
      <c r="G304" s="1" t="s">
        <v>38</v>
      </c>
      <c r="H3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04" s="11">
        <f>0</f>
        <v>0</v>
      </c>
      <c r="J304" s="1">
        <f>0</f>
        <v>0</v>
      </c>
      <c r="K304" s="1"/>
      <c r="L304" s="1">
        <v>1</v>
      </c>
      <c r="M304" s="1" t="e">
        <f>ABS(NETWORKDAYS.INTL("07/23/2024", "08/05/24", 1, {"01/01/2024","01/15/2024","02/19/2024","05/27/2024","07/04/2024","09/02/2024","10/14/2024","11/11/2024","11/28/2024","12/25/2024","12/25/2024","12/26/2024","12/27/2024","12/28/2024","12/29/2024","12/30/2024","31/25/2024","01/01/2024","01/02/2024","01/03/2024","01/04/2024","01/05/2024"}))</f>
        <v>#VALUE!</v>
      </c>
      <c r="N304" s="1" t="e">
        <f>ABS(NETWORKDAYS.INTL("07/23/2024", "08/05/24", 1, {"01/01/2024","01/15/2024","02/19/2024","05/27/2024","07/04/2024","09/02/2024","10/14/2024","11/11/2024","11/28/2024","12/25/2024","12/25/2024","12/26/2024","12/27/2024","12/28/2024","12/29/2024","12/30/2024","31/25/2024","01/01/2024","01/02/2024","01/03/2024","01/04/2024","01/05/2024"}))</f>
        <v>#VALUE!</v>
      </c>
      <c r="O304" s="1">
        <f>0</f>
        <v>0</v>
      </c>
      <c r="P304" s="1"/>
      <c r="Q304" s="1">
        <v>0</v>
      </c>
      <c r="R304" s="1">
        <v>0</v>
      </c>
      <c r="S304" s="1">
        <f>0</f>
        <v>0</v>
      </c>
      <c r="T304" s="1">
        <f>0</f>
        <v>0</v>
      </c>
      <c r="U304" s="1"/>
      <c r="V304" s="1">
        <v>0</v>
      </c>
      <c r="W304" s="1">
        <v>0</v>
      </c>
      <c r="X304" s="1">
        <f>0</f>
        <v>0</v>
      </c>
      <c r="Y304" s="1">
        <f>0</f>
        <v>0</v>
      </c>
      <c r="Z304" s="1">
        <f>0</f>
        <v>0</v>
      </c>
      <c r="AA304" s="1"/>
      <c r="AB304" s="5"/>
      <c r="AC304" s="5"/>
      <c r="AD304" s="1" t="e">
        <f>ABS(NETWORKDAYS.INTL("07/23/2024", "08/05/24", 1, {"01/01/2024","01/15/2024","02/19/2024","05/27/2024","07/04/2024","09/02/2024","10/14/2024","11/11/2024","11/28/2024","12/25/2024","12/25/2024","12/26/2024","12/27/2024","12/28/2024","12/29/2024","12/30/2024","31/25/2024","01/01/2024","01/02/2024","01/03/2024","01/04/2024","01/05/2024"}))</f>
        <v>#VALUE!</v>
      </c>
      <c r="AE304" s="1" t="e">
        <f>ABS(NETWORKDAYS.INTL("07/23/2024", "08/05/24", 1, {"01/01/2024","01/15/2024","02/19/2024","05/27/2024","07/04/2024","09/02/2024","10/14/2024","11/11/2024","11/28/2024","12/25/2024","12/25/2024","12/26/2024","12/27/2024","12/28/2024","12/29/2024","12/30/2024","31/25/2024","01/01/2024","01/02/2024","01/03/2024","01/04/2024","01/05/2024"}))</f>
        <v>#VALUE!</v>
      </c>
      <c r="AF304" s="1">
        <f>0</f>
        <v>0</v>
      </c>
      <c r="AG304" s="1">
        <f>0</f>
        <v>0</v>
      </c>
      <c r="AH304" s="1">
        <f>0</f>
        <v>0</v>
      </c>
      <c r="AI304" s="1">
        <f>0</f>
        <v>0</v>
      </c>
      <c r="AJ304" s="1"/>
      <c r="AK304" s="1"/>
      <c r="AL304" s="1"/>
      <c r="AM304" s="1"/>
      <c r="AN304" s="1"/>
      <c r="AO304" s="1"/>
      <c r="AP304" s="1"/>
      <c r="AQ304" s="1"/>
      <c r="AR304" s="1"/>
      <c r="AS304" s="1" t="b">
        <v>1</v>
      </c>
      <c r="AT304" s="1"/>
      <c r="AU304" s="1"/>
      <c r="AV304" s="1"/>
      <c r="AW304" s="1"/>
      <c r="AX304" s="1"/>
      <c r="AY304" s="1"/>
      <c r="AZ304" s="1"/>
    </row>
    <row r="305" spans="1:52" ht="15" customHeight="1" x14ac:dyDescent="0.35">
      <c r="A305" s="1" t="s">
        <v>1328</v>
      </c>
      <c r="B305" s="1" t="s">
        <v>39</v>
      </c>
      <c r="C305" s="1" t="s">
        <v>1329</v>
      </c>
      <c r="D305" s="1" t="s">
        <v>1330</v>
      </c>
      <c r="E305" s="1" t="s">
        <v>1331</v>
      </c>
      <c r="F305" s="9" t="s">
        <v>1332</v>
      </c>
      <c r="G305" s="1" t="s">
        <v>38</v>
      </c>
      <c r="H3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5" s="11" t="e">
        <f>ABS(NETWORKDAYS.INTL("06/03/24", "06/06/24", 1, {"01/01/2024","01/15/2024","02/19/2024","05/27/2024","07/04/2024","09/02/2024","10/14/2024","11/11/2024","11/28/2024","12/25/2024","12/25/2024","12/26/2024","12/27/2024","12/28/2024","12/29/2024","12/30/2024","31/25/2024","01/01/2024","01/02/2024","01/03/2024","01/04/2024","01/05/2024"}))</f>
        <v>#VALUE!</v>
      </c>
      <c r="J305" s="1">
        <f>0</f>
        <v>0</v>
      </c>
      <c r="K305" s="1"/>
      <c r="L305" s="1">
        <v>0</v>
      </c>
      <c r="M305" s="1">
        <f>0</f>
        <v>0</v>
      </c>
      <c r="N305" s="1">
        <f>0</f>
        <v>0</v>
      </c>
      <c r="O305" s="1">
        <f>0</f>
        <v>0</v>
      </c>
      <c r="P305" s="1"/>
      <c r="Q305" s="1">
        <v>0</v>
      </c>
      <c r="R305" s="1">
        <v>0</v>
      </c>
      <c r="S305" s="1">
        <f>0</f>
        <v>0</v>
      </c>
      <c r="T305" s="1">
        <f>0</f>
        <v>0</v>
      </c>
      <c r="U305" s="1"/>
      <c r="V305" s="1">
        <v>0</v>
      </c>
      <c r="W305" s="1">
        <v>0</v>
      </c>
      <c r="X305" s="1">
        <f>0</f>
        <v>0</v>
      </c>
      <c r="Y305" s="1">
        <f>0</f>
        <v>0</v>
      </c>
      <c r="Z305" s="1">
        <f>0</f>
        <v>0</v>
      </c>
      <c r="AA305" s="1"/>
      <c r="AB305" s="5"/>
      <c r="AC305" s="5"/>
      <c r="AD305" s="1">
        <f>0</f>
        <v>0</v>
      </c>
      <c r="AE305" s="1">
        <f>0</f>
        <v>0</v>
      </c>
      <c r="AF305" s="1">
        <f>0</f>
        <v>0</v>
      </c>
      <c r="AG305" s="1">
        <f>0</f>
        <v>0</v>
      </c>
      <c r="AH305" s="1">
        <f>0</f>
        <v>0</v>
      </c>
      <c r="AI305" s="1">
        <f>0</f>
        <v>0</v>
      </c>
      <c r="AJ305" s="1"/>
      <c r="AK305" s="1"/>
      <c r="AL305" s="1"/>
      <c r="AM305" s="1"/>
      <c r="AN305" s="1"/>
      <c r="AO305" s="1"/>
      <c r="AP305" s="1"/>
      <c r="AQ305" s="1"/>
      <c r="AR305" s="1"/>
      <c r="AS305" s="1"/>
      <c r="AT305" s="1"/>
      <c r="AU305" s="1"/>
      <c r="AV305" s="1"/>
      <c r="AW305" s="1"/>
      <c r="AX305" s="1"/>
      <c r="AY305" s="1" t="b">
        <v>1</v>
      </c>
      <c r="AZ305" s="1"/>
    </row>
    <row r="306" spans="1:52" ht="15" customHeight="1" x14ac:dyDescent="0.35">
      <c r="A306" s="1" t="s">
        <v>1333</v>
      </c>
      <c r="B306" s="1" t="s">
        <v>1334</v>
      </c>
      <c r="C306" s="1" t="s">
        <v>1329</v>
      </c>
      <c r="D306" s="1" t="s">
        <v>1335</v>
      </c>
      <c r="E306" s="1" t="s">
        <v>1336</v>
      </c>
      <c r="F306" s="9" t="s">
        <v>1337</v>
      </c>
      <c r="G306" s="1" t="s">
        <v>38</v>
      </c>
      <c r="H3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6" s="11" t="e">
        <f>ABS(NETWORKDAYS.INTL("05/31/24", "06/07/24", 1, {"01/01/2024","01/15/2024","02/19/2024","05/27/2024","07/04/2024","09/02/2024","10/14/2024","11/11/2024","11/28/2024","12/25/2024","12/25/2024","12/26/2024","12/27/2024","12/28/2024","12/29/2024","12/30/2024","31/25/2024","01/01/2024","01/02/2024","01/03/2024","01/04/2024","01/05/2024"}))</f>
        <v>#VALUE!</v>
      </c>
      <c r="J306" s="1">
        <f>0</f>
        <v>0</v>
      </c>
      <c r="K306" s="1"/>
      <c r="L306" s="1">
        <v>0</v>
      </c>
      <c r="M306" s="1">
        <f>0</f>
        <v>0</v>
      </c>
      <c r="N306" s="1">
        <f>0</f>
        <v>0</v>
      </c>
      <c r="O306" s="1">
        <f>0</f>
        <v>0</v>
      </c>
      <c r="P306" s="1"/>
      <c r="Q306" s="1">
        <v>0</v>
      </c>
      <c r="R306" s="1">
        <v>0</v>
      </c>
      <c r="S306" s="1">
        <f>0</f>
        <v>0</v>
      </c>
      <c r="T306" s="1">
        <f>0</f>
        <v>0</v>
      </c>
      <c r="U306" s="1"/>
      <c r="V306" s="1">
        <v>0</v>
      </c>
      <c r="W306" s="1">
        <v>0</v>
      </c>
      <c r="X306" s="1">
        <f>0</f>
        <v>0</v>
      </c>
      <c r="Y306" s="1">
        <f>0</f>
        <v>0</v>
      </c>
      <c r="Z306" s="1">
        <f>0</f>
        <v>0</v>
      </c>
      <c r="AA306" s="1"/>
      <c r="AB306" s="5"/>
      <c r="AC306" s="5"/>
      <c r="AD306" s="1">
        <f>0</f>
        <v>0</v>
      </c>
      <c r="AE306" s="1">
        <f>0</f>
        <v>0</v>
      </c>
      <c r="AF306" s="1">
        <f>0</f>
        <v>0</v>
      </c>
      <c r="AG306" s="1">
        <f>0</f>
        <v>0</v>
      </c>
      <c r="AH306" s="1">
        <f>0</f>
        <v>0</v>
      </c>
      <c r="AI306" s="1">
        <f>0</f>
        <v>0</v>
      </c>
      <c r="AJ306" s="1" t="b">
        <v>1</v>
      </c>
      <c r="AK306" s="1"/>
      <c r="AL306" s="1"/>
      <c r="AM306" s="1"/>
      <c r="AN306" s="1"/>
      <c r="AO306" s="1"/>
      <c r="AP306" s="1" t="b">
        <v>1</v>
      </c>
      <c r="AQ306" s="1"/>
      <c r="AR306" s="1"/>
      <c r="AS306" s="1"/>
      <c r="AT306" s="1"/>
      <c r="AU306" s="1"/>
      <c r="AV306" s="1"/>
      <c r="AW306" s="1"/>
      <c r="AX306" s="1"/>
      <c r="AY306" s="1" t="b">
        <v>1</v>
      </c>
      <c r="AZ306" s="1"/>
    </row>
    <row r="307" spans="1:52" ht="15" customHeight="1" x14ac:dyDescent="0.35">
      <c r="A307" s="1" t="s">
        <v>1338</v>
      </c>
      <c r="B307" s="1" t="s">
        <v>40</v>
      </c>
      <c r="C307" s="1" t="s">
        <v>1329</v>
      </c>
      <c r="D307" s="1" t="s">
        <v>1339</v>
      </c>
      <c r="E307" s="1" t="s">
        <v>1340</v>
      </c>
      <c r="F307" s="9" t="s">
        <v>1341</v>
      </c>
      <c r="G307" s="1" t="s">
        <v>38</v>
      </c>
      <c r="H3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7" s="11" t="e">
        <f>ABS(NETWORKDAYS.INTL("05/29/24", "06/03/24", 1, {"01/01/2024","01/15/2024","02/19/2024","05/27/2024","07/04/2024","09/02/2024","10/14/2024","11/11/2024","11/28/2024","12/25/2024","12/25/2024","12/26/2024","12/27/2024","12/28/2024","12/29/2024","12/30/2024","31/25/2024","01/01/2024","01/02/2024","01/03/2024","01/04/2024","01/05/2024"}))</f>
        <v>#VALUE!</v>
      </c>
      <c r="J307" s="1">
        <f>0</f>
        <v>0</v>
      </c>
      <c r="K307" s="1"/>
      <c r="L307" s="1">
        <v>0</v>
      </c>
      <c r="M307" s="1">
        <f>0</f>
        <v>0</v>
      </c>
      <c r="N307" s="1">
        <f>0</f>
        <v>0</v>
      </c>
      <c r="O307" s="1">
        <f>0</f>
        <v>0</v>
      </c>
      <c r="P307" s="1"/>
      <c r="Q307" s="1">
        <v>0</v>
      </c>
      <c r="R307" s="1">
        <v>0</v>
      </c>
      <c r="S307" s="1">
        <f>0</f>
        <v>0</v>
      </c>
      <c r="T307" s="1">
        <f>0</f>
        <v>0</v>
      </c>
      <c r="U307" s="1"/>
      <c r="V307" s="1">
        <v>0</v>
      </c>
      <c r="W307" s="1">
        <v>0</v>
      </c>
      <c r="X307" s="1">
        <f>0</f>
        <v>0</v>
      </c>
      <c r="Y307" s="1">
        <f>0</f>
        <v>0</v>
      </c>
      <c r="Z307" s="1">
        <f>0</f>
        <v>0</v>
      </c>
      <c r="AA307" s="1"/>
      <c r="AB307" s="5"/>
      <c r="AC307" s="5"/>
      <c r="AD307" s="1">
        <f>0</f>
        <v>0</v>
      </c>
      <c r="AE307" s="1">
        <f>0</f>
        <v>0</v>
      </c>
      <c r="AF307" s="1">
        <f>0</f>
        <v>0</v>
      </c>
      <c r="AG307" s="1">
        <f>0</f>
        <v>0</v>
      </c>
      <c r="AH307" s="1">
        <f>0</f>
        <v>0</v>
      </c>
      <c r="AI307" s="1">
        <f>0</f>
        <v>0</v>
      </c>
      <c r="AJ307" s="1"/>
      <c r="AK307" s="1"/>
      <c r="AL307" s="1" t="b">
        <v>1</v>
      </c>
      <c r="AM307" s="1"/>
      <c r="AN307" s="1"/>
      <c r="AO307" s="1"/>
      <c r="AP307" s="1"/>
      <c r="AQ307" s="1"/>
      <c r="AR307" s="1"/>
      <c r="AS307" s="1" t="b">
        <v>1</v>
      </c>
      <c r="AT307" s="1"/>
      <c r="AU307" s="1"/>
      <c r="AV307" s="1"/>
      <c r="AW307" s="1"/>
      <c r="AX307" s="1"/>
      <c r="AY307" s="1"/>
      <c r="AZ307" s="1"/>
    </row>
    <row r="308" spans="1:52" ht="15" customHeight="1" x14ac:dyDescent="0.35">
      <c r="A308" s="1" t="s">
        <v>1342</v>
      </c>
      <c r="B308" s="1" t="s">
        <v>41</v>
      </c>
      <c r="C308" s="1" t="s">
        <v>1329</v>
      </c>
      <c r="D308" s="1" t="s">
        <v>1339</v>
      </c>
      <c r="E308" s="1" t="s">
        <v>1340</v>
      </c>
      <c r="F308" s="9" t="s">
        <v>1343</v>
      </c>
      <c r="G308" s="1" t="s">
        <v>38</v>
      </c>
      <c r="H3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08" s="11" t="e">
        <f>ABS(NETWORKDAYS.INTL("05/29/24", "06/03/24", 1, {"01/01/2024","01/15/2024","02/19/2024","05/27/2024","07/04/2024","09/02/2024","10/14/2024","11/11/2024","11/28/2024","12/25/2024","12/25/2024","12/26/2024","12/27/2024","12/28/2024","12/29/2024","12/30/2024","31/25/2024","01/01/2024","01/02/2024","01/03/2024","01/04/2024","01/05/2024"}))</f>
        <v>#VALUE!</v>
      </c>
      <c r="J308" s="1">
        <f>0</f>
        <v>0</v>
      </c>
      <c r="K308" s="1"/>
      <c r="L308" s="1">
        <v>0</v>
      </c>
      <c r="M308" s="1">
        <f>0</f>
        <v>0</v>
      </c>
      <c r="N308" s="1">
        <f>0</f>
        <v>0</v>
      </c>
      <c r="O308" s="1">
        <f>0</f>
        <v>0</v>
      </c>
      <c r="P308" s="1"/>
      <c r="Q308" s="1">
        <v>0</v>
      </c>
      <c r="R308" s="1">
        <v>0</v>
      </c>
      <c r="S308" s="1">
        <f>0</f>
        <v>0</v>
      </c>
      <c r="T308" s="1">
        <f>0</f>
        <v>0</v>
      </c>
      <c r="U308" s="1"/>
      <c r="V308" s="1">
        <v>0</v>
      </c>
      <c r="W308" s="1">
        <v>0</v>
      </c>
      <c r="X308" s="1">
        <f>0</f>
        <v>0</v>
      </c>
      <c r="Y308" s="1">
        <f>0</f>
        <v>0</v>
      </c>
      <c r="Z308" s="1">
        <f>0</f>
        <v>0</v>
      </c>
      <c r="AA308" s="1"/>
      <c r="AB308" s="5"/>
      <c r="AC308" s="5"/>
      <c r="AD308" s="1">
        <f>0</f>
        <v>0</v>
      </c>
      <c r="AE308" s="1">
        <f>0</f>
        <v>0</v>
      </c>
      <c r="AF308" s="1">
        <f>0</f>
        <v>0</v>
      </c>
      <c r="AG308" s="1">
        <f>0</f>
        <v>0</v>
      </c>
      <c r="AH308" s="1">
        <f>0</f>
        <v>0</v>
      </c>
      <c r="AI308" s="1">
        <f>0</f>
        <v>0</v>
      </c>
      <c r="AJ308" s="1"/>
      <c r="AK308" s="1"/>
      <c r="AL308" s="1" t="b">
        <v>1</v>
      </c>
      <c r="AM308" s="1"/>
      <c r="AN308" s="1"/>
      <c r="AO308" s="1"/>
      <c r="AP308" s="1"/>
      <c r="AQ308" s="1"/>
      <c r="AR308" s="1"/>
      <c r="AS308" s="1" t="b">
        <v>1</v>
      </c>
      <c r="AT308" s="1"/>
      <c r="AU308" s="1"/>
      <c r="AV308" s="1"/>
      <c r="AW308" s="1"/>
      <c r="AX308" s="1"/>
      <c r="AY308" s="1"/>
      <c r="AZ308" s="1"/>
    </row>
    <row r="309" spans="1:52" ht="15" customHeight="1" x14ac:dyDescent="0.35">
      <c r="A309" s="1" t="s">
        <v>1344</v>
      </c>
      <c r="B309" s="1" t="s">
        <v>42</v>
      </c>
      <c r="C309" s="1" t="s">
        <v>988</v>
      </c>
      <c r="D309" s="1"/>
      <c r="E309" s="1"/>
      <c r="F309" s="9" t="s">
        <v>1345</v>
      </c>
      <c r="G309" s="1" t="s">
        <v>38</v>
      </c>
      <c r="H3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09" s="11" t="e">
        <f>ABS(NETWORKDAYS.INTL("05/29/24", "05/29/24", 1, {"01/01/2024","01/15/2024","02/19/2024","05/27/2024","07/04/2024","09/02/2024","10/14/2024","11/11/2024","11/28/2024","12/25/2024","12/25/2024","12/26/2024","12/27/2024","12/28/2024","12/29/2024","12/30/2024","31/25/2024","01/01/2024","01/02/2024","01/03/2024","01/04/2024","01/05/2024"}))</f>
        <v>#VALUE!</v>
      </c>
      <c r="J309" s="1">
        <f>0</f>
        <v>0</v>
      </c>
      <c r="K309" s="1"/>
      <c r="L309" s="1">
        <v>0</v>
      </c>
      <c r="M309" s="1">
        <f>0</f>
        <v>0</v>
      </c>
      <c r="N309" s="1">
        <f>0</f>
        <v>0</v>
      </c>
      <c r="O309" s="1">
        <f>0</f>
        <v>0</v>
      </c>
      <c r="P309" s="1"/>
      <c r="Q309" s="1">
        <v>0</v>
      </c>
      <c r="R309" s="1">
        <v>0</v>
      </c>
      <c r="S309" s="1">
        <f>0</f>
        <v>0</v>
      </c>
      <c r="T309" s="1">
        <f>0</f>
        <v>0</v>
      </c>
      <c r="U309" s="1"/>
      <c r="V309" s="1">
        <v>0</v>
      </c>
      <c r="W309" s="1">
        <v>0</v>
      </c>
      <c r="X309" s="1">
        <f>0</f>
        <v>0</v>
      </c>
      <c r="Y309" s="1">
        <f>0</f>
        <v>0</v>
      </c>
      <c r="Z309" s="1">
        <f>0</f>
        <v>0</v>
      </c>
      <c r="AA309" s="1"/>
      <c r="AB309" s="5"/>
      <c r="AC309" s="5"/>
      <c r="AD309" s="1">
        <f>0</f>
        <v>0</v>
      </c>
      <c r="AE309" s="1">
        <f>0</f>
        <v>0</v>
      </c>
      <c r="AF309" s="1">
        <f>0</f>
        <v>0</v>
      </c>
      <c r="AG309" s="1">
        <f>0</f>
        <v>0</v>
      </c>
      <c r="AH309" s="1">
        <f>0</f>
        <v>0</v>
      </c>
      <c r="AI309" s="1">
        <f>0</f>
        <v>0</v>
      </c>
      <c r="AJ309" s="1"/>
      <c r="AK309" s="1"/>
      <c r="AL309" s="1"/>
      <c r="AM309" s="1"/>
      <c r="AN309" s="1"/>
      <c r="AO309" s="1"/>
      <c r="AP309" s="1"/>
      <c r="AQ309" s="1"/>
      <c r="AR309" s="1"/>
      <c r="AS309" s="1"/>
      <c r="AT309" s="1"/>
      <c r="AU309" s="1"/>
      <c r="AV309" s="1"/>
      <c r="AW309" s="1"/>
      <c r="AX309" s="1"/>
      <c r="AY309" s="1"/>
      <c r="AZ309" s="1"/>
    </row>
    <row r="310" spans="1:52" ht="15" customHeight="1" x14ac:dyDescent="0.35">
      <c r="A310" s="1" t="s">
        <v>1346</v>
      </c>
      <c r="B310" s="1" t="s">
        <v>43</v>
      </c>
      <c r="C310" s="1" t="s">
        <v>1329</v>
      </c>
      <c r="D310" s="1" t="s">
        <v>1347</v>
      </c>
      <c r="E310" s="1" t="s">
        <v>1331</v>
      </c>
      <c r="F310" s="9" t="s">
        <v>1348</v>
      </c>
      <c r="G310" s="1" t="s">
        <v>38</v>
      </c>
      <c r="H3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10" s="11" t="e">
        <f>ABS(NETWORKDAYS.INTL("05/24/24", "05/27/24", 1, {"01/01/2024","01/15/2024","02/19/2024","05/27/2024","07/04/2024","09/02/2024","10/14/2024","11/11/2024","11/28/2024","12/25/2024","12/25/2024","12/26/2024","12/27/2024","12/28/2024","12/29/2024","12/30/2024","31/25/2024","01/01/2024","01/02/2024","01/03/2024","01/04/2024","01/05/2024"}))</f>
        <v>#VALUE!</v>
      </c>
      <c r="J310" s="1">
        <f>0</f>
        <v>0</v>
      </c>
      <c r="K310" s="1"/>
      <c r="L310" s="1">
        <v>0</v>
      </c>
      <c r="M310" s="1">
        <f>0</f>
        <v>0</v>
      </c>
      <c r="N310" s="1">
        <f>0</f>
        <v>0</v>
      </c>
      <c r="O310" s="1">
        <f>0</f>
        <v>0</v>
      </c>
      <c r="P310" s="1"/>
      <c r="Q310" s="1">
        <v>0</v>
      </c>
      <c r="R310" s="1">
        <v>0</v>
      </c>
      <c r="S310" s="1">
        <f>0</f>
        <v>0</v>
      </c>
      <c r="T310" s="1">
        <f>0</f>
        <v>0</v>
      </c>
      <c r="U310" s="1"/>
      <c r="V310" s="1">
        <v>0</v>
      </c>
      <c r="W310" s="1">
        <v>0</v>
      </c>
      <c r="X310" s="1">
        <f>0</f>
        <v>0</v>
      </c>
      <c r="Y310" s="1">
        <f>0</f>
        <v>0</v>
      </c>
      <c r="Z310" s="1">
        <f>0</f>
        <v>0</v>
      </c>
      <c r="AA310" s="1"/>
      <c r="AB310" s="5"/>
      <c r="AC310" s="5"/>
      <c r="AD310" s="1">
        <f>0</f>
        <v>0</v>
      </c>
      <c r="AE310" s="1">
        <f>0</f>
        <v>0</v>
      </c>
      <c r="AF310" s="1">
        <f>0</f>
        <v>0</v>
      </c>
      <c r="AG310" s="1">
        <f>0</f>
        <v>0</v>
      </c>
      <c r="AH310" s="1">
        <f>0</f>
        <v>0</v>
      </c>
      <c r="AI310" s="1">
        <f>0</f>
        <v>0</v>
      </c>
      <c r="AJ310" s="1"/>
      <c r="AK310" s="1"/>
      <c r="AL310" s="1"/>
      <c r="AM310" s="1"/>
      <c r="AN310" s="1"/>
      <c r="AO310" s="1"/>
      <c r="AP310" s="1"/>
      <c r="AQ310" s="1"/>
      <c r="AR310" s="1"/>
      <c r="AS310" s="1"/>
      <c r="AT310" s="1"/>
      <c r="AU310" s="1"/>
      <c r="AV310" s="1"/>
      <c r="AW310" s="1"/>
      <c r="AX310" s="1"/>
      <c r="AY310" s="1" t="b">
        <v>1</v>
      </c>
      <c r="AZ310" s="1"/>
    </row>
    <row r="311" spans="1:52" ht="15" customHeight="1" x14ac:dyDescent="0.35">
      <c r="A311" s="1" t="s">
        <v>1349</v>
      </c>
      <c r="B311" s="1" t="s">
        <v>44</v>
      </c>
      <c r="C311" s="1" t="s">
        <v>1157</v>
      </c>
      <c r="D311" s="1" t="s">
        <v>1350</v>
      </c>
      <c r="E311" s="1" t="s">
        <v>1351</v>
      </c>
      <c r="F311" s="9" t="s">
        <v>1352</v>
      </c>
      <c r="G311" s="1" t="s">
        <v>38</v>
      </c>
      <c r="H3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11" s="11" t="e">
        <f>ABS(NETWORKDAYS.INTL("05/22/24", "05/22/24", 1, {"01/01/2024","01/15/2024","02/19/2024","05/27/2024","07/04/2024","09/02/2024","10/14/2024","11/11/2024","11/28/2024","12/25/2024","12/25/2024","12/26/2024","12/27/2024","12/28/2024","12/29/2024","12/30/2024","31/25/2024","01/01/2024","01/02/2024","01/03/2024","01/04/2024","01/05/2024"}))</f>
        <v>#VALUE!</v>
      </c>
      <c r="J311" s="1">
        <f>0</f>
        <v>0</v>
      </c>
      <c r="K311" s="1"/>
      <c r="L311" s="1">
        <v>0</v>
      </c>
      <c r="M311" s="1">
        <f>0</f>
        <v>0</v>
      </c>
      <c r="N311" s="1">
        <f>0</f>
        <v>0</v>
      </c>
      <c r="O311" s="1">
        <f>0</f>
        <v>0</v>
      </c>
      <c r="P311" s="1"/>
      <c r="Q311" s="1">
        <v>2</v>
      </c>
      <c r="R311" s="1">
        <v>2</v>
      </c>
      <c r="S311" s="1" t="e">
        <f>ABS(NETWORKDAYS.INTL("05/23/24", "05/23/24", 1, {"01/01/2024","01/15/2024","02/19/2024","05/27/2024","07/04/2024","09/02/2024","10/14/2024","11/11/2024","11/28/2024","12/25/2024","12/25/2024","12/26/2024","12/27/2024","12/28/2024","12/29/2024","12/30/2024","31/25/2024","01/01/2024","01/02/2024","01/03/2024","01/04/2024","01/05/2024"}))</f>
        <v>#VALUE!</v>
      </c>
      <c r="T311" s="1">
        <f>0</f>
        <v>0</v>
      </c>
      <c r="U311" s="1"/>
      <c r="V311" s="1">
        <v>2</v>
      </c>
      <c r="W311" s="1">
        <v>1</v>
      </c>
      <c r="X311" s="1" t="e">
        <f>ABS(NETWORKDAYS.INTL("06/06/24", "06/11/24", 1, {"01/01/2024","01/15/2024","02/19/2024","05/27/2024","07/04/2024","09/02/2024","10/14/2024","11/11/2024","11/28/2024","12/25/2024","12/25/2024","12/26/2024","12/27/2024","12/28/2024","12/29/2024","12/30/2024","31/25/2024","01/01/2024","01/02/2024","01/03/2024","01/04/2024","01/05/2024"}))</f>
        <v>#VALUE!</v>
      </c>
      <c r="Y311" s="1" t="e">
        <f>ABS(NETWORKDAYS.INTL("06/11/24", "06/11/24", 1, {"01/01/2024","01/15/2024","02/19/2024","05/27/2024","07/04/2024","09/02/2024","10/14/2024","11/11/2024","11/28/2024","12/25/2024","12/25/2024","12/26/2024","12/27/2024","12/28/2024","12/29/2024","12/30/2024","31/25/2024","01/01/2024","01/02/2024","01/03/2024","01/04/2024","01/05/2024"}))</f>
        <v>#VALUE!</v>
      </c>
      <c r="Z311" s="1">
        <f>0</f>
        <v>0</v>
      </c>
      <c r="AA311" s="1"/>
      <c r="AB311" s="5">
        <v>45456</v>
      </c>
      <c r="AC311" s="5"/>
      <c r="AD311" s="1">
        <f>0</f>
        <v>0</v>
      </c>
      <c r="AE311" s="1">
        <f>0</f>
        <v>0</v>
      </c>
      <c r="AF311" s="1" t="e">
        <f>ABS(NETWORKDAYS.INTL("05/22/24", "05/22/24", 1, {"01/01/2024","01/15/2024","02/19/2024","05/27/2024","07/04/2024","09/02/2024","10/14/2024","11/11/2024","11/28/2024","12/25/2024","12/25/2024","12/26/2024","12/27/2024","12/28/2024","12/29/2024","12/30/2024","31/25/2024","01/01/2024","01/02/2024","01/03/2024","01/04/2024","01/05/2024"}))</f>
        <v>#VALUE!</v>
      </c>
      <c r="AG311" s="1" t="e">
        <f>ABS(NETWORKDAYS.INTL("06/06/24", "05/22/24", 1, {"01/01/2024","01/15/2024","02/19/2024","05/27/2024","07/04/2024","09/02/2024","10/14/2024","11/11/2024","11/28/2024","12/25/2024","12/25/2024","12/26/2024","12/27/2024","12/28/2024","12/29/2024","12/30/2024","31/25/2024","01/01/2024","01/02/2024","01/03/2024","01/04/2024","01/05/2024"}))</f>
        <v>#VALUE!</v>
      </c>
      <c r="AH311" s="1" t="e">
        <f>ABS(NETWORKDAYS.INTL("06/06/24", "06/06/24", 1, {"01/01/2024","01/15/2024","02/19/2024","05/27/2024","07/04/2024","09/02/2024","10/14/2024","11/11/2024","11/28/2024","12/25/2024","12/25/2024","12/26/2024","12/27/2024","12/28/2024","12/29/2024","12/30/2024","31/25/2024","01/01/2024","01/02/2024","01/03/2024","01/04/2024","01/05/2024"}))</f>
        <v>#VALUE!</v>
      </c>
      <c r="AI311" s="1">
        <f>0</f>
        <v>0</v>
      </c>
      <c r="AJ311" s="1" t="b">
        <v>1</v>
      </c>
      <c r="AK311" s="1"/>
      <c r="AL311" s="1" t="b">
        <v>1</v>
      </c>
      <c r="AM311" s="1"/>
      <c r="AN311" s="1"/>
      <c r="AO311" s="1"/>
      <c r="AP311" s="1"/>
      <c r="AQ311" s="1"/>
      <c r="AR311" s="1"/>
      <c r="AS311" s="1"/>
      <c r="AT311" s="1"/>
      <c r="AU311" s="1"/>
      <c r="AV311" s="1" t="b">
        <v>1</v>
      </c>
      <c r="AW311" s="1"/>
      <c r="AX311" s="1"/>
      <c r="AY311" s="1"/>
      <c r="AZ311" s="1"/>
    </row>
    <row r="312" spans="1:52" ht="15" customHeight="1" x14ac:dyDescent="0.35">
      <c r="A312" s="1" t="s">
        <v>1353</v>
      </c>
      <c r="B312" s="1" t="s">
        <v>45</v>
      </c>
      <c r="C312" s="1" t="s">
        <v>988</v>
      </c>
      <c r="D312" s="1" t="s">
        <v>1354</v>
      </c>
      <c r="E312" s="1"/>
      <c r="F312" s="9" t="s">
        <v>1355</v>
      </c>
      <c r="G312" s="1" t="s">
        <v>38</v>
      </c>
      <c r="H3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2" s="11" t="e">
        <f>ABS(NETWORKDAYS.INTL("05/14/24", "05/16/24", 1, {"01/01/2024","01/15/2024","02/19/2024","05/27/2024","07/04/2024","09/02/2024","10/14/2024","11/11/2024","11/28/2024","12/25/2024","12/25/2024","12/26/2024","12/27/2024","12/28/2024","12/29/2024","12/30/2024","31/25/2024","01/01/2024","01/02/2024","01/03/2024","01/04/2024","01/05/2024"}))</f>
        <v>#VALUE!</v>
      </c>
      <c r="J312" s="1">
        <f>0</f>
        <v>0</v>
      </c>
      <c r="K312" s="1"/>
      <c r="L312" s="1">
        <v>0</v>
      </c>
      <c r="M312" s="1">
        <f>0</f>
        <v>0</v>
      </c>
      <c r="N312" s="1">
        <f>0</f>
        <v>0</v>
      </c>
      <c r="O312" s="1">
        <f>0</f>
        <v>0</v>
      </c>
      <c r="P312" s="1"/>
      <c r="Q312" s="1">
        <v>0</v>
      </c>
      <c r="R312" s="1">
        <v>1</v>
      </c>
      <c r="S312" s="1">
        <f>0</f>
        <v>0</v>
      </c>
      <c r="T312" s="1">
        <f>0</f>
        <v>0</v>
      </c>
      <c r="U312" s="1"/>
      <c r="V312" s="1">
        <v>0</v>
      </c>
      <c r="W312" s="1">
        <v>0</v>
      </c>
      <c r="X312" s="1">
        <f>0</f>
        <v>0</v>
      </c>
      <c r="Y312" s="1">
        <f>0</f>
        <v>0</v>
      </c>
      <c r="Z312" s="1">
        <f>0</f>
        <v>0</v>
      </c>
      <c r="AA312" s="1"/>
      <c r="AB312" s="5"/>
      <c r="AC312" s="5"/>
      <c r="AD312" s="1">
        <f>0</f>
        <v>0</v>
      </c>
      <c r="AE312" s="1">
        <f>0</f>
        <v>0</v>
      </c>
      <c r="AF312" s="1" t="e">
        <f>ABS(NETWORKDAYS.INTL("05/16/24", "08/05/24", 1, {"01/01/2024","01/15/2024","02/19/2024","05/27/2024","07/04/2024","09/02/2024","10/14/2024","11/11/2024","11/28/2024","12/25/2024","12/25/2024","12/26/2024","12/27/2024","12/28/2024","12/29/2024","12/30/2024","31/25/2024","01/01/2024","01/02/2024","01/03/2024","01/04/2024","01/05/2024"}))</f>
        <v>#VALUE!</v>
      </c>
      <c r="AG312" s="1">
        <f>0</f>
        <v>0</v>
      </c>
      <c r="AH312" s="1">
        <f>0</f>
        <v>0</v>
      </c>
      <c r="AI312" s="1">
        <f>0</f>
        <v>0</v>
      </c>
      <c r="AJ312" s="1"/>
      <c r="AK312" s="1"/>
      <c r="AL312" s="1"/>
      <c r="AM312" s="1"/>
      <c r="AN312" s="1"/>
      <c r="AO312" s="1"/>
      <c r="AP312" s="1"/>
      <c r="AQ312" s="1"/>
      <c r="AR312" s="1"/>
      <c r="AS312" s="1"/>
      <c r="AT312" s="1"/>
      <c r="AU312" s="1"/>
      <c r="AV312" s="1"/>
      <c r="AW312" s="1"/>
      <c r="AX312" s="1"/>
      <c r="AY312" s="1"/>
      <c r="AZ312" s="1"/>
    </row>
    <row r="313" spans="1:52" ht="15" customHeight="1" x14ac:dyDescent="0.35">
      <c r="A313" s="1" t="s">
        <v>1356</v>
      </c>
      <c r="B313" s="1" t="s">
        <v>46</v>
      </c>
      <c r="C313" s="1" t="s">
        <v>988</v>
      </c>
      <c r="D313" s="1" t="s">
        <v>1357</v>
      </c>
      <c r="E313" s="1" t="s">
        <v>1358</v>
      </c>
      <c r="F313" s="9" t="s">
        <v>1359</v>
      </c>
      <c r="G313" s="1" t="s">
        <v>38</v>
      </c>
      <c r="H3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3" s="11" t="e">
        <f>ABS(NETWORKDAYS.INTL("06/05/24", "06/05/24", 1, {"01/01/2024","01/15/2024","02/19/2024","05/27/2024","07/04/2024","09/02/2024","10/14/2024","11/11/2024","11/28/2024","12/25/2024","12/25/2024","12/26/2024","12/27/2024","12/28/2024","12/29/2024","12/30/2024","31/25/2024","01/01/2024","01/02/2024","01/03/2024","01/04/2024","01/05/2024"}))</f>
        <v>#VALUE!</v>
      </c>
      <c r="J313" s="1">
        <f>0</f>
        <v>0</v>
      </c>
      <c r="K313" s="1"/>
      <c r="L313" s="1">
        <v>1</v>
      </c>
      <c r="M313" s="1" t="e">
        <f>ABS(NETWORKDAYS.INTL("06/19/24", "06/19/24", 1, {"01/01/2024","01/15/2024","02/19/2024","05/27/2024","07/04/2024","09/02/2024","10/14/2024","11/11/2024","11/28/2024","12/25/2024","12/25/2024","12/26/2024","12/27/2024","12/28/2024","12/29/2024","12/30/2024","31/25/2024","01/01/2024","01/02/2024","01/03/2024","01/04/2024","01/05/2024"}))</f>
        <v>#VALUE!</v>
      </c>
      <c r="N313" s="1">
        <f>0</f>
        <v>0</v>
      </c>
      <c r="O313" s="1">
        <f>0</f>
        <v>0</v>
      </c>
      <c r="P313" s="1"/>
      <c r="Q313" s="1">
        <v>0</v>
      </c>
      <c r="R313" s="1">
        <v>0</v>
      </c>
      <c r="S313" s="1">
        <f>0</f>
        <v>0</v>
      </c>
      <c r="T313" s="1">
        <f>0</f>
        <v>0</v>
      </c>
      <c r="U313" s="1"/>
      <c r="V313" s="1">
        <v>1</v>
      </c>
      <c r="W313" s="1">
        <v>1</v>
      </c>
      <c r="X313" s="1" t="e">
        <f>ABS(NETWORKDAYS.INTL("06/19/24", "06/20/24", 1, {"01/01/2024","01/15/2024","02/19/2024","05/27/2024","07/04/2024","09/02/2024","10/14/2024","11/11/2024","11/28/2024","12/25/2024","12/25/2024","12/26/2024","12/27/2024","12/28/2024","12/29/2024","12/30/2024","31/25/2024","01/01/2024","01/02/2024","01/03/2024","01/04/2024","01/05/2024"}))</f>
        <v>#VALUE!</v>
      </c>
      <c r="Y313" s="1">
        <f>0</f>
        <v>0</v>
      </c>
      <c r="Z313" s="1">
        <f>0</f>
        <v>0</v>
      </c>
      <c r="AA313" s="1"/>
      <c r="AB313" s="5">
        <v>45470</v>
      </c>
      <c r="AC313" s="5">
        <v>45502</v>
      </c>
      <c r="AD313" s="1" t="e">
        <f>ABS(NETWORKDAYS.INTL("06/19/24", "06/05/24", 1, {"01/01/2024","01/15/2024","02/19/2024","05/27/2024","07/04/2024","09/02/2024","10/14/2024","11/11/2024","11/28/2024","12/25/2024","12/25/2024","12/26/2024","12/27/2024","12/28/2024","12/29/2024","12/30/2024","31/25/2024","01/01/2024","01/02/2024","01/03/2024","01/04/2024","01/05/2024"}))</f>
        <v>#VALUE!</v>
      </c>
      <c r="AE313" s="1">
        <f>0</f>
        <v>0</v>
      </c>
      <c r="AF313" s="1">
        <f>0</f>
        <v>0</v>
      </c>
      <c r="AG313" s="1" t="e">
        <f>ABS(NETWORKDAYS.INTL("06/19/24", "08/05/24", 1, {"01/01/2024","01/15/2024","02/19/2024","05/27/2024","07/04/2024","09/02/2024","10/14/2024","11/11/2024","11/28/2024","12/25/2024","12/25/2024","12/26/2024","12/27/2024","12/28/2024","12/29/2024","12/30/2024","31/25/2024","01/01/2024","01/02/2024","01/03/2024","01/04/2024","01/05/2024"}))</f>
        <v>#VALUE!</v>
      </c>
      <c r="AH313" s="1" t="e">
        <f>ABS(NETWORKDAYS.INTL("06/19/24", "06/19/24", 1, {"01/01/2024","01/15/2024","02/19/2024","05/27/2024","07/04/2024","09/02/2024","10/14/2024","11/11/2024","11/28/2024","12/25/2024","12/25/2024","12/26/2024","12/27/2024","12/28/2024","12/29/2024","12/30/2024","31/25/2024","01/01/2024","01/02/2024","01/03/2024","01/04/2024","01/05/2024"}))</f>
        <v>#VALUE!</v>
      </c>
      <c r="AI313" s="1" t="e">
        <f>ABS(NETWORKDAYS.INTL("7/29/2024", "06/27/24", 1, {"01/01/2024","01/15/2024","02/19/2024","05/27/2024","07/04/2024","09/02/2024","10/14/2024","11/11/2024","11/28/2024","12/25/2024","12/25/2024","12/26/2024","12/27/2024","12/28/2024","12/29/2024","12/30/2024","31/25/2024","01/01/2024","01/02/2024","01/03/2024","01/04/2024","01/05/2024"}))</f>
        <v>#VALUE!</v>
      </c>
      <c r="AJ313" s="1" t="b">
        <v>1</v>
      </c>
      <c r="AK313" s="1"/>
      <c r="AL313" s="1"/>
      <c r="AM313" s="1"/>
      <c r="AN313" s="1"/>
      <c r="AO313" s="1"/>
      <c r="AP313" s="1"/>
      <c r="AQ313" s="1"/>
      <c r="AR313" s="1"/>
      <c r="AS313" s="1"/>
      <c r="AT313" s="1"/>
      <c r="AU313" s="1"/>
      <c r="AV313" s="1"/>
      <c r="AW313" s="1"/>
      <c r="AX313" s="1"/>
      <c r="AY313" s="1"/>
      <c r="AZ313" s="1" t="b">
        <v>1</v>
      </c>
    </row>
    <row r="314" spans="1:52" ht="15" customHeight="1" x14ac:dyDescent="0.35">
      <c r="A314" s="1" t="s">
        <v>1360</v>
      </c>
      <c r="B314" s="1" t="s">
        <v>47</v>
      </c>
      <c r="C314" s="1" t="s">
        <v>988</v>
      </c>
      <c r="D314" s="1" t="s">
        <v>1361</v>
      </c>
      <c r="E314" s="1" t="s">
        <v>1358</v>
      </c>
      <c r="F314" s="9" t="s">
        <v>1362</v>
      </c>
      <c r="G314" s="1" t="s">
        <v>38</v>
      </c>
      <c r="H3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4" s="11" t="e">
        <f>ABS(NETWORKDAYS.INTL("06/05/2024", "06/05/2024", 1, {"01/01/2024","01/15/2024","02/19/2024","05/27/2024","07/04/2024","09/02/2024","10/14/2024","11/11/2024","11/28/2024","12/25/2024","12/25/2024","12/26/2024","12/27/2024","12/28/2024","12/29/2024","12/30/2024","31/25/2024","01/01/2024","01/02/2024","01/03/2024","01/04/2024","01/05/2024"}))</f>
        <v>#VALUE!</v>
      </c>
      <c r="J314" s="1">
        <f>0</f>
        <v>0</v>
      </c>
      <c r="K314" s="1"/>
      <c r="L314" s="1">
        <v>1</v>
      </c>
      <c r="M314" s="1" t="e">
        <f>ABS(NETWORKDAYS.INTL("06/17/2024", "06/17/2024", 1, {"01/01/2024","01/15/2024","02/19/2024","05/27/2024","07/04/2024","09/02/2024","10/14/2024","11/11/2024","11/28/2024","12/25/2024","12/25/2024","12/26/2024","12/27/2024","12/28/2024","12/29/2024","12/30/2024","31/25/2024","01/01/2024","01/02/2024","01/03/2024","01/04/2024","01/05/2024"}))</f>
        <v>#VALUE!</v>
      </c>
      <c r="N314" s="1">
        <f>0</f>
        <v>0</v>
      </c>
      <c r="O314" s="1">
        <f>0</f>
        <v>0</v>
      </c>
      <c r="P314" s="1"/>
      <c r="Q314" s="1">
        <v>0</v>
      </c>
      <c r="R314" s="1">
        <v>0</v>
      </c>
      <c r="S314" s="1">
        <f>0</f>
        <v>0</v>
      </c>
      <c r="T314" s="1">
        <f>0</f>
        <v>0</v>
      </c>
      <c r="U314" s="1"/>
      <c r="V314" s="1">
        <v>1</v>
      </c>
      <c r="W314" s="1">
        <v>1</v>
      </c>
      <c r="X314" s="1" t="e">
        <f>ABS(NETWORKDAYS.INTL("06/17/2024", "06/20/2024", 1, {"01/01/2024","01/15/2024","02/19/2024","05/27/2024","07/04/2024","09/02/2024","10/14/2024","11/11/2024","11/28/2024","12/25/2024","12/25/2024","12/26/2024","12/27/2024","12/28/2024","12/29/2024","12/30/2024","31/25/2024","01/01/2024","01/02/2024","01/03/2024","01/04/2024","01/05/2024"}))</f>
        <v>#VALUE!</v>
      </c>
      <c r="Y314" s="1">
        <f>0</f>
        <v>0</v>
      </c>
      <c r="Z314" s="1">
        <f>0</f>
        <v>0</v>
      </c>
      <c r="AA314" s="1"/>
      <c r="AB314" s="5">
        <v>45470</v>
      </c>
      <c r="AC314" s="5">
        <v>45503</v>
      </c>
      <c r="AD314" s="1" t="e">
        <f>ABS(NETWORKDAYS.INTL("06/17/2024", "06/05/2024", 1, {"01/01/2024","01/15/2024","02/19/2024","05/27/2024","07/04/2024","09/02/2024","10/14/2024","11/11/2024","11/28/2024","12/25/2024","12/25/2024","12/26/2024","12/27/2024","12/28/2024","12/29/2024","12/30/2024","31/25/2024","01/01/2024","01/02/2024","01/03/2024","01/04/2024","01/05/2024"}))</f>
        <v>#VALUE!</v>
      </c>
      <c r="AE314" s="1">
        <f>0</f>
        <v>0</v>
      </c>
      <c r="AF314" s="1">
        <f>0</f>
        <v>0</v>
      </c>
      <c r="AG314" s="1" t="e">
        <f>ABS(NETWORKDAYS.INTL("06/17/2024", "08/05/24", 1, {"01/01/2024","01/15/2024","02/19/2024","05/27/2024","07/04/2024","09/02/2024","10/14/2024","11/11/2024","11/28/2024","12/25/2024","12/25/2024","12/26/2024","12/27/2024","12/28/2024","12/29/2024","12/30/2024","31/25/2024","01/01/2024","01/02/2024","01/03/2024","01/04/2024","01/05/2024"}))</f>
        <v>#VALUE!</v>
      </c>
      <c r="AH314" s="1" t="e">
        <f>ABS(NETWORKDAYS.INTL("06/17/2024", "06/17/2024", 1, {"01/01/2024","01/15/2024","02/19/2024","05/27/2024","07/04/2024","09/02/2024","10/14/2024","11/11/2024","11/28/2024","12/25/2024","12/25/2024","12/26/2024","12/27/2024","12/28/2024","12/29/2024","12/30/2024","31/25/2024","01/01/2024","01/02/2024","01/03/2024","01/04/2024","01/05/2024"}))</f>
        <v>#VALUE!</v>
      </c>
      <c r="AI314" s="1" t="e">
        <f>ABS(NETWORKDAYS.INTL("07/30/2024", "06/27/2024", 1, {"01/01/2024","01/15/2024","02/19/2024","05/27/2024","07/04/2024","09/02/2024","10/14/2024","11/11/2024","11/28/2024","12/25/2024","12/25/2024","12/26/2024","12/27/2024","12/28/2024","12/29/2024","12/30/2024","31/25/2024","01/01/2024","01/02/2024","01/03/2024","01/04/2024","01/05/2024"}))</f>
        <v>#VALUE!</v>
      </c>
      <c r="AJ314" s="1" t="b">
        <v>1</v>
      </c>
      <c r="AK314" s="1"/>
      <c r="AL314" s="1"/>
      <c r="AM314" s="1"/>
      <c r="AN314" s="1"/>
      <c r="AO314" s="1"/>
      <c r="AP314" s="1"/>
      <c r="AQ314" s="1"/>
      <c r="AR314" s="1"/>
      <c r="AS314" s="1"/>
      <c r="AT314" s="1"/>
      <c r="AU314" s="1"/>
      <c r="AV314" s="1"/>
      <c r="AW314" s="1"/>
      <c r="AX314" s="1"/>
      <c r="AY314" s="1"/>
      <c r="AZ314" s="1" t="b">
        <v>1</v>
      </c>
    </row>
    <row r="315" spans="1:52" ht="15" customHeight="1" x14ac:dyDescent="0.35">
      <c r="A315" s="1" t="s">
        <v>1363</v>
      </c>
      <c r="B315" s="1" t="s">
        <v>48</v>
      </c>
      <c r="C315" s="1" t="s">
        <v>988</v>
      </c>
      <c r="D315" s="1" t="s">
        <v>1364</v>
      </c>
      <c r="E315" s="1" t="s">
        <v>1358</v>
      </c>
      <c r="F315" s="9" t="s">
        <v>1365</v>
      </c>
      <c r="G315" s="1" t="s">
        <v>38</v>
      </c>
      <c r="H3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5" s="11" t="e">
        <f>ABS(NETWORKDAYS.INTL("06/05/24", "06/05/24", 1, {"01/01/2024","01/15/2024","02/19/2024","05/27/2024","07/04/2024","09/02/2024","10/14/2024","11/11/2024","11/28/2024","12/25/2024","12/25/2024","12/26/2024","12/27/2024","12/28/2024","12/29/2024","12/30/2024","31/25/2024","01/01/2024","01/02/2024","01/03/2024","01/04/2024","01/05/2024"}))</f>
        <v>#VALUE!</v>
      </c>
      <c r="J315" s="1">
        <f>0</f>
        <v>0</v>
      </c>
      <c r="K315" s="1"/>
      <c r="L315" s="1">
        <v>1</v>
      </c>
      <c r="M315" s="1" t="e">
        <f>ABS(NETWORKDAYS.INTL("06/17/24", "06/17/24", 1, {"01/01/2024","01/15/2024","02/19/2024","05/27/2024","07/04/2024","09/02/2024","10/14/2024","11/11/2024","11/28/2024","12/25/2024","12/25/2024","12/26/2024","12/27/2024","12/28/2024","12/29/2024","12/30/2024","31/25/2024","01/01/2024","01/02/2024","01/03/2024","01/04/2024","01/05/2024"}))</f>
        <v>#VALUE!</v>
      </c>
      <c r="N315" s="1">
        <f>0</f>
        <v>0</v>
      </c>
      <c r="O315" s="1">
        <f>0</f>
        <v>0</v>
      </c>
      <c r="P315" s="1"/>
      <c r="Q315" s="1">
        <v>0</v>
      </c>
      <c r="R315" s="1">
        <v>0</v>
      </c>
      <c r="S315" s="1">
        <f>0</f>
        <v>0</v>
      </c>
      <c r="T315" s="1">
        <f>0</f>
        <v>0</v>
      </c>
      <c r="U315" s="1"/>
      <c r="V315" s="1">
        <v>1</v>
      </c>
      <c r="W315" s="1">
        <v>1</v>
      </c>
      <c r="X315" s="1" t="e">
        <f>ABS(NETWORKDAYS.INTL("06/17/24", "07/01/24", 1, {"01/01/2024","01/15/2024","02/19/2024","05/27/2024","07/04/2024","09/02/2024","10/14/2024","11/11/2024","11/28/2024","12/25/2024","12/25/2024","12/26/2024","12/27/2024","12/28/2024","12/29/2024","12/30/2024","31/25/2024","01/01/2024","01/02/2024","01/03/2024","01/04/2024","01/05/2024"}))</f>
        <v>#VALUE!</v>
      </c>
      <c r="Y315" s="1" t="e">
        <f>ABS(NETWORKDAYS.INTL("07/01/2024", "07/11/2024", 1, {"01/01/2024","01/15/2024","02/19/2024","05/27/2024","07/04/2024","09/02/2024","10/14/2024","11/11/2024","11/28/2024","12/25/2024","12/25/2024","12/26/2024","12/27/2024","12/28/2024","12/29/2024","12/30/2024","31/25/2024","01/01/2024","01/02/2024","01/03/2024","01/04/2024","01/05/2024"}))</f>
        <v>#VALUE!</v>
      </c>
      <c r="Z315" s="1">
        <f>0</f>
        <v>0</v>
      </c>
      <c r="AA315" s="1"/>
      <c r="AB315" s="5">
        <v>45484</v>
      </c>
      <c r="AC315" s="5">
        <v>45503</v>
      </c>
      <c r="AD315" s="1" t="e">
        <f>ABS(NETWORKDAYS.INTL("06/17/24", "06/05/24", 1, {"01/01/2024","01/15/2024","02/19/2024","05/27/2024","07/04/2024","09/02/2024","10/14/2024","11/11/2024","11/28/2024","12/25/2024","12/25/2024","12/26/2024","12/27/2024","12/28/2024","12/29/2024","12/30/2024","31/25/2024","01/01/2024","01/02/2024","01/03/2024","01/04/2024","01/05/2024"}))</f>
        <v>#VALUE!</v>
      </c>
      <c r="AE315" s="1">
        <f>0</f>
        <v>0</v>
      </c>
      <c r="AF315" s="1">
        <f>0</f>
        <v>0</v>
      </c>
      <c r="AG315" s="1" t="e">
        <f>ABS(NETWORKDAYS.INTL("06/17/24", "08/05/24", 1, {"01/01/2024","01/15/2024","02/19/2024","05/27/2024","07/04/2024","09/02/2024","10/14/2024","11/11/2024","11/28/2024","12/25/2024","12/25/2024","12/26/2024","12/27/2024","12/28/2024","12/29/2024","12/30/2024","31/25/2024","01/01/2024","01/02/2024","01/03/2024","01/04/2024","01/05/2024"}))</f>
        <v>#VALUE!</v>
      </c>
      <c r="AH315" s="1" t="e">
        <f>ABS(NETWORKDAYS.INTL("06/17/24", "06/17/24", 1, {"01/01/2024","01/15/2024","02/19/2024","05/27/2024","07/04/2024","09/02/2024","10/14/2024","11/11/2024","11/28/2024","12/25/2024","12/25/2024","12/26/2024","12/27/2024","12/28/2024","12/29/2024","12/30/2024","31/25/2024","01/01/2024","01/02/2024","01/03/2024","01/04/2024","01/05/2024"}))</f>
        <v>#VALUE!</v>
      </c>
      <c r="AI315" s="1" t="e">
        <f>ABS(NETWORKDAYS.INTL("07/30/2024", "07/11/2024", 1, {"01/01/2024","01/15/2024","02/19/2024","05/27/2024","07/04/2024","09/02/2024","10/14/2024","11/11/2024","11/28/2024","12/25/2024","12/25/2024","12/26/2024","12/27/2024","12/28/2024","12/29/2024","12/30/2024","31/25/2024","01/01/2024","01/02/2024","01/03/2024","01/04/2024","01/05/2024"}))</f>
        <v>#VALUE!</v>
      </c>
      <c r="AJ315" s="1" t="b">
        <v>1</v>
      </c>
      <c r="AK315" s="1"/>
      <c r="AL315" s="1"/>
      <c r="AM315" s="1"/>
      <c r="AN315" s="1"/>
      <c r="AO315" s="1"/>
      <c r="AP315" s="1"/>
      <c r="AQ315" s="1"/>
      <c r="AR315" s="1"/>
      <c r="AS315" s="1"/>
      <c r="AT315" s="1"/>
      <c r="AU315" s="1"/>
      <c r="AV315" s="1"/>
      <c r="AW315" s="1"/>
      <c r="AX315" s="1"/>
      <c r="AY315" s="1"/>
      <c r="AZ315" s="1" t="b">
        <v>1</v>
      </c>
    </row>
    <row r="316" spans="1:52" ht="15" customHeight="1" x14ac:dyDescent="0.35">
      <c r="A316" s="1" t="s">
        <v>1366</v>
      </c>
      <c r="B316" s="1" t="s">
        <v>49</v>
      </c>
      <c r="C316" s="1" t="s">
        <v>988</v>
      </c>
      <c r="D316" s="1" t="s">
        <v>1367</v>
      </c>
      <c r="E316" s="1" t="s">
        <v>1368</v>
      </c>
      <c r="F316" s="9" t="s">
        <v>1369</v>
      </c>
      <c r="G316" s="1" t="s">
        <v>38</v>
      </c>
      <c r="H3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6" s="11" t="e">
        <f>ABS(NETWORKDAYS.INTL("05/28/24", "06/05/24", 1, {"01/01/2024","01/15/2024","02/19/2024","05/27/2024","07/04/2024","09/02/2024","10/14/2024","11/11/2024","11/28/2024","12/25/2024","12/25/2024","12/26/2024","12/27/2024","12/28/2024","12/29/2024","12/30/2024","31/25/2024","01/01/2024","01/02/2024","01/03/2024","01/04/2024","01/05/2024"}))</f>
        <v>#VALUE!</v>
      </c>
      <c r="J316" s="1">
        <f>0</f>
        <v>0</v>
      </c>
      <c r="K316" s="1"/>
      <c r="L316" s="1">
        <v>1</v>
      </c>
      <c r="M316" s="1" t="e">
        <f>ABS(NETWORKDAYS.INTL("06/20/24", "06/20/24", 1, {"01/01/2024","01/15/2024","02/19/2024","05/27/2024","07/04/2024","09/02/2024","10/14/2024","11/11/2024","11/28/2024","12/25/2024","12/25/2024","12/26/2024","12/27/2024","12/28/2024","12/29/2024","12/30/2024","31/25/2024","01/01/2024","01/02/2024","01/03/2024","01/04/2024","01/05/2024"}))</f>
        <v>#VALUE!</v>
      </c>
      <c r="N316" s="1">
        <f>0</f>
        <v>0</v>
      </c>
      <c r="O316" s="1">
        <f>0</f>
        <v>0</v>
      </c>
      <c r="P316" s="1"/>
      <c r="Q316" s="1">
        <v>0</v>
      </c>
      <c r="R316" s="1">
        <v>0</v>
      </c>
      <c r="S316" s="1">
        <f>0</f>
        <v>0</v>
      </c>
      <c r="T316" s="1">
        <f>0</f>
        <v>0</v>
      </c>
      <c r="U316" s="1"/>
      <c r="V316" s="1">
        <v>1</v>
      </c>
      <c r="W316" s="1">
        <v>1</v>
      </c>
      <c r="X316" s="1" t="e">
        <f>ABS(NETWORKDAYS.INTL("06/20/24", "06/21/24", 1, {"01/01/2024","01/15/2024","02/19/2024","05/27/2024","07/04/2024","09/02/2024","10/14/2024","11/11/2024","11/28/2024","12/25/2024","12/25/2024","12/26/2024","12/27/2024","12/28/2024","12/29/2024","12/30/2024","31/25/2024","01/01/2024","01/02/2024","01/03/2024","01/04/2024","01/05/2024"}))</f>
        <v>#VALUE!</v>
      </c>
      <c r="Y316" s="1">
        <f>0</f>
        <v>0</v>
      </c>
      <c r="Z316" s="1">
        <f>0</f>
        <v>0</v>
      </c>
      <c r="AA316" s="1"/>
      <c r="AB316" s="5">
        <v>45474</v>
      </c>
      <c r="AC316" s="5">
        <v>45503</v>
      </c>
      <c r="AD316" s="1" t="e">
        <f>ABS(NETWORKDAYS.INTL("06/20/24", "06/05/24", 1, {"01/01/2024","01/15/2024","02/19/2024","05/27/2024","07/04/2024","09/02/2024","10/14/2024","11/11/2024","11/28/2024","12/25/2024","12/25/2024","12/26/2024","12/27/2024","12/28/2024","12/29/2024","12/30/2024","31/25/2024","01/01/2024","01/02/2024","01/03/2024","01/04/2024","01/05/2024"}))</f>
        <v>#VALUE!</v>
      </c>
      <c r="AE316" s="1">
        <f>0</f>
        <v>0</v>
      </c>
      <c r="AF316" s="1">
        <f>0</f>
        <v>0</v>
      </c>
      <c r="AG316" s="1" t="e">
        <f>ABS(NETWORKDAYS.INTL("06/20/24", "08/05/24", 1, {"01/01/2024","01/15/2024","02/19/2024","05/27/2024","07/04/2024","09/02/2024","10/14/2024","11/11/2024","11/28/2024","12/25/2024","12/25/2024","12/26/2024","12/27/2024","12/28/2024","12/29/2024","12/30/2024","31/25/2024","01/01/2024","01/02/2024","01/03/2024","01/04/2024","01/05/2024"}))</f>
        <v>#VALUE!</v>
      </c>
      <c r="AH316" s="1" t="e">
        <f>ABS(NETWORKDAYS.INTL("06/20/24", "06/20/24", 1, {"01/01/2024","01/15/2024","02/19/2024","05/27/2024","07/04/2024","09/02/2024","10/14/2024","11/11/2024","11/28/2024","12/25/2024","12/25/2024","12/26/2024","12/27/2024","12/28/2024","12/29/2024","12/30/2024","31/25/2024","01/01/2024","01/02/2024","01/03/2024","01/04/2024","01/05/2024"}))</f>
        <v>#VALUE!</v>
      </c>
      <c r="AI316" s="1" t="e">
        <f>ABS(NETWORKDAYS.INTL("07/30/2024", "07/01/24", 1, {"01/01/2024","01/15/2024","02/19/2024","05/27/2024","07/04/2024","09/02/2024","10/14/2024","11/11/2024","11/28/2024","12/25/2024","12/25/2024","12/26/2024","12/27/2024","12/28/2024","12/29/2024","12/30/2024","31/25/2024","01/01/2024","01/02/2024","01/03/2024","01/04/2024","01/05/2024"}))</f>
        <v>#VALUE!</v>
      </c>
      <c r="AJ316" s="1" t="b">
        <v>1</v>
      </c>
      <c r="AK316" s="1"/>
      <c r="AL316" s="1"/>
      <c r="AM316" s="1"/>
      <c r="AN316" s="1"/>
      <c r="AO316" s="1"/>
      <c r="AP316" s="1"/>
      <c r="AQ316" s="1" t="b">
        <v>1</v>
      </c>
      <c r="AR316" s="1"/>
      <c r="AS316" s="1"/>
      <c r="AT316" s="1"/>
      <c r="AU316" s="1" t="b">
        <v>1</v>
      </c>
      <c r="AV316" s="1"/>
      <c r="AW316" s="1"/>
      <c r="AX316" s="1"/>
      <c r="AY316" s="1"/>
      <c r="AZ316" s="1" t="b">
        <v>1</v>
      </c>
    </row>
    <row r="317" spans="1:52" ht="15" customHeight="1" x14ac:dyDescent="0.35">
      <c r="A317" s="1" t="s">
        <v>1370</v>
      </c>
      <c r="B317" s="1" t="s">
        <v>50</v>
      </c>
      <c r="C317" s="1" t="s">
        <v>988</v>
      </c>
      <c r="D317" s="1" t="s">
        <v>1371</v>
      </c>
      <c r="E317" s="1" t="s">
        <v>1368</v>
      </c>
      <c r="F317" s="9" t="s">
        <v>1372</v>
      </c>
      <c r="G317" s="1" t="s">
        <v>38</v>
      </c>
      <c r="H3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7" s="11" t="e">
        <f>ABS(NETWORKDAYS.INTL("05/28/24", "05/28/24", 1, {"01/01/2024","01/15/2024","02/19/2024","05/27/2024","07/04/2024","09/02/2024","10/14/2024","11/11/2024","11/28/2024","12/25/2024","12/25/2024","12/26/2024","12/27/2024","12/28/2024","12/29/2024","12/30/2024","31/25/2024","01/01/2024","01/02/2024","01/03/2024","01/04/2024","01/05/2024"}))</f>
        <v>#VALUE!</v>
      </c>
      <c r="J317" s="1">
        <f>0</f>
        <v>0</v>
      </c>
      <c r="K317" s="1"/>
      <c r="L317" s="1">
        <v>1</v>
      </c>
      <c r="M317" s="1" t="e">
        <f>ABS(NETWORKDAYS.INTL("06/14/24", "06/14/24", 1, {"01/01/2024","01/15/2024","02/19/2024","05/27/2024","07/04/2024","09/02/2024","10/14/2024","11/11/2024","11/28/2024","12/25/2024","12/25/2024","12/26/2024","12/27/2024","12/28/2024","12/29/2024","12/30/2024","31/25/2024","01/01/2024","01/02/2024","01/03/2024","01/04/2024","01/05/2024"}))</f>
        <v>#VALUE!</v>
      </c>
      <c r="N317" s="1">
        <f>0</f>
        <v>0</v>
      </c>
      <c r="O317" s="1">
        <f>0</f>
        <v>0</v>
      </c>
      <c r="P317" s="1"/>
      <c r="Q317" s="1">
        <v>0</v>
      </c>
      <c r="R317" s="1">
        <v>0</v>
      </c>
      <c r="S317" s="1">
        <f>0</f>
        <v>0</v>
      </c>
      <c r="T317" s="1">
        <f>0</f>
        <v>0</v>
      </c>
      <c r="U317" s="1"/>
      <c r="V317" s="1">
        <v>1</v>
      </c>
      <c r="W317" s="1">
        <v>1</v>
      </c>
      <c r="X317" s="1" t="e">
        <f>ABS(NETWORKDAYS.INTL("06/14/24", "06/19/24", 1, {"01/01/2024","01/15/2024","02/19/2024","05/27/2024","07/04/2024","09/02/2024","10/14/2024","11/11/2024","11/28/2024","12/25/2024","12/25/2024","12/26/2024","12/27/2024","12/28/2024","12/29/2024","12/30/2024","31/25/2024","01/01/2024","01/02/2024","01/03/2024","01/04/2024","01/05/2024"}))</f>
        <v>#VALUE!</v>
      </c>
      <c r="Y317" s="1">
        <f>0</f>
        <v>0</v>
      </c>
      <c r="Z317" s="1">
        <f>0</f>
        <v>0</v>
      </c>
      <c r="AA317" s="1"/>
      <c r="AB317" s="5">
        <v>45468</v>
      </c>
      <c r="AC317" s="5">
        <v>45502</v>
      </c>
      <c r="AD317" s="1" t="e">
        <f>ABS(NETWORKDAYS.INTL("06/14/24", "05/28/24", 1, {"01/01/2024","01/15/2024","02/19/2024","05/27/2024","07/04/2024","09/02/2024","10/14/2024","11/11/2024","11/28/2024","12/25/2024","12/25/2024","12/26/2024","12/27/2024","12/28/2024","12/29/2024","12/30/2024","31/25/2024","01/01/2024","01/02/2024","01/03/2024","01/04/2024","01/05/2024"}))</f>
        <v>#VALUE!</v>
      </c>
      <c r="AE317" s="1">
        <f>0</f>
        <v>0</v>
      </c>
      <c r="AF317" s="1">
        <f>0</f>
        <v>0</v>
      </c>
      <c r="AG317" s="1" t="e">
        <f>ABS(NETWORKDAYS.INTL("06/14/24", "08/05/24", 1, {"01/01/2024","01/15/2024","02/19/2024","05/27/2024","07/04/2024","09/02/2024","10/14/2024","11/11/2024","11/28/2024","12/25/2024","12/25/2024","12/26/2024","12/27/2024","12/28/2024","12/29/2024","12/30/2024","31/25/2024","01/01/2024","01/02/2024","01/03/2024","01/04/2024","01/05/2024"}))</f>
        <v>#VALUE!</v>
      </c>
      <c r="AH317" s="1" t="e">
        <f>ABS(NETWORKDAYS.INTL("06/14/24", "06/14/24", 1, {"01/01/2024","01/15/2024","02/19/2024","05/27/2024","07/04/2024","09/02/2024","10/14/2024","11/11/2024","11/28/2024","12/25/2024","12/25/2024","12/26/2024","12/27/2024","12/28/2024","12/29/2024","12/30/2024","31/25/2024","01/01/2024","01/02/2024","01/03/2024","01/04/2024","01/05/2024"}))</f>
        <v>#VALUE!</v>
      </c>
      <c r="AI317" s="1" t="e">
        <f>ABS(NETWORKDAYS.INTL("7/29/2024", "06/25/24", 1, {"01/01/2024","01/15/2024","02/19/2024","05/27/2024","07/04/2024","09/02/2024","10/14/2024","11/11/2024","11/28/2024","12/25/2024","12/25/2024","12/26/2024","12/27/2024","12/28/2024","12/29/2024","12/30/2024","31/25/2024","01/01/2024","01/02/2024","01/03/2024","01/04/2024","01/05/2024"}))</f>
        <v>#VALUE!</v>
      </c>
      <c r="AJ317" s="1" t="b">
        <v>1</v>
      </c>
      <c r="AK317" s="1"/>
      <c r="AL317" s="1"/>
      <c r="AM317" s="1"/>
      <c r="AN317" s="1"/>
      <c r="AO317" s="1"/>
      <c r="AP317" s="1"/>
      <c r="AQ317" s="1" t="b">
        <v>1</v>
      </c>
      <c r="AR317" s="1"/>
      <c r="AS317" s="1"/>
      <c r="AT317" s="1"/>
      <c r="AU317" s="1" t="b">
        <v>1</v>
      </c>
      <c r="AV317" s="1"/>
      <c r="AW317" s="1"/>
      <c r="AX317" s="1"/>
      <c r="AY317" s="1"/>
      <c r="AZ317" s="1" t="b">
        <v>1</v>
      </c>
    </row>
    <row r="318" spans="1:52" ht="15" customHeight="1" x14ac:dyDescent="0.35">
      <c r="A318" s="1" t="s">
        <v>1373</v>
      </c>
      <c r="B318" s="1" t="s">
        <v>51</v>
      </c>
      <c r="C318" s="1" t="s">
        <v>988</v>
      </c>
      <c r="D318" s="1" t="s">
        <v>1374</v>
      </c>
      <c r="E318" s="1" t="s">
        <v>1368</v>
      </c>
      <c r="F318" s="9" t="s">
        <v>1375</v>
      </c>
      <c r="G318" s="1" t="s">
        <v>38</v>
      </c>
      <c r="H3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8" s="11" t="e">
        <f>ABS(NETWORKDAYS.INTL("05/27/24", "05/28/24", 1, {"01/01/2024","01/15/2024","02/19/2024","05/27/2024","07/04/2024","09/02/2024","10/14/2024","11/11/2024","11/28/2024","12/25/2024","12/25/2024","12/26/2024","12/27/2024","12/28/2024","12/29/2024","12/30/2024","31/25/2024","01/01/2024","01/02/2024","01/03/2024","01/04/2024","01/05/2024"}))</f>
        <v>#VALUE!</v>
      </c>
      <c r="J318" s="1">
        <f>0</f>
        <v>0</v>
      </c>
      <c r="K318" s="1"/>
      <c r="L318" s="1">
        <v>1</v>
      </c>
      <c r="M318" s="1" t="e">
        <f>ABS(NETWORKDAYS.INTL("06/17/24", "06/17/24", 1, {"01/01/2024","01/15/2024","02/19/2024","05/27/2024","07/04/2024","09/02/2024","10/14/2024","11/11/2024","11/28/2024","12/25/2024","12/25/2024","12/26/2024","12/27/2024","12/28/2024","12/29/2024","12/30/2024","31/25/2024","01/01/2024","01/02/2024","01/03/2024","01/04/2024","01/05/2024"}))</f>
        <v>#VALUE!</v>
      </c>
      <c r="N318" s="1">
        <f>0</f>
        <v>0</v>
      </c>
      <c r="O318" s="1">
        <f>0</f>
        <v>0</v>
      </c>
      <c r="P318" s="1"/>
      <c r="Q318" s="1">
        <v>0</v>
      </c>
      <c r="R318" s="1">
        <v>0</v>
      </c>
      <c r="S318" s="1">
        <f>0</f>
        <v>0</v>
      </c>
      <c r="T318" s="1">
        <f>0</f>
        <v>0</v>
      </c>
      <c r="U318" s="1"/>
      <c r="V318" s="1">
        <v>1</v>
      </c>
      <c r="W318" s="1">
        <v>1</v>
      </c>
      <c r="X318" s="1" t="e">
        <f>ABS(NETWORKDAYS.INTL("06/17/24", "06/20/24", 1, {"01/01/2024","01/15/2024","02/19/2024","05/27/2024","07/04/2024","09/02/2024","10/14/2024","11/11/2024","11/28/2024","12/25/2024","12/25/2024","12/26/2024","12/27/2024","12/28/2024","12/29/2024","12/30/2024","31/25/2024","01/01/2024","01/02/2024","01/03/2024","01/04/2024","01/05/2024"}))</f>
        <v>#VALUE!</v>
      </c>
      <c r="Y318" s="1" t="e">
        <f>ABS(NETWORKDAYS.INTL("07/05/2024", "07/05/2024", 1, {"01/01/2024","01/15/2024","02/19/2024","05/27/2024","07/04/2024","09/02/2024","10/14/2024","11/11/2024","11/28/2024","12/25/2024","12/25/2024","12/26/2024","12/27/2024","12/28/2024","12/29/2024","12/30/2024","31/25/2024","01/01/2024","01/02/2024","01/03/2024","01/04/2024","01/05/2024"}))</f>
        <v>#VALUE!</v>
      </c>
      <c r="Z318" s="1">
        <f>0</f>
        <v>0</v>
      </c>
      <c r="AA318" s="1"/>
      <c r="AB318" s="5">
        <v>45482</v>
      </c>
      <c r="AC318" s="5">
        <v>45504</v>
      </c>
      <c r="AD318" s="1" t="e">
        <f>ABS(NETWORKDAYS.INTL("06/17/24", "05/28/24", 1, {"01/01/2024","01/15/2024","02/19/2024","05/27/2024","07/04/2024","09/02/2024","10/14/2024","11/11/2024","11/28/2024","12/25/2024","12/25/2024","12/26/2024","12/27/2024","12/28/2024","12/29/2024","12/30/2024","31/25/2024","01/01/2024","01/02/2024","01/03/2024","01/04/2024","01/05/2024"}))</f>
        <v>#VALUE!</v>
      </c>
      <c r="AE318" s="1">
        <f>0</f>
        <v>0</v>
      </c>
      <c r="AF318" s="1">
        <f>0</f>
        <v>0</v>
      </c>
      <c r="AG318" s="1" t="e">
        <f>ABS(NETWORKDAYS.INTL("06/17/24", "08/05/24", 1, {"01/01/2024","01/15/2024","02/19/2024","05/27/2024","07/04/2024","09/02/2024","10/14/2024","11/11/2024","11/28/2024","12/25/2024","12/25/2024","12/26/2024","12/27/2024","12/28/2024","12/29/2024","12/30/2024","31/25/2024","01/01/2024","01/02/2024","01/03/2024","01/04/2024","01/05/2024"}))</f>
        <v>#VALUE!</v>
      </c>
      <c r="AH318" s="1" t="e">
        <f>ABS(NETWORKDAYS.INTL("06/17/24", "06/17/24", 1, {"01/01/2024","01/15/2024","02/19/2024","05/27/2024","07/04/2024","09/02/2024","10/14/2024","11/11/2024","11/28/2024","12/25/2024","12/25/2024","12/26/2024","12/27/2024","12/28/2024","12/29/2024","12/30/2024","31/25/2024","01/01/2024","01/02/2024","01/03/2024","01/04/2024","01/05/2024"}))</f>
        <v>#VALUE!</v>
      </c>
      <c r="AI318" s="1" t="e">
        <f>ABS(NETWORKDAYS.INTL("07/31/2024", "07/09/2024", 1, {"01/01/2024","01/15/2024","02/19/2024","05/27/2024","07/04/2024","09/02/2024","10/14/2024","11/11/2024","11/28/2024","12/25/2024","12/25/2024","12/26/2024","12/27/2024","12/28/2024","12/29/2024","12/30/2024","31/25/2024","01/01/2024","01/02/2024","01/03/2024","01/04/2024","01/05/2024"}))</f>
        <v>#VALUE!</v>
      </c>
      <c r="AJ318" s="1" t="b">
        <v>1</v>
      </c>
      <c r="AK318" s="1"/>
      <c r="AL318" s="1"/>
      <c r="AM318" s="1"/>
      <c r="AN318" s="1"/>
      <c r="AO318" s="1"/>
      <c r="AP318" s="1"/>
      <c r="AQ318" s="1" t="b">
        <v>1</v>
      </c>
      <c r="AR318" s="1"/>
      <c r="AS318" s="1"/>
      <c r="AT318" s="1"/>
      <c r="AU318" s="1" t="b">
        <v>1</v>
      </c>
      <c r="AV318" s="1"/>
      <c r="AW318" s="1"/>
      <c r="AX318" s="1"/>
      <c r="AY318" s="1"/>
      <c r="AZ318" s="1" t="b">
        <v>1</v>
      </c>
    </row>
    <row r="319" spans="1:52" ht="15" customHeight="1" x14ac:dyDescent="0.35">
      <c r="A319" s="1" t="s">
        <v>1376</v>
      </c>
      <c r="B319" s="1" t="s">
        <v>52</v>
      </c>
      <c r="C319" s="1" t="s">
        <v>1377</v>
      </c>
      <c r="D319" s="1" t="s">
        <v>1378</v>
      </c>
      <c r="E319" s="1" t="s">
        <v>1368</v>
      </c>
      <c r="F319" s="9" t="s">
        <v>1379</v>
      </c>
      <c r="G319" s="1" t="s">
        <v>38</v>
      </c>
      <c r="H3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19" s="11" t="e">
        <f>ABS(NETWORKDAYS.INTL("05/23/24", "05/23/24", 1, {"01/01/2024","01/15/2024","02/19/2024","05/27/2024","07/04/2024","09/02/2024","10/14/2024","11/11/2024","11/28/2024","12/25/2024","12/25/2024","12/26/2024","12/27/2024","12/28/2024","12/29/2024","12/30/2024","31/25/2024","01/01/2024","01/02/2024","01/03/2024","01/04/2024","01/05/2024"}))</f>
        <v>#VALUE!</v>
      </c>
      <c r="J319" s="1">
        <f>0</f>
        <v>0</v>
      </c>
      <c r="K319" s="1"/>
      <c r="L319" s="1">
        <v>1</v>
      </c>
      <c r="M319" s="1" t="e">
        <f>ABS(NETWORKDAYS.INTL("06/19/24", "06/19/24", 1, {"01/01/2024","01/15/2024","02/19/2024","05/27/2024","07/04/2024","09/02/2024","10/14/2024","11/11/2024","11/28/2024","12/25/2024","12/25/2024","12/26/2024","12/27/2024","12/28/2024","12/29/2024","12/30/2024","31/25/2024","01/01/2024","01/02/2024","01/03/2024","01/04/2024","01/05/2024"}))</f>
        <v>#VALUE!</v>
      </c>
      <c r="N319" s="1">
        <f>0</f>
        <v>0</v>
      </c>
      <c r="O319" s="1">
        <f>0</f>
        <v>0</v>
      </c>
      <c r="P319" s="1"/>
      <c r="Q319" s="1">
        <v>0</v>
      </c>
      <c r="R319" s="1">
        <v>0</v>
      </c>
      <c r="S319" s="1">
        <f>0</f>
        <v>0</v>
      </c>
      <c r="T319" s="1">
        <f>0</f>
        <v>0</v>
      </c>
      <c r="U319" s="1"/>
      <c r="V319" s="1">
        <v>1</v>
      </c>
      <c r="W319" s="1">
        <v>1</v>
      </c>
      <c r="X319" s="1" t="e">
        <f>ABS(NETWORKDAYS.INTL("06/19/24", "06/21/24", 1, {"01/01/2024","01/15/2024","02/19/2024","05/27/2024","07/04/2024","09/02/2024","10/14/2024","11/11/2024","11/28/2024","12/25/2024","12/25/2024","12/26/2024","12/27/2024","12/28/2024","12/29/2024","12/30/2024","31/25/2024","01/01/2024","01/02/2024","01/03/2024","01/04/2024","01/05/2024"}))</f>
        <v>#VALUE!</v>
      </c>
      <c r="Y319" s="1">
        <f>0</f>
        <v>0</v>
      </c>
      <c r="Z319" s="1">
        <f>0</f>
        <v>0</v>
      </c>
      <c r="AA319" s="1"/>
      <c r="AB319" s="5">
        <v>45474</v>
      </c>
      <c r="AC319" s="5"/>
      <c r="AD319" s="1" t="e">
        <f>ABS(NETWORKDAYS.INTL("06/19/24", "05/23/24", 1, {"01/01/2024","01/15/2024","02/19/2024","05/27/2024","07/04/2024","09/02/2024","10/14/2024","11/11/2024","11/28/2024","12/25/2024","12/25/2024","12/26/2024","12/27/2024","12/28/2024","12/29/2024","12/30/2024","31/25/2024","01/01/2024","01/02/2024","01/03/2024","01/04/2024","01/05/2024"}))</f>
        <v>#VALUE!</v>
      </c>
      <c r="AE319" s="1">
        <f>0</f>
        <v>0</v>
      </c>
      <c r="AF319" s="1">
        <f>0</f>
        <v>0</v>
      </c>
      <c r="AG319" s="1" t="e">
        <f>ABS(NETWORKDAYS.INTL("06/19/24", "08/05/24", 1, {"01/01/2024","01/15/2024","02/19/2024","05/27/2024","07/04/2024","09/02/2024","10/14/2024","11/11/2024","11/28/2024","12/25/2024","12/25/2024","12/26/2024","12/27/2024","12/28/2024","12/29/2024","12/30/2024","31/25/2024","01/01/2024","01/02/2024","01/03/2024","01/04/2024","01/05/2024"}))</f>
        <v>#VALUE!</v>
      </c>
      <c r="AH319" s="1" t="e">
        <f>ABS(NETWORKDAYS.INTL("06/19/24", "06/19/24", 1, {"01/01/2024","01/15/2024","02/19/2024","05/27/2024","07/04/2024","09/02/2024","10/14/2024","11/11/2024","11/28/2024","12/25/2024","12/25/2024","12/26/2024","12/27/2024","12/28/2024","12/29/2024","12/30/2024","31/25/2024","01/01/2024","01/02/2024","01/03/2024","01/04/2024","01/05/2024"}))</f>
        <v>#VALUE!</v>
      </c>
      <c r="AI319" s="1">
        <f>0</f>
        <v>0</v>
      </c>
      <c r="AJ319" s="1" t="b">
        <v>1</v>
      </c>
      <c r="AK319" s="1"/>
      <c r="AL319" s="1"/>
      <c r="AM319" s="1"/>
      <c r="AN319" s="1"/>
      <c r="AO319" s="1"/>
      <c r="AP319" s="1"/>
      <c r="AQ319" s="1" t="b">
        <v>1</v>
      </c>
      <c r="AR319" s="1"/>
      <c r="AS319" s="1"/>
      <c r="AT319" s="1"/>
      <c r="AU319" s="1" t="b">
        <v>1</v>
      </c>
      <c r="AV319" s="1"/>
      <c r="AW319" s="1"/>
      <c r="AX319" s="1"/>
      <c r="AY319" s="1"/>
      <c r="AZ319" s="1" t="b">
        <v>1</v>
      </c>
    </row>
    <row r="320" spans="1:52" ht="15" customHeight="1" x14ac:dyDescent="0.35">
      <c r="A320" s="1" t="s">
        <v>1380</v>
      </c>
      <c r="B320" s="1" t="s">
        <v>53</v>
      </c>
      <c r="C320" s="1" t="s">
        <v>1377</v>
      </c>
      <c r="D320" s="1" t="s">
        <v>1374</v>
      </c>
      <c r="E320" s="1" t="s">
        <v>1368</v>
      </c>
      <c r="F320" s="9" t="s">
        <v>1381</v>
      </c>
      <c r="G320" s="1" t="s">
        <v>38</v>
      </c>
      <c r="H3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0" s="11" t="e">
        <f>ABS(NETWORKDAYS.INTL("05/28/24", "05/29/24", 1, {"01/01/2024","01/15/2024","02/19/2024","05/27/2024","07/04/2024","09/02/2024","10/14/2024","11/11/2024","11/28/2024","12/25/2024","12/25/2024","12/26/2024","12/27/2024","12/28/2024","12/29/2024","12/30/2024","31/25/2024","01/01/2024","01/02/2024","01/03/2024","01/04/2024","01/05/2024"}))</f>
        <v>#VALUE!</v>
      </c>
      <c r="J320" s="1">
        <f>0</f>
        <v>0</v>
      </c>
      <c r="K320" s="1"/>
      <c r="L320" s="1">
        <v>1</v>
      </c>
      <c r="M320" s="1" t="e">
        <f>ABS(NETWORKDAYS.INTL("06/12/24", "06/13/24", 1, {"01/01/2024","01/15/2024","02/19/2024","05/27/2024","07/04/2024","09/02/2024","10/14/2024","11/11/2024","11/28/2024","12/25/2024","12/25/2024","12/26/2024","12/27/2024","12/28/2024","12/29/2024","12/30/2024","31/25/2024","01/01/2024","01/02/2024","01/03/2024","01/04/2024","01/05/2024"}))</f>
        <v>#VALUE!</v>
      </c>
      <c r="N320" s="1">
        <f>0</f>
        <v>0</v>
      </c>
      <c r="O320" s="1">
        <f>0</f>
        <v>0</v>
      </c>
      <c r="P320" s="1"/>
      <c r="Q320" s="1">
        <v>0</v>
      </c>
      <c r="R320" s="1">
        <v>0</v>
      </c>
      <c r="S320" s="1">
        <f>0</f>
        <v>0</v>
      </c>
      <c r="T320" s="1">
        <f>0</f>
        <v>0</v>
      </c>
      <c r="U320" s="1"/>
      <c r="V320" s="1">
        <v>1</v>
      </c>
      <c r="W320" s="1">
        <v>1</v>
      </c>
      <c r="X320" s="1" t="e">
        <f>ABS(NETWORKDAYS.INTL("06/13/24", "06/13/24", 1, {"01/01/2024","01/15/2024","02/19/2024","05/27/2024","07/04/2024","09/02/2024","10/14/2024","11/11/2024","11/28/2024","12/25/2024","12/25/2024","12/26/2024","12/27/2024","12/28/2024","12/29/2024","12/30/2024","31/25/2024","01/01/2024","01/02/2024","01/03/2024","01/04/2024","01/05/2024"}))</f>
        <v>#VALUE!</v>
      </c>
      <c r="Y320" s="1" t="e">
        <f>ABS(NETWORKDAYS.INTL("06/17/24", "07/05/24", 1, {"01/01/2024","01/15/2024","02/19/2024","05/27/2024","07/04/2024","09/02/2024","10/14/2024","11/11/2024","11/28/2024","12/25/2024","12/25/2024","12/26/2024","12/27/2024","12/28/2024","12/29/2024","12/30/2024","31/25/2024","01/01/2024","01/02/2024","01/03/2024","01/04/2024","01/05/2024"}))</f>
        <v>#VALUE!</v>
      </c>
      <c r="Z320" s="1">
        <f>0</f>
        <v>0</v>
      </c>
      <c r="AA320" s="1"/>
      <c r="AB320" s="5">
        <v>45482</v>
      </c>
      <c r="AC320" s="5"/>
      <c r="AD320" s="1" t="e">
        <f>ABS(NETWORKDAYS.INTL("06/12/24", "05/29/24", 1, {"01/01/2024","01/15/2024","02/19/2024","05/27/2024","07/04/2024","09/02/2024","10/14/2024","11/11/2024","11/28/2024","12/25/2024","12/25/2024","12/26/2024","12/27/2024","12/28/2024","12/29/2024","12/30/2024","31/25/2024","01/01/2024","01/02/2024","01/03/2024","01/04/2024","01/05/2024"}))</f>
        <v>#VALUE!</v>
      </c>
      <c r="AE320" s="1">
        <f>0</f>
        <v>0</v>
      </c>
      <c r="AF320" s="1">
        <f>0</f>
        <v>0</v>
      </c>
      <c r="AG320" s="1" t="e">
        <f>ABS(NETWORKDAYS.INTL("06/13/24", "08/05/24", 1, {"01/01/2024","01/15/2024","02/19/2024","05/27/2024","07/04/2024","09/02/2024","10/14/2024","11/11/2024","11/28/2024","12/25/2024","12/25/2024","12/26/2024","12/27/2024","12/28/2024","12/29/2024","12/30/2024","31/25/2024","01/01/2024","01/02/2024","01/03/2024","01/04/2024","01/05/2024"}))</f>
        <v>#VALUE!</v>
      </c>
      <c r="AH320" s="1" t="e">
        <f>ABS(NETWORKDAYS.INTL("06/13/24", "06/13/24", 1, {"01/01/2024","01/15/2024","02/19/2024","05/27/2024","07/04/2024","09/02/2024","10/14/2024","11/11/2024","11/28/2024","12/25/2024","12/25/2024","12/26/2024","12/27/2024","12/28/2024","12/29/2024","12/30/2024","31/25/2024","01/01/2024","01/02/2024","01/03/2024","01/04/2024","01/05/2024"}))</f>
        <v>#VALUE!</v>
      </c>
      <c r="AI320" s="1">
        <f>0</f>
        <v>0</v>
      </c>
      <c r="AJ320" s="1" t="b">
        <v>1</v>
      </c>
      <c r="AK320" s="1"/>
      <c r="AL320" s="1"/>
      <c r="AM320" s="1"/>
      <c r="AN320" s="1"/>
      <c r="AO320" s="1"/>
      <c r="AP320" s="1"/>
      <c r="AQ320" s="1" t="b">
        <v>1</v>
      </c>
      <c r="AR320" s="1"/>
      <c r="AS320" s="1"/>
      <c r="AT320" s="1"/>
      <c r="AU320" s="1" t="b">
        <v>1</v>
      </c>
      <c r="AV320" s="1"/>
      <c r="AW320" s="1"/>
      <c r="AX320" s="1"/>
      <c r="AY320" s="1"/>
      <c r="AZ320" s="1" t="b">
        <v>1</v>
      </c>
    </row>
    <row r="321" spans="1:52" ht="15" customHeight="1" x14ac:dyDescent="0.35">
      <c r="A321" s="1" t="s">
        <v>1382</v>
      </c>
      <c r="B321" s="1" t="s">
        <v>63</v>
      </c>
      <c r="C321" s="1" t="s">
        <v>1377</v>
      </c>
      <c r="D321" s="1" t="s">
        <v>1374</v>
      </c>
      <c r="E321" s="1" t="s">
        <v>1368</v>
      </c>
      <c r="F321" s="9" t="s">
        <v>1383</v>
      </c>
      <c r="G321" s="1" t="s">
        <v>38</v>
      </c>
      <c r="H3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1" s="11" t="e">
        <f>ABS(NETWORKDAYS.INTL("05/28/24", "05/29/24", 1, {"01/01/2024","01/15/2024","02/19/2024","05/27/2024","07/04/2024","09/02/2024","10/14/2024","11/11/2024","11/28/2024","12/25/2024","12/25/2024","12/26/2024","12/27/2024","12/28/2024","12/29/2024","12/30/2024","31/25/2024","01/01/2024","01/02/2024","01/03/2024","01/04/2024","01/05/2024"}))</f>
        <v>#VALUE!</v>
      </c>
      <c r="J321" s="1">
        <f>0</f>
        <v>0</v>
      </c>
      <c r="K321" s="1"/>
      <c r="L321" s="1">
        <v>1</v>
      </c>
      <c r="M321" s="1" t="e">
        <f>ABS(NETWORKDAYS.INTL("06/17/24", "06/17/24", 1, {"01/01/2024","01/15/2024","02/19/2024","05/27/2024","07/04/2024","09/02/2024","10/14/2024","11/11/2024","11/28/2024","12/25/2024","12/25/2024","12/26/2024","12/27/2024","12/28/2024","12/29/2024","12/30/2024","31/25/2024","01/01/2024","01/02/2024","01/03/2024","01/04/2024","01/05/2024"}))</f>
        <v>#VALUE!</v>
      </c>
      <c r="N321" s="1">
        <f>0</f>
        <v>0</v>
      </c>
      <c r="O321" s="1">
        <f>0</f>
        <v>0</v>
      </c>
      <c r="P321" s="1"/>
      <c r="Q321" s="1">
        <v>0</v>
      </c>
      <c r="R321" s="1">
        <v>0</v>
      </c>
      <c r="S321" s="1">
        <f>0</f>
        <v>0</v>
      </c>
      <c r="T321" s="1">
        <f>0</f>
        <v>0</v>
      </c>
      <c r="U321" s="1"/>
      <c r="V321" s="1">
        <v>1</v>
      </c>
      <c r="W321" s="1">
        <v>1</v>
      </c>
      <c r="X321" s="1" t="e">
        <f>ABS(NETWORKDAYS.INTL("06/17/24", "06/20/24", 1, {"01/01/2024","01/15/2024","02/19/2024","05/27/2024","07/04/2024","09/02/2024","10/14/2024","11/11/2024","11/28/2024","12/25/2024","12/25/2024","12/26/2024","12/27/2024","12/28/2024","12/29/2024","12/30/2024","31/25/2024","01/01/2024","01/02/2024","01/03/2024","01/04/2024","01/05/2024"}))</f>
        <v>#VALUE!</v>
      </c>
      <c r="Y321" s="1">
        <f>0</f>
        <v>0</v>
      </c>
      <c r="Z321" s="1">
        <f>0</f>
        <v>0</v>
      </c>
      <c r="AA321" s="1"/>
      <c r="AB321" s="5">
        <v>45468</v>
      </c>
      <c r="AC321" s="5"/>
      <c r="AD321" s="1" t="e">
        <f>ABS(NETWORKDAYS.INTL("06/17/24", "05/29/24", 1, {"01/01/2024","01/15/2024","02/19/2024","05/27/2024","07/04/2024","09/02/2024","10/14/2024","11/11/2024","11/28/2024","12/25/2024","12/25/2024","12/26/2024","12/27/2024","12/28/2024","12/29/2024","12/30/2024","31/25/2024","01/01/2024","01/02/2024","01/03/2024","01/04/2024","01/05/2024"}))</f>
        <v>#VALUE!</v>
      </c>
      <c r="AE321" s="1">
        <f>0</f>
        <v>0</v>
      </c>
      <c r="AF321" s="1">
        <f>0</f>
        <v>0</v>
      </c>
      <c r="AG321" s="1" t="e">
        <f>ABS(NETWORKDAYS.INTL("06/17/24", "08/05/24", 1, {"01/01/2024","01/15/2024","02/19/2024","05/27/2024","07/04/2024","09/02/2024","10/14/2024","11/11/2024","11/28/2024","12/25/2024","12/25/2024","12/26/2024","12/27/2024","12/28/2024","12/29/2024","12/30/2024","31/25/2024","01/01/2024","01/02/2024","01/03/2024","01/04/2024","01/05/2024"}))</f>
        <v>#VALUE!</v>
      </c>
      <c r="AH321" s="1" t="e">
        <f>ABS(NETWORKDAYS.INTL("06/17/24", "06/17/24", 1, {"01/01/2024","01/15/2024","02/19/2024","05/27/2024","07/04/2024","09/02/2024","10/14/2024","11/11/2024","11/28/2024","12/25/2024","12/25/2024","12/26/2024","12/27/2024","12/28/2024","12/29/2024","12/30/2024","31/25/2024","01/01/2024","01/02/2024","01/03/2024","01/04/2024","01/05/2024"}))</f>
        <v>#VALUE!</v>
      </c>
      <c r="AI321" s="1">
        <f>0</f>
        <v>0</v>
      </c>
      <c r="AJ321" s="1" t="b">
        <v>1</v>
      </c>
      <c r="AK321" s="1"/>
      <c r="AL321" s="1"/>
      <c r="AM321" s="1"/>
      <c r="AN321" s="1"/>
      <c r="AO321" s="1"/>
      <c r="AP321" s="1"/>
      <c r="AQ321" s="1" t="b">
        <v>1</v>
      </c>
      <c r="AR321" s="1"/>
      <c r="AS321" s="1"/>
      <c r="AT321" s="1"/>
      <c r="AU321" s="1" t="b">
        <v>1</v>
      </c>
      <c r="AV321" s="1"/>
      <c r="AW321" s="1"/>
      <c r="AX321" s="1"/>
      <c r="AY321" s="1"/>
      <c r="AZ321" s="1" t="b">
        <v>1</v>
      </c>
    </row>
    <row r="322" spans="1:52" ht="15" customHeight="1" x14ac:dyDescent="0.35">
      <c r="A322" s="1" t="s">
        <v>1384</v>
      </c>
      <c r="B322" s="1" t="s">
        <v>54</v>
      </c>
      <c r="C322" s="1" t="s">
        <v>1377</v>
      </c>
      <c r="D322" s="1" t="s">
        <v>1385</v>
      </c>
      <c r="E322" s="1" t="s">
        <v>1368</v>
      </c>
      <c r="F322" s="9" t="s">
        <v>1386</v>
      </c>
      <c r="G322" s="1" t="s">
        <v>38</v>
      </c>
      <c r="H3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2" s="11" t="e">
        <f>ABS(NETWORKDAYS.INTL("05/28/24", "05/28/24", 1, {"01/01/2024","01/15/2024","02/19/2024","05/27/2024","07/04/2024","09/02/2024","10/14/2024","11/11/2024","11/28/2024","12/25/2024","12/25/2024","12/26/2024","12/27/2024","12/28/2024","12/29/2024","12/30/2024","31/25/2024","01/01/2024","01/02/2024","01/03/2024","01/04/2024","01/05/2024"}))</f>
        <v>#VALUE!</v>
      </c>
      <c r="J322" s="1">
        <f>0</f>
        <v>0</v>
      </c>
      <c r="K322" s="1"/>
      <c r="L322" s="1">
        <v>1</v>
      </c>
      <c r="M322" s="1" t="e">
        <f>ABS(NETWORKDAYS.INTL("06/19/24", "06/19/24", 1, {"01/01/2024","01/15/2024","02/19/2024","05/27/2024","07/04/2024","09/02/2024","10/14/2024","11/11/2024","11/28/2024","12/25/2024","12/25/2024","12/26/2024","12/27/2024","12/28/2024","12/29/2024","12/30/2024","31/25/2024","01/01/2024","01/02/2024","01/03/2024","01/04/2024","01/05/2024"}))</f>
        <v>#VALUE!</v>
      </c>
      <c r="N322" s="1">
        <f>0</f>
        <v>0</v>
      </c>
      <c r="O322" s="1">
        <f>0</f>
        <v>0</v>
      </c>
      <c r="P322" s="1"/>
      <c r="Q322" s="1">
        <v>0</v>
      </c>
      <c r="R322" s="1">
        <v>0</v>
      </c>
      <c r="S322" s="1">
        <f>0</f>
        <v>0</v>
      </c>
      <c r="T322" s="1">
        <f>0</f>
        <v>0</v>
      </c>
      <c r="U322" s="1"/>
      <c r="V322" s="1">
        <v>1</v>
      </c>
      <c r="W322" s="1">
        <v>1</v>
      </c>
      <c r="X322" s="1" t="e">
        <f>ABS(NETWORKDAYS.INTL("06/19/24", "06/21/24", 1, {"01/01/2024","01/15/2024","02/19/2024","05/27/2024","07/04/2024","09/02/2024","10/14/2024","11/11/2024","11/28/2024","12/25/2024","12/25/2024","12/26/2024","12/27/2024","12/28/2024","12/29/2024","12/30/2024","31/25/2024","01/01/2024","01/02/2024","01/03/2024","01/04/2024","01/05/2024"}))</f>
        <v>#VALUE!</v>
      </c>
      <c r="Y322" s="1">
        <f>0</f>
        <v>0</v>
      </c>
      <c r="Z322" s="1">
        <f>0</f>
        <v>0</v>
      </c>
      <c r="AA322" s="1"/>
      <c r="AB322" s="5">
        <v>45474</v>
      </c>
      <c r="AC322" s="5"/>
      <c r="AD322" s="1" t="e">
        <f>ABS(NETWORKDAYS.INTL("06/19/24", "05/28/24", 1, {"01/01/2024","01/15/2024","02/19/2024","05/27/2024","07/04/2024","09/02/2024","10/14/2024","11/11/2024","11/28/2024","12/25/2024","12/25/2024","12/26/2024","12/27/2024","12/28/2024","12/29/2024","12/30/2024","31/25/2024","01/01/2024","01/02/2024","01/03/2024","01/04/2024","01/05/2024"}))</f>
        <v>#VALUE!</v>
      </c>
      <c r="AE322" s="1">
        <f>0</f>
        <v>0</v>
      </c>
      <c r="AF322" s="1">
        <f>0</f>
        <v>0</v>
      </c>
      <c r="AG322" s="1" t="e">
        <f>ABS(NETWORKDAYS.INTL("06/19/24", "08/05/24", 1, {"01/01/2024","01/15/2024","02/19/2024","05/27/2024","07/04/2024","09/02/2024","10/14/2024","11/11/2024","11/28/2024","12/25/2024","12/25/2024","12/26/2024","12/27/2024","12/28/2024","12/29/2024","12/30/2024","31/25/2024","01/01/2024","01/02/2024","01/03/2024","01/04/2024","01/05/2024"}))</f>
        <v>#VALUE!</v>
      </c>
      <c r="AH322" s="1" t="e">
        <f>ABS(NETWORKDAYS.INTL("06/19/24", "06/19/24", 1, {"01/01/2024","01/15/2024","02/19/2024","05/27/2024","07/04/2024","09/02/2024","10/14/2024","11/11/2024","11/28/2024","12/25/2024","12/25/2024","12/26/2024","12/27/2024","12/28/2024","12/29/2024","12/30/2024","31/25/2024","01/01/2024","01/02/2024","01/03/2024","01/04/2024","01/05/2024"}))</f>
        <v>#VALUE!</v>
      </c>
      <c r="AI322" s="1">
        <f>0</f>
        <v>0</v>
      </c>
      <c r="AJ322" s="1" t="b">
        <v>1</v>
      </c>
      <c r="AK322" s="1"/>
      <c r="AL322" s="1"/>
      <c r="AM322" s="1"/>
      <c r="AN322" s="1"/>
      <c r="AO322" s="1"/>
      <c r="AP322" s="1"/>
      <c r="AQ322" s="1" t="b">
        <v>1</v>
      </c>
      <c r="AR322" s="1"/>
      <c r="AS322" s="1"/>
      <c r="AT322" s="1"/>
      <c r="AU322" s="1" t="b">
        <v>1</v>
      </c>
      <c r="AV322" s="1"/>
      <c r="AW322" s="1"/>
      <c r="AX322" s="1"/>
      <c r="AY322" s="1"/>
      <c r="AZ322" s="1" t="b">
        <v>1</v>
      </c>
    </row>
    <row r="323" spans="1:52" ht="15" customHeight="1" x14ac:dyDescent="0.35">
      <c r="A323" s="1" t="s">
        <v>1387</v>
      </c>
      <c r="B323" s="1" t="s">
        <v>55</v>
      </c>
      <c r="C323" s="1" t="s">
        <v>1377</v>
      </c>
      <c r="D323" s="1" t="s">
        <v>1388</v>
      </c>
      <c r="E323" s="1" t="s">
        <v>1368</v>
      </c>
      <c r="F323" s="9" t="s">
        <v>1389</v>
      </c>
      <c r="G323" s="1" t="s">
        <v>38</v>
      </c>
      <c r="H3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3" s="11" t="e">
        <f>ABS(NETWORKDAYS.INTL("05/23/24", "05/23/24", 1, {"01/01/2024","01/15/2024","02/19/2024","05/27/2024","07/04/2024","09/02/2024","10/14/2024","11/11/2024","11/28/2024","12/25/2024","12/25/2024","12/26/2024","12/27/2024","12/28/2024","12/29/2024","12/30/2024","31/25/2024","01/01/2024","01/02/2024","01/03/2024","01/04/2024","01/05/2024"}))</f>
        <v>#VALUE!</v>
      </c>
      <c r="J323" s="1">
        <f>0</f>
        <v>0</v>
      </c>
      <c r="K323" s="1"/>
      <c r="L323" s="1">
        <v>1</v>
      </c>
      <c r="M323" s="1" t="e">
        <f>ABS(NETWORKDAYS.INTL("06/20/24", "06/20/24", 1, {"01/01/2024","01/15/2024","02/19/2024","05/27/2024","07/04/2024","09/02/2024","10/14/2024","11/11/2024","11/28/2024","12/25/2024","12/25/2024","12/26/2024","12/27/2024","12/28/2024","12/29/2024","12/30/2024","31/25/2024","01/01/2024","01/02/2024","01/03/2024","01/04/2024","01/05/2024"}))</f>
        <v>#VALUE!</v>
      </c>
      <c r="N323" s="1">
        <f>0</f>
        <v>0</v>
      </c>
      <c r="O323" s="1">
        <f>0</f>
        <v>0</v>
      </c>
      <c r="P323" s="1"/>
      <c r="Q323" s="1">
        <v>0</v>
      </c>
      <c r="R323" s="1">
        <v>0</v>
      </c>
      <c r="S323" s="1" t="e">
        <f>ABS(NETWORKDAYS.INTL("07/08/2024", "08/05/24", 1, {"01/01/2024","01/15/2024","02/19/2024","05/27/2024","07/04/2024","09/02/2024","10/14/2024","11/11/2024","11/28/2024","12/25/2024","12/25/2024","12/26/2024","12/27/2024","12/28/2024","12/29/2024","12/30/2024","31/25/2024","01/01/2024","01/02/2024","01/03/2024","01/04/2024","01/05/2024"}))</f>
        <v>#VALUE!</v>
      </c>
      <c r="T323" s="1">
        <f>0</f>
        <v>0</v>
      </c>
      <c r="U323" s="1"/>
      <c r="V323" s="1">
        <v>1</v>
      </c>
      <c r="W323" s="1">
        <v>1</v>
      </c>
      <c r="X323" s="1" t="e">
        <f>ABS(NETWORKDAYS.INTL("06/20/2024", "06/21/2024", 1, {"01/01/2024","01/15/2024","02/19/2024","05/27/2024","07/04/2024","09/02/2024","10/14/2024","11/11/2024","11/28/2024","12/25/2024","12/25/2024","12/26/2024","12/27/2024","12/28/2024","12/29/2024","12/30/2024","31/25/2024","01/01/2024","01/02/2024","01/03/2024","01/04/2024","01/05/2024"}))</f>
        <v>#VALUE!</v>
      </c>
      <c r="Y323" s="1" t="e">
        <f>ABS(NETWORKDAYS.INTL("07/08/2024", "07/10/2024", 1, {"01/01/2024","01/15/2024","02/19/2024","05/27/2024","07/04/2024","09/02/2024","10/14/2024","11/11/2024","11/28/2024","12/25/2024","12/25/2024","12/26/2024","12/27/2024","12/28/2024","12/29/2024","12/30/2024","31/25/2024","01/01/2024","01/02/2024","01/03/2024","01/04/2024","01/05/2024"}))</f>
        <v>#VALUE!</v>
      </c>
      <c r="Z323" s="1">
        <f>0</f>
        <v>0</v>
      </c>
      <c r="AA323" s="1"/>
      <c r="AB323" s="5">
        <v>45483</v>
      </c>
      <c r="AC323" s="5"/>
      <c r="AD323" s="1" t="e">
        <f>ABS(NETWORKDAYS.INTL("06/20/24", "05/23/24", 1, {"01/01/2024","01/15/2024","02/19/2024","05/27/2024","07/04/2024","09/02/2024","10/14/2024","11/11/2024","11/28/2024","12/25/2024","12/25/2024","12/26/2024","12/27/2024","12/28/2024","12/29/2024","12/30/2024","31/25/2024","01/01/2024","01/02/2024","01/03/2024","01/04/2024","01/05/2024"}))</f>
        <v>#VALUE!</v>
      </c>
      <c r="AE323" s="1">
        <f>0</f>
        <v>0</v>
      </c>
      <c r="AF323" s="1">
        <f>0</f>
        <v>0</v>
      </c>
      <c r="AG323" s="1" t="e">
        <f>ABS(NETWORKDAYS.INTL("06/20/24", "08/05/24", 1, {"01/01/2024","01/15/2024","02/19/2024","05/27/2024","07/04/2024","09/02/2024","10/14/2024","11/11/2024","11/28/2024","12/25/2024","12/25/2024","12/26/2024","12/27/2024","12/28/2024","12/29/2024","12/30/2024","31/25/2024","01/01/2024","01/02/2024","01/03/2024","01/04/2024","01/05/2024"}))</f>
        <v>#VALUE!</v>
      </c>
      <c r="AH323" s="1" t="e">
        <f>ABS(NETWORKDAYS.INTL("06/20/2024", "06/20/24", 1, {"01/01/2024","01/15/2024","02/19/2024","05/27/2024","07/04/2024","09/02/2024","10/14/2024","11/11/2024","11/28/2024","12/25/2024","12/25/2024","12/26/2024","12/27/2024","12/28/2024","12/29/2024","12/30/2024","31/25/2024","01/01/2024","01/02/2024","01/03/2024","01/04/2024","01/05/2024"}))</f>
        <v>#VALUE!</v>
      </c>
      <c r="AI323" s="1">
        <f>0</f>
        <v>0</v>
      </c>
      <c r="AJ323" s="1" t="b">
        <v>1</v>
      </c>
      <c r="AK323" s="1"/>
      <c r="AL323" s="1"/>
      <c r="AM323" s="1"/>
      <c r="AN323" s="1"/>
      <c r="AO323" s="1"/>
      <c r="AP323" s="1"/>
      <c r="AQ323" s="1" t="b">
        <v>1</v>
      </c>
      <c r="AR323" s="1"/>
      <c r="AS323" s="1"/>
      <c r="AT323" s="1"/>
      <c r="AU323" s="1" t="b">
        <v>1</v>
      </c>
      <c r="AV323" s="1"/>
      <c r="AW323" s="1"/>
      <c r="AX323" s="1"/>
      <c r="AY323" s="1"/>
      <c r="AZ323" s="1" t="b">
        <v>1</v>
      </c>
    </row>
    <row r="324" spans="1:52" ht="15" customHeight="1" x14ac:dyDescent="0.35">
      <c r="A324" s="1" t="s">
        <v>1390</v>
      </c>
      <c r="B324" s="1" t="s">
        <v>56</v>
      </c>
      <c r="C324" s="1" t="s">
        <v>1377</v>
      </c>
      <c r="D324" s="1" t="s">
        <v>1378</v>
      </c>
      <c r="E324" s="1" t="s">
        <v>1368</v>
      </c>
      <c r="F324" s="9" t="s">
        <v>1391</v>
      </c>
      <c r="G324" s="1" t="s">
        <v>38</v>
      </c>
      <c r="H3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4" s="11" t="e">
        <f>ABS(NETWORKDAYS.INTL("05/23/24", "05/23/24", 1, {"01/01/2024","01/15/2024","02/19/2024","05/27/2024","07/04/2024","09/02/2024","10/14/2024","11/11/2024","11/28/2024","12/25/2024","12/25/2024","12/26/2024","12/27/2024","12/28/2024","12/29/2024","12/30/2024","31/25/2024","01/01/2024","01/02/2024","01/03/2024","01/04/2024","01/05/2024"}))</f>
        <v>#VALUE!</v>
      </c>
      <c r="J324" s="1">
        <f>0</f>
        <v>0</v>
      </c>
      <c r="K324" s="1"/>
      <c r="L324" s="1">
        <v>1</v>
      </c>
      <c r="M324" s="1" t="e">
        <f>ABS(NETWORKDAYS.INTL("06/19/24", "08/05/24", 1, {"01/01/2024","01/15/2024","02/19/2024","05/27/2024","07/04/2024","09/02/2024","10/14/2024","11/11/2024","11/28/2024","12/25/2024","12/25/2024","12/26/2024","12/27/2024","12/28/2024","12/29/2024","12/30/2024","31/25/2024","01/01/2024","01/02/2024","01/03/2024","01/04/2024","01/05/2024"}))</f>
        <v>#VALUE!</v>
      </c>
      <c r="N324" s="1">
        <f>0</f>
        <v>0</v>
      </c>
      <c r="O324" s="1">
        <f>0</f>
        <v>0</v>
      </c>
      <c r="P324" s="1"/>
      <c r="Q324" s="1">
        <v>0</v>
      </c>
      <c r="R324" s="1">
        <v>0</v>
      </c>
      <c r="S324" s="1">
        <f>0</f>
        <v>0</v>
      </c>
      <c r="T324" s="1">
        <f>0</f>
        <v>0</v>
      </c>
      <c r="U324" s="1"/>
      <c r="V324" s="1">
        <v>1</v>
      </c>
      <c r="W324" s="1">
        <v>1</v>
      </c>
      <c r="X324" s="1" t="e">
        <f>ABS(NETWORKDAYS.INTL("06/19/2024", "06/21/2024", 1, {"01/01/2024","01/15/2024","02/19/2024","05/27/2024","07/04/2024","09/02/2024","10/14/2024","11/11/2024","11/28/2024","12/25/2024","12/25/2024","12/26/2024","12/27/2024","12/28/2024","12/29/2024","12/30/2024","31/25/2024","01/01/2024","01/02/2024","01/03/2024","01/04/2024","01/05/2024"}))</f>
        <v>#VALUE!</v>
      </c>
      <c r="Y324" s="1">
        <f>0</f>
        <v>0</v>
      </c>
      <c r="Z324" s="1">
        <f>0</f>
        <v>0</v>
      </c>
      <c r="AA324" s="1"/>
      <c r="AB324" s="5">
        <v>45474</v>
      </c>
      <c r="AC324" s="5"/>
      <c r="AD324" s="1" t="e">
        <f>ABS(NETWORKDAYS.INTL("06/19/24", "05/23/24", 1, {"01/01/2024","01/15/2024","02/19/2024","05/27/2024","07/04/2024","09/02/2024","10/14/2024","11/11/2024","11/28/2024","12/25/2024","12/25/2024","12/26/2024","12/27/2024","12/28/2024","12/29/2024","12/30/2024","31/25/2024","01/01/2024","01/02/2024","01/03/2024","01/04/2024","01/05/2024"}))</f>
        <v>#VALUE!</v>
      </c>
      <c r="AE324" s="1">
        <f>0</f>
        <v>0</v>
      </c>
      <c r="AF324" s="1">
        <f>0</f>
        <v>0</v>
      </c>
      <c r="AG324" s="1" t="e">
        <f>ABS(NETWORKDAYS.INTL("06/19/2024", "08/05/24", 1, {"01/01/2024","01/15/2024","02/19/2024","05/27/2024","07/04/2024","09/02/2024","10/14/2024","11/11/2024","11/28/2024","12/25/2024","12/25/2024","12/26/2024","12/27/2024","12/28/2024","12/29/2024","12/30/2024","31/25/2024","01/01/2024","01/02/2024","01/03/2024","01/04/2024","01/05/2024"}))</f>
        <v>#VALUE!</v>
      </c>
      <c r="AH324" s="1" t="e">
        <f>ABS(NETWORKDAYS.INTL("06/19/2024", "06/19/2024", 1, {"01/01/2024","01/15/2024","02/19/2024","05/27/2024","07/04/2024","09/02/2024","10/14/2024","11/11/2024","11/28/2024","12/25/2024","12/25/2024","12/26/2024","12/27/2024","12/28/2024","12/29/2024","12/30/2024","31/25/2024","01/01/2024","01/02/2024","01/03/2024","01/04/2024","01/05/2024"}))</f>
        <v>#VALUE!</v>
      </c>
      <c r="AI324" s="1">
        <f>0</f>
        <v>0</v>
      </c>
      <c r="AJ324" s="1" t="b">
        <v>1</v>
      </c>
      <c r="AK324" s="1"/>
      <c r="AL324" s="1"/>
      <c r="AM324" s="1"/>
      <c r="AN324" s="1"/>
      <c r="AO324" s="1"/>
      <c r="AP324" s="1"/>
      <c r="AQ324" s="1" t="b">
        <v>1</v>
      </c>
      <c r="AR324" s="1"/>
      <c r="AS324" s="1"/>
      <c r="AT324" s="1"/>
      <c r="AU324" s="1" t="b">
        <v>1</v>
      </c>
      <c r="AV324" s="1"/>
      <c r="AW324" s="1"/>
      <c r="AX324" s="1"/>
      <c r="AY324" s="1"/>
      <c r="AZ324" s="1" t="b">
        <v>1</v>
      </c>
    </row>
    <row r="325" spans="1:52" ht="15" customHeight="1" x14ac:dyDescent="0.35">
      <c r="A325" s="1" t="s">
        <v>1392</v>
      </c>
      <c r="B325" s="1" t="s">
        <v>57</v>
      </c>
      <c r="C325" s="1" t="s">
        <v>1377</v>
      </c>
      <c r="D325" s="1" t="s">
        <v>1364</v>
      </c>
      <c r="E325" s="1" t="s">
        <v>1368</v>
      </c>
      <c r="F325" s="9" t="s">
        <v>1393</v>
      </c>
      <c r="G325" s="1" t="s">
        <v>38</v>
      </c>
      <c r="H3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325" s="11" t="e">
        <f>ABS(NETWORKDAYS.INTL("05/28/24", "05/28/24", 1, {"01/01/2024","01/15/2024","02/19/2024","05/27/2024","07/04/2024","09/02/2024","10/14/2024","11/11/2024","11/28/2024","12/25/2024","12/25/2024","12/26/2024","12/27/2024","12/28/2024","12/29/2024","12/30/2024","31/25/2024","01/01/2024","01/02/2024","01/03/2024","01/04/2024","01/05/2024"}))</f>
        <v>#VALUE!</v>
      </c>
      <c r="J325" s="1">
        <f>0</f>
        <v>0</v>
      </c>
      <c r="K325" s="1"/>
      <c r="L325" s="1">
        <v>1</v>
      </c>
      <c r="M325" s="1" t="e">
        <f>ABS(NETWORKDAYS.INTL("06/11/24", "06/11/24", 1, {"01/01/2024","01/15/2024","02/19/2024","05/27/2024","07/04/2024","09/02/2024","10/14/2024","11/11/2024","11/28/2024","12/25/2024","12/25/2024","12/26/2024","12/27/2024","12/28/2024","12/29/2024","12/30/2024","31/25/2024","01/01/2024","01/02/2024","01/03/2024","01/04/2024","01/05/2024"}))</f>
        <v>#VALUE!</v>
      </c>
      <c r="N325" s="1">
        <f>0</f>
        <v>0</v>
      </c>
      <c r="O325" s="1">
        <f>0</f>
        <v>0</v>
      </c>
      <c r="P325" s="1"/>
      <c r="Q325" s="1">
        <v>0</v>
      </c>
      <c r="R325" s="1">
        <v>0</v>
      </c>
      <c r="S325" s="1">
        <f>0</f>
        <v>0</v>
      </c>
      <c r="T325" s="1">
        <f>0</f>
        <v>0</v>
      </c>
      <c r="U325" s="1"/>
      <c r="V325" s="1">
        <v>2</v>
      </c>
      <c r="W325" s="1">
        <v>2</v>
      </c>
      <c r="X325" s="1" t="e">
        <f>ABS(NETWORKDAYS.INTL("06/12/24", "06/12/24", 1, {"01/01/2024","01/15/2024","02/19/2024","05/27/2024","07/04/2024","09/02/2024","10/14/2024","11/11/2024","11/28/2024","12/25/2024","12/25/2024","12/26/2024","12/27/2024","12/28/2024","12/29/2024","12/30/2024","31/25/2024","01/01/2024","01/02/2024","01/03/2024","01/04/2024","01/05/2024"})+NETWORKDAYS.INTL("06/13/24", "06/13/24", 1, {"01/01/2024","01/15/2024","02/19/2024","05/27/2024","07/04/2024","09/02/2024","10/14/2024","11/11/2024","11/28/2024","12/25/2024","12/25/2024","12/26/2024","12/27/2024","12/28/2024","12/29/2024","12/30/2024","31/25/2024","01/01/2024","01/02/2024","01/03/2024","01/04/2024","01/05/2024"}))</f>
        <v>#VALUE!</v>
      </c>
      <c r="Y325" s="1" t="e">
        <f>ABS(NETWORKDAYS.INTL("06/13/24", "06/13/24", 1, {"01/01/2024","01/15/2024","02/19/2024","05/27/2024","07/04/2024","09/02/2024","10/14/2024","11/11/2024","11/28/2024","12/25/2024","12/25/2024","12/26/2024","12/27/2024","12/28/2024","12/29/2024","12/30/2024","31/25/2024","01/01/2024","01/02/2024","01/03/2024","01/04/2024","01/05/2024"}))</f>
        <v>#VALUE!</v>
      </c>
      <c r="Z325" s="1">
        <f>0</f>
        <v>0</v>
      </c>
      <c r="AA325" s="1"/>
      <c r="AB325" s="5">
        <v>45456</v>
      </c>
      <c r="AC325" s="5"/>
      <c r="AD325" s="1" t="e">
        <f>ABS(NETWORKDAYS.INTL("06/11/24", "05/28/24", 1, {"01/01/2024","01/15/2024","02/19/2024","05/27/2024","07/04/2024","09/02/2024","10/14/2024","11/11/2024","11/28/2024","12/25/2024","12/25/2024","12/26/2024","12/27/2024","12/28/2024","12/29/2024","12/30/2024","31/25/2024","01/01/2024","01/02/2024","01/03/2024","01/04/2024","01/05/2024"}))</f>
        <v>#VALUE!</v>
      </c>
      <c r="AE325" s="1">
        <f>0</f>
        <v>0</v>
      </c>
      <c r="AF325" s="1">
        <f>0</f>
        <v>0</v>
      </c>
      <c r="AG325" s="1" t="e">
        <f>ABS(NETWORKDAYS.INTL("06/12/24", "08/05/24", 1, {"01/01/2024","01/15/2024","02/19/2024","05/27/2024","07/04/2024","09/02/2024","10/14/2024","11/11/2024","11/28/2024","12/25/2024","12/25/2024","12/26/2024","12/27/2024","12/28/2024","12/29/2024","12/30/2024","31/25/2024","01/01/2024","01/02/2024","01/03/2024","01/04/2024","01/05/2024"}))</f>
        <v>#VALUE!</v>
      </c>
      <c r="AH325" s="1" t="e">
        <f>ABS(NETWORKDAYS.INTL("06/12/24", "06/12/24", 1, {"01/01/2024","01/15/2024","02/19/2024","05/27/2024","07/04/2024","09/02/2024","10/14/2024","11/11/2024","11/28/2024","12/25/2024","12/25/2024","12/26/2024","12/27/2024","12/28/2024","12/29/2024","12/30/2024","31/25/2024","01/01/2024","01/02/2024","01/03/2024","01/04/2024","01/05/2024"}))</f>
        <v>#VALUE!</v>
      </c>
      <c r="AI325" s="1">
        <f>0</f>
        <v>0</v>
      </c>
      <c r="AJ325" s="1" t="b">
        <v>1</v>
      </c>
      <c r="AK325" s="1"/>
      <c r="AL325" s="1"/>
      <c r="AM325" s="1"/>
      <c r="AN325" s="1"/>
      <c r="AO325" s="1"/>
      <c r="AP325" s="1"/>
      <c r="AQ325" s="1" t="b">
        <v>1</v>
      </c>
      <c r="AR325" s="1"/>
      <c r="AS325" s="1"/>
      <c r="AT325" s="1"/>
      <c r="AU325" s="1" t="b">
        <v>1</v>
      </c>
      <c r="AV325" s="1"/>
      <c r="AW325" s="1"/>
      <c r="AX325" s="1"/>
      <c r="AY325" s="1"/>
      <c r="AZ325" s="1" t="b">
        <v>1</v>
      </c>
    </row>
    <row r="326" spans="1:52" ht="15" customHeight="1" x14ac:dyDescent="0.35">
      <c r="A326" s="1" t="s">
        <v>1394</v>
      </c>
      <c r="B326" s="1" t="s">
        <v>58</v>
      </c>
      <c r="C326" s="1" t="s">
        <v>1395</v>
      </c>
      <c r="D326" s="1" t="s">
        <v>1396</v>
      </c>
      <c r="E326" s="1" t="s">
        <v>1331</v>
      </c>
      <c r="F326" s="9" t="s">
        <v>1397</v>
      </c>
      <c r="G326" s="1" t="s">
        <v>38</v>
      </c>
      <c r="H3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26" s="11" t="e">
        <f>ABS(NETWORKDAYS.INTL("04/29/24", "05/15/24", 1, {"01/01/2024","01/15/2024","02/19/2024","05/27/2024","07/04/2024","09/02/2024","10/14/2024","11/11/2024","11/28/2024","12/25/2024","12/25/2024","12/26/2024","12/27/2024","12/28/2024","12/29/2024","12/30/2024","31/25/2024","01/01/2024","01/02/2024","01/03/2024","01/04/2024","01/05/2024"}))</f>
        <v>#VALUE!</v>
      </c>
      <c r="J326" s="1">
        <f>0</f>
        <v>0</v>
      </c>
      <c r="K326" s="1"/>
      <c r="L326" s="1">
        <v>0</v>
      </c>
      <c r="M326" s="1">
        <f>0</f>
        <v>0</v>
      </c>
      <c r="N326" s="1">
        <f>0</f>
        <v>0</v>
      </c>
      <c r="O326" s="1">
        <f>0</f>
        <v>0</v>
      </c>
      <c r="P326" s="1"/>
      <c r="Q326" s="1">
        <v>0</v>
      </c>
      <c r="R326" s="1">
        <v>1</v>
      </c>
      <c r="S326" s="1">
        <f>0</f>
        <v>0</v>
      </c>
      <c r="T326" s="1">
        <f>0</f>
        <v>0</v>
      </c>
      <c r="U326" s="1"/>
      <c r="V326" s="1">
        <v>0</v>
      </c>
      <c r="W326" s="1">
        <v>0</v>
      </c>
      <c r="X326" s="1">
        <f>0</f>
        <v>0</v>
      </c>
      <c r="Y326" s="1">
        <f>0</f>
        <v>0</v>
      </c>
      <c r="Z326" s="1">
        <f>0</f>
        <v>0</v>
      </c>
      <c r="AA326" s="1"/>
      <c r="AB326" s="5"/>
      <c r="AC326" s="5"/>
      <c r="AD326" s="1">
        <f>0</f>
        <v>0</v>
      </c>
      <c r="AE326" s="1">
        <f>0</f>
        <v>0</v>
      </c>
      <c r="AF326" s="1" t="e">
        <f>ABS(NETWORKDAYS.INTL("05/14/24", "08/05/24", 1, {"01/01/2024","01/15/2024","02/19/2024","05/27/2024","07/04/2024","09/02/2024","10/14/2024","11/11/2024","11/28/2024","12/25/2024","12/25/2024","12/26/2024","12/27/2024","12/28/2024","12/29/2024","12/30/2024","31/25/2024","01/01/2024","01/02/2024","01/03/2024","01/04/2024","01/05/2024"}))</f>
        <v>#VALUE!</v>
      </c>
      <c r="AG326" s="1">
        <f>0</f>
        <v>0</v>
      </c>
      <c r="AH326" s="1">
        <f>0</f>
        <v>0</v>
      </c>
      <c r="AI326" s="1">
        <f>0</f>
        <v>0</v>
      </c>
      <c r="AJ326" s="1"/>
      <c r="AK326" s="1"/>
      <c r="AL326" s="1"/>
      <c r="AM326" s="1"/>
      <c r="AN326" s="1"/>
      <c r="AO326" s="1"/>
      <c r="AP326" s="1"/>
      <c r="AQ326" s="1"/>
      <c r="AR326" s="1"/>
      <c r="AS326" s="1"/>
      <c r="AT326" s="1"/>
      <c r="AU326" s="1"/>
      <c r="AV326" s="1"/>
      <c r="AW326" s="1"/>
      <c r="AX326" s="1"/>
      <c r="AY326" s="1" t="b">
        <v>1</v>
      </c>
      <c r="AZ326" s="1"/>
    </row>
    <row r="327" spans="1:52" ht="15" customHeight="1" x14ac:dyDescent="0.35">
      <c r="A327" s="1" t="s">
        <v>1398</v>
      </c>
      <c r="B327" s="1" t="s">
        <v>59</v>
      </c>
      <c r="C327" s="1" t="s">
        <v>640</v>
      </c>
      <c r="D327" s="1"/>
      <c r="E327" s="1"/>
      <c r="F327" s="9" t="s">
        <v>1399</v>
      </c>
      <c r="G327" s="1" t="s">
        <v>38</v>
      </c>
      <c r="H3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7" s="11">
        <f>0</f>
        <v>0</v>
      </c>
      <c r="J327" s="1">
        <f>0</f>
        <v>0</v>
      </c>
      <c r="K327" s="1"/>
      <c r="L327" s="1">
        <v>0</v>
      </c>
      <c r="M327" s="1">
        <f>0</f>
        <v>0</v>
      </c>
      <c r="N327" s="1">
        <f>0</f>
        <v>0</v>
      </c>
      <c r="O327" s="1">
        <f>0</f>
        <v>0</v>
      </c>
      <c r="P327" s="1"/>
      <c r="Q327" s="1">
        <v>0</v>
      </c>
      <c r="R327" s="1">
        <v>0</v>
      </c>
      <c r="S327" s="1">
        <f>0</f>
        <v>0</v>
      </c>
      <c r="T327" s="1">
        <f>0</f>
        <v>0</v>
      </c>
      <c r="U327" s="1"/>
      <c r="V327" s="1">
        <v>0</v>
      </c>
      <c r="W327" s="1">
        <v>0</v>
      </c>
      <c r="X327" s="1">
        <f>0</f>
        <v>0</v>
      </c>
      <c r="Y327" s="1">
        <f>0</f>
        <v>0</v>
      </c>
      <c r="Z327" s="1">
        <f>0</f>
        <v>0</v>
      </c>
      <c r="AA327" s="1"/>
      <c r="AB327" s="5"/>
      <c r="AC327" s="5"/>
      <c r="AD327" s="1">
        <f>0</f>
        <v>0</v>
      </c>
      <c r="AE327" s="1">
        <f>0</f>
        <v>0</v>
      </c>
      <c r="AF327" s="1">
        <f>0</f>
        <v>0</v>
      </c>
      <c r="AG327" s="1">
        <f>0</f>
        <v>0</v>
      </c>
      <c r="AH327" s="1">
        <f>0</f>
        <v>0</v>
      </c>
      <c r="AI327" s="1">
        <f>0</f>
        <v>0</v>
      </c>
      <c r="AJ327" s="1"/>
      <c r="AK327" s="1"/>
      <c r="AL327" s="1"/>
      <c r="AM327" s="1"/>
      <c r="AN327" s="1"/>
      <c r="AO327" s="1"/>
      <c r="AP327" s="1"/>
      <c r="AQ327" s="1"/>
      <c r="AR327" s="1"/>
      <c r="AS327" s="1"/>
      <c r="AT327" s="1"/>
      <c r="AU327" s="1"/>
      <c r="AV327" s="1"/>
      <c r="AW327" s="1"/>
      <c r="AX327" s="1"/>
      <c r="AY327" s="1"/>
      <c r="AZ327" s="1"/>
    </row>
    <row r="328" spans="1:52" ht="15" customHeight="1" x14ac:dyDescent="0.35">
      <c r="A328" s="1" t="s">
        <v>1400</v>
      </c>
      <c r="B328" s="1" t="s">
        <v>60</v>
      </c>
      <c r="C328" s="1" t="s">
        <v>640</v>
      </c>
      <c r="D328" s="1"/>
      <c r="E328" s="1"/>
      <c r="F328" s="9" t="s">
        <v>1401</v>
      </c>
      <c r="G328" s="1" t="s">
        <v>38</v>
      </c>
      <c r="H3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28" s="11">
        <f>0</f>
        <v>0</v>
      </c>
      <c r="J328" s="1">
        <f>0</f>
        <v>0</v>
      </c>
      <c r="K328" s="1"/>
      <c r="L328" s="1">
        <v>0</v>
      </c>
      <c r="M328" s="1">
        <f>0</f>
        <v>0</v>
      </c>
      <c r="N328" s="1">
        <f>0</f>
        <v>0</v>
      </c>
      <c r="O328" s="1">
        <f>0</f>
        <v>0</v>
      </c>
      <c r="P328" s="1"/>
      <c r="Q328" s="1">
        <v>0</v>
      </c>
      <c r="R328" s="1">
        <v>0</v>
      </c>
      <c r="S328" s="1">
        <f>0</f>
        <v>0</v>
      </c>
      <c r="T328" s="1">
        <f>0</f>
        <v>0</v>
      </c>
      <c r="U328" s="1"/>
      <c r="V328" s="1">
        <v>0</v>
      </c>
      <c r="W328" s="1">
        <v>0</v>
      </c>
      <c r="X328" s="1">
        <f>0</f>
        <v>0</v>
      </c>
      <c r="Y328" s="1">
        <f>0</f>
        <v>0</v>
      </c>
      <c r="Z328" s="1">
        <f>0</f>
        <v>0</v>
      </c>
      <c r="AA328" s="1"/>
      <c r="AB328" s="5"/>
      <c r="AC328" s="5"/>
      <c r="AD328" s="1">
        <f>0</f>
        <v>0</v>
      </c>
      <c r="AE328" s="1">
        <f>0</f>
        <v>0</v>
      </c>
      <c r="AF328" s="1">
        <f>0</f>
        <v>0</v>
      </c>
      <c r="AG328" s="1">
        <f>0</f>
        <v>0</v>
      </c>
      <c r="AH328" s="1">
        <f>0</f>
        <v>0</v>
      </c>
      <c r="AI328" s="1">
        <f>0</f>
        <v>0</v>
      </c>
      <c r="AJ328" s="1"/>
      <c r="AK328" s="1"/>
      <c r="AL328" s="1"/>
      <c r="AM328" s="1"/>
      <c r="AN328" s="1"/>
      <c r="AO328" s="1"/>
      <c r="AP328" s="1"/>
      <c r="AQ328" s="1"/>
      <c r="AR328" s="1"/>
      <c r="AS328" s="1"/>
      <c r="AT328" s="1"/>
      <c r="AU328" s="1"/>
      <c r="AV328" s="1"/>
      <c r="AW328" s="1"/>
      <c r="AX328" s="1"/>
      <c r="AY328" s="1"/>
      <c r="AZ328" s="1"/>
    </row>
    <row r="329" spans="1:52" ht="15" customHeight="1" x14ac:dyDescent="0.35">
      <c r="A329" s="1" t="s">
        <v>1402</v>
      </c>
      <c r="B329" s="1" t="s">
        <v>61</v>
      </c>
      <c r="C329" s="1" t="s">
        <v>816</v>
      </c>
      <c r="D329" s="1" t="s">
        <v>1403</v>
      </c>
      <c r="E329" s="1"/>
      <c r="F329" s="9" t="s">
        <v>1404</v>
      </c>
      <c r="G329" s="1" t="s">
        <v>38</v>
      </c>
      <c r="H3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29" s="11" t="e">
        <f>ABS(NETWORKDAYS.INTL("05/06/24", "05/24/24", 1, {"01/01/2024","01/15/2024","02/19/2024","05/27/2024","07/04/2024","09/02/2024","10/14/2024","11/11/2024","11/28/2024","12/25/2024","12/25/2024","12/26/2024","12/27/2024","12/28/2024","12/29/2024","12/30/2024","31/25/2024","01/01/2024","01/02/2024","01/03/2024","01/04/2024","01/05/2024"}))</f>
        <v>#VALUE!</v>
      </c>
      <c r="J329" s="1">
        <f>0</f>
        <v>0</v>
      </c>
      <c r="K329" s="1"/>
      <c r="L329" s="1">
        <v>0</v>
      </c>
      <c r="M329" s="1">
        <f>0</f>
        <v>0</v>
      </c>
      <c r="N329" s="1">
        <f>0</f>
        <v>0</v>
      </c>
      <c r="O329" s="1">
        <f>0</f>
        <v>0</v>
      </c>
      <c r="P329" s="1"/>
      <c r="Q329" s="1">
        <v>0</v>
      </c>
      <c r="R329" s="1">
        <v>0</v>
      </c>
      <c r="S329" s="1">
        <f>0</f>
        <v>0</v>
      </c>
      <c r="T329" s="1">
        <f>0</f>
        <v>0</v>
      </c>
      <c r="U329" s="1"/>
      <c r="V329" s="1">
        <v>0</v>
      </c>
      <c r="W329" s="1">
        <v>0</v>
      </c>
      <c r="X329" s="1">
        <f>0</f>
        <v>0</v>
      </c>
      <c r="Y329" s="1">
        <f>0</f>
        <v>0</v>
      </c>
      <c r="Z329" s="1">
        <f>0</f>
        <v>0</v>
      </c>
      <c r="AA329" s="1"/>
      <c r="AB329" s="5"/>
      <c r="AC329" s="5"/>
      <c r="AD329" s="1">
        <f>0</f>
        <v>0</v>
      </c>
      <c r="AE329" s="1">
        <f>0</f>
        <v>0</v>
      </c>
      <c r="AF329" s="1">
        <f>0</f>
        <v>0</v>
      </c>
      <c r="AG329" s="1">
        <f>0</f>
        <v>0</v>
      </c>
      <c r="AH329" s="1">
        <f>0</f>
        <v>0</v>
      </c>
      <c r="AI329" s="1">
        <f>0</f>
        <v>0</v>
      </c>
      <c r="AJ329" s="1"/>
      <c r="AK329" s="1"/>
      <c r="AL329" s="1"/>
      <c r="AM329" s="1"/>
      <c r="AN329" s="1"/>
      <c r="AO329" s="1"/>
      <c r="AP329" s="1"/>
      <c r="AQ329" s="1"/>
      <c r="AR329" s="1"/>
      <c r="AS329" s="1"/>
      <c r="AT329" s="1"/>
      <c r="AU329" s="1"/>
      <c r="AV329" s="1"/>
      <c r="AW329" s="1"/>
      <c r="AX329" s="1"/>
      <c r="AY329" s="1"/>
      <c r="AZ329" s="1"/>
    </row>
    <row r="330" spans="1:52" ht="15" customHeight="1" x14ac:dyDescent="0.35">
      <c r="A330" s="1" t="s">
        <v>1405</v>
      </c>
      <c r="B330" s="1" t="s">
        <v>62</v>
      </c>
      <c r="C330" s="1" t="s">
        <v>816</v>
      </c>
      <c r="D330" s="1" t="s">
        <v>1406</v>
      </c>
      <c r="E330" s="1" t="s">
        <v>1407</v>
      </c>
      <c r="F330" s="9" t="s">
        <v>1408</v>
      </c>
      <c r="G330" s="1" t="s">
        <v>38</v>
      </c>
      <c r="H3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30" s="11" t="e">
        <f>ABS(NETWORKDAYS.INTL("04/29/24", "05/07/24", 1, {"01/01/2024","01/15/2024","02/19/2024","05/27/2024","07/04/2024","09/02/2024","10/14/2024","11/11/2024","11/28/2024","12/25/2024","12/25/2024","12/26/2024","12/27/2024","12/28/2024","12/29/2024","12/30/2024","31/25/2024","01/01/2024","01/02/2024","01/03/2024","01/04/2024","01/05/2024"}))</f>
        <v>#VALUE!</v>
      </c>
      <c r="J330" s="1">
        <f>0</f>
        <v>0</v>
      </c>
      <c r="K330" s="1"/>
      <c r="L330" s="1">
        <v>0</v>
      </c>
      <c r="M330" s="1">
        <f>0</f>
        <v>0</v>
      </c>
      <c r="N330" s="1">
        <f>0</f>
        <v>0</v>
      </c>
      <c r="O330" s="1">
        <f>0</f>
        <v>0</v>
      </c>
      <c r="P330" s="1"/>
      <c r="Q330" s="1">
        <v>0</v>
      </c>
      <c r="R330" s="1">
        <v>0</v>
      </c>
      <c r="S330" s="1">
        <f>0</f>
        <v>0</v>
      </c>
      <c r="T330" s="1">
        <f>0</f>
        <v>0</v>
      </c>
      <c r="U330" s="1"/>
      <c r="V330" s="1">
        <v>0</v>
      </c>
      <c r="W330" s="1">
        <v>0</v>
      </c>
      <c r="X330" s="1">
        <f>0</f>
        <v>0</v>
      </c>
      <c r="Y330" s="1">
        <f>0</f>
        <v>0</v>
      </c>
      <c r="Z330" s="1">
        <f>0</f>
        <v>0</v>
      </c>
      <c r="AA330" s="1"/>
      <c r="AB330" s="5"/>
      <c r="AC330" s="5"/>
      <c r="AD330" s="1">
        <f>0</f>
        <v>0</v>
      </c>
      <c r="AE330" s="1">
        <f>0</f>
        <v>0</v>
      </c>
      <c r="AF330" s="1">
        <f>0</f>
        <v>0</v>
      </c>
      <c r="AG330" s="1">
        <f>0</f>
        <v>0</v>
      </c>
      <c r="AH330" s="1">
        <f>0</f>
        <v>0</v>
      </c>
      <c r="AI330" s="1">
        <f>0</f>
        <v>0</v>
      </c>
      <c r="AJ330" s="1"/>
      <c r="AK330" s="1"/>
      <c r="AL330" s="1"/>
      <c r="AM330" s="1"/>
      <c r="AN330" s="1"/>
      <c r="AO330" s="1"/>
      <c r="AP330" s="1"/>
      <c r="AQ330" s="1"/>
      <c r="AR330" s="1"/>
      <c r="AS330" s="1"/>
      <c r="AT330" s="1"/>
      <c r="AU330" s="1"/>
      <c r="AV330" s="1"/>
      <c r="AW330" s="1"/>
      <c r="AX330" s="1"/>
      <c r="AY330" s="1"/>
      <c r="AZ330" s="1" t="b">
        <v>1</v>
      </c>
    </row>
    <row r="331" spans="1:52" ht="15" customHeight="1" x14ac:dyDescent="0.35">
      <c r="A331" s="1" t="s">
        <v>1409</v>
      </c>
      <c r="B331" s="1" t="s">
        <v>64</v>
      </c>
      <c r="C331" s="1" t="s">
        <v>612</v>
      </c>
      <c r="D331" s="1" t="s">
        <v>1410</v>
      </c>
      <c r="E331" s="1" t="s">
        <v>1411</v>
      </c>
      <c r="F331" s="9" t="s">
        <v>1412</v>
      </c>
      <c r="G331" s="1" t="s">
        <v>38</v>
      </c>
      <c r="H3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331" s="11" t="e">
        <f>ABS(NETWORKDAYS.INTL("05/29/24", "05/29/24", 1, {"01/01/2024","01/15/2024","02/19/2024","05/27/2024","07/04/2024","09/02/2024","10/14/2024","11/11/2024","11/28/2024","12/25/2024","12/25/2024","12/26/2024","12/27/2024","12/28/2024","12/29/2024","12/30/2024","31/25/2024","01/01/2024","01/02/2024","01/03/2024","01/04/2024","01/05/2024"}))</f>
        <v>#VALUE!</v>
      </c>
      <c r="J331" s="1">
        <f>0</f>
        <v>0</v>
      </c>
      <c r="K331" s="1"/>
      <c r="L331" s="1">
        <v>1</v>
      </c>
      <c r="M331" s="1" t="e">
        <f>ABS(NETWORKDAYS.INTL("06/19/24", "06/19/24", 1, {"01/01/2024","01/15/2024","02/19/2024","05/27/2024","07/04/2024","09/02/2024","10/14/2024","11/11/2024","11/28/2024","12/25/2024","12/25/2024","12/26/2024","12/27/2024","12/28/2024","12/29/2024","12/30/2024","31/25/2024","01/01/2024","01/02/2024","01/03/2024","01/04/2024","01/05/2024"}))</f>
        <v>#VALUE!</v>
      </c>
      <c r="N331" s="1">
        <f>0</f>
        <v>0</v>
      </c>
      <c r="O331" s="1">
        <f>0</f>
        <v>0</v>
      </c>
      <c r="P331" s="1"/>
      <c r="Q331" s="1">
        <v>0</v>
      </c>
      <c r="R331" s="1">
        <v>0</v>
      </c>
      <c r="S331" s="1">
        <f>0</f>
        <v>0</v>
      </c>
      <c r="T331" s="1">
        <f>0</f>
        <v>0</v>
      </c>
      <c r="U331" s="1"/>
      <c r="V331" s="1">
        <v>2</v>
      </c>
      <c r="W331" s="1">
        <v>1</v>
      </c>
      <c r="X331" s="1" t="e">
        <f>ABS(NETWORKDAYS.INTL("06/19/2024", "06/21/2024", 1, {"01/01/2024","01/15/2024","02/19/2024","05/27/2024","07/04/2024","09/02/2024","10/14/2024","11/11/2024","11/28/2024","12/25/2024","12/25/2024","12/26/2024","12/27/2024","12/28/2024","12/29/2024","12/30/2024","31/25/2024","01/01/2024","01/02/2024","01/03/2024","01/04/2024","01/05/2024"}))</f>
        <v>#VALUE!</v>
      </c>
      <c r="Y331" s="1" t="e">
        <f>ABS(NETWORKDAYS.INTL("07/08/2024", "07/18/24", 1, {"01/01/2024","01/15/2024","02/19/2024","05/27/2024","07/04/2024","09/02/2024","10/14/2024","11/11/2024","11/28/2024","12/25/2024","12/25/2024","12/26/2024","12/27/2024","12/28/2024","12/29/2024","12/30/2024","31/25/2024","01/01/2024","01/02/2024","01/03/2024","01/04/2024","01/05/2024"}))</f>
        <v>#VALUE!</v>
      </c>
      <c r="Z331" s="1">
        <f>0</f>
        <v>0</v>
      </c>
      <c r="AA331" s="1"/>
      <c r="AB331" s="5"/>
      <c r="AC331" s="5"/>
      <c r="AD331" s="1" t="e">
        <f>ABS(NETWORKDAYS.INTL("06/19/24", "05/29/24", 1, {"01/01/2024","01/15/2024","02/19/2024","05/27/2024","07/04/2024","09/02/2024","10/14/2024","11/11/2024","11/28/2024","12/25/2024","12/25/2024","12/26/2024","12/27/2024","12/28/2024","12/29/2024","12/30/2024","31/25/2024","01/01/2024","01/02/2024","01/03/2024","01/04/2024","01/05/2024"}))</f>
        <v>#VALUE!</v>
      </c>
      <c r="AE331" s="1">
        <f>0</f>
        <v>0</v>
      </c>
      <c r="AF331" s="1">
        <f>0</f>
        <v>0</v>
      </c>
      <c r="AG331" s="1" t="e">
        <f>ABS(NETWORKDAYS.INTL("06/19/2024", "08/05/24", 1, {"01/01/2024","01/15/2024","02/19/2024","05/27/2024","07/04/2024","09/02/2024","10/14/2024","11/11/2024","11/28/2024","12/25/2024","12/25/2024","12/26/2024","12/27/2024","12/28/2024","12/29/2024","12/30/2024","31/25/2024","01/01/2024","01/02/2024","01/03/2024","01/04/2024","01/05/2024"}))</f>
        <v>#VALUE!</v>
      </c>
      <c r="AH331" s="1" t="e">
        <f>ABS(NETWORKDAYS.INTL("06/19/2024", "06/19/2024", 1, {"01/01/2024","01/15/2024","02/19/2024","05/27/2024","07/04/2024","09/02/2024","10/14/2024","11/11/2024","11/28/2024","12/25/2024","12/25/2024","12/26/2024","12/27/2024","12/28/2024","12/29/2024","12/30/2024","31/25/2024","01/01/2024","01/02/2024","01/03/2024","01/04/2024","01/05/2024"}))</f>
        <v>#VALUE!</v>
      </c>
      <c r="AI331" s="1">
        <f>0</f>
        <v>0</v>
      </c>
      <c r="AJ331" s="1" t="b">
        <v>1</v>
      </c>
      <c r="AK331" s="1"/>
      <c r="AL331" s="1"/>
      <c r="AM331" s="1"/>
      <c r="AN331" s="1"/>
      <c r="AO331" s="1"/>
      <c r="AP331" s="1" t="b">
        <v>1</v>
      </c>
      <c r="AQ331" s="1"/>
      <c r="AR331" s="1"/>
      <c r="AS331" s="1"/>
      <c r="AT331" s="1"/>
      <c r="AU331" s="1"/>
      <c r="AV331" s="1"/>
      <c r="AW331" s="1"/>
      <c r="AX331" s="1"/>
      <c r="AY331" s="1"/>
      <c r="AZ331" s="1" t="b">
        <v>1</v>
      </c>
    </row>
    <row r="332" spans="1:52" ht="15" customHeight="1" x14ac:dyDescent="0.35">
      <c r="A332" s="1" t="s">
        <v>1413</v>
      </c>
      <c r="B332" s="1" t="s">
        <v>65</v>
      </c>
      <c r="C332" s="1" t="s">
        <v>640</v>
      </c>
      <c r="D332" s="1"/>
      <c r="E332" s="1" t="s">
        <v>1414</v>
      </c>
      <c r="F332" s="9" t="s">
        <v>1415</v>
      </c>
      <c r="G332" s="1" t="s">
        <v>38</v>
      </c>
      <c r="H3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2" s="11">
        <f>0</f>
        <v>0</v>
      </c>
      <c r="J332" s="1">
        <f>0</f>
        <v>0</v>
      </c>
      <c r="K332" s="1"/>
      <c r="L332" s="1">
        <v>0</v>
      </c>
      <c r="M332" s="1">
        <f>0</f>
        <v>0</v>
      </c>
      <c r="N332" s="1">
        <f>0</f>
        <v>0</v>
      </c>
      <c r="O332" s="1">
        <f>0</f>
        <v>0</v>
      </c>
      <c r="P332" s="1"/>
      <c r="Q332" s="1">
        <v>0</v>
      </c>
      <c r="R332" s="1">
        <v>0</v>
      </c>
      <c r="S332" s="1">
        <f>0</f>
        <v>0</v>
      </c>
      <c r="T332" s="1">
        <f>0</f>
        <v>0</v>
      </c>
      <c r="U332" s="1"/>
      <c r="V332" s="1">
        <v>0</v>
      </c>
      <c r="W332" s="1">
        <v>0</v>
      </c>
      <c r="X332" s="1">
        <f>0</f>
        <v>0</v>
      </c>
      <c r="Y332" s="1">
        <f>0</f>
        <v>0</v>
      </c>
      <c r="Z332" s="1">
        <f>0</f>
        <v>0</v>
      </c>
      <c r="AA332" s="1"/>
      <c r="AB332" s="5"/>
      <c r="AC332" s="5"/>
      <c r="AD332" s="1">
        <f>0</f>
        <v>0</v>
      </c>
      <c r="AE332" s="1">
        <f>0</f>
        <v>0</v>
      </c>
      <c r="AF332" s="1">
        <f>0</f>
        <v>0</v>
      </c>
      <c r="AG332" s="1">
        <f>0</f>
        <v>0</v>
      </c>
      <c r="AH332" s="1">
        <f>0</f>
        <v>0</v>
      </c>
      <c r="AI332" s="1">
        <f>0</f>
        <v>0</v>
      </c>
      <c r="AJ332" s="1"/>
      <c r="AK332" s="1"/>
      <c r="AL332" s="1"/>
      <c r="AM332" s="1"/>
      <c r="AN332" s="1"/>
      <c r="AO332" s="1"/>
      <c r="AP332" s="1"/>
      <c r="AQ332" s="1"/>
      <c r="AR332" s="1" t="b">
        <v>1</v>
      </c>
      <c r="AS332" s="1"/>
      <c r="AT332" s="1"/>
      <c r="AU332" s="1"/>
      <c r="AV332" s="1"/>
      <c r="AW332" s="1"/>
      <c r="AX332" s="1"/>
      <c r="AY332" s="1"/>
      <c r="AZ332" s="1"/>
    </row>
    <row r="333" spans="1:52" ht="15" customHeight="1" x14ac:dyDescent="0.35">
      <c r="A333" s="1" t="s">
        <v>1416</v>
      </c>
      <c r="B333" s="1" t="s">
        <v>66</v>
      </c>
      <c r="C333" s="1" t="s">
        <v>640</v>
      </c>
      <c r="D333" s="1"/>
      <c r="E333" s="1" t="s">
        <v>1414</v>
      </c>
      <c r="F333" s="9" t="s">
        <v>1417</v>
      </c>
      <c r="G333" s="1" t="s">
        <v>38</v>
      </c>
      <c r="H3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3" s="11">
        <f>0</f>
        <v>0</v>
      </c>
      <c r="J333" s="1">
        <f>0</f>
        <v>0</v>
      </c>
      <c r="K333" s="1"/>
      <c r="L333" s="1">
        <v>0</v>
      </c>
      <c r="M333" s="1">
        <f>0</f>
        <v>0</v>
      </c>
      <c r="N333" s="1">
        <f>0</f>
        <v>0</v>
      </c>
      <c r="O333" s="1">
        <f>0</f>
        <v>0</v>
      </c>
      <c r="P333" s="1"/>
      <c r="Q333" s="1">
        <v>0</v>
      </c>
      <c r="R333" s="1">
        <v>0</v>
      </c>
      <c r="S333" s="1">
        <f>0</f>
        <v>0</v>
      </c>
      <c r="T333" s="1">
        <f>0</f>
        <v>0</v>
      </c>
      <c r="U333" s="1"/>
      <c r="V333" s="1">
        <v>0</v>
      </c>
      <c r="W333" s="1">
        <v>0</v>
      </c>
      <c r="X333" s="1">
        <f>0</f>
        <v>0</v>
      </c>
      <c r="Y333" s="1">
        <f>0</f>
        <v>0</v>
      </c>
      <c r="Z333" s="1">
        <f>0</f>
        <v>0</v>
      </c>
      <c r="AA333" s="1"/>
      <c r="AB333" s="5"/>
      <c r="AC333" s="5"/>
      <c r="AD333" s="1">
        <f>0</f>
        <v>0</v>
      </c>
      <c r="AE333" s="1">
        <f>0</f>
        <v>0</v>
      </c>
      <c r="AF333" s="1">
        <f>0</f>
        <v>0</v>
      </c>
      <c r="AG333" s="1">
        <f>0</f>
        <v>0</v>
      </c>
      <c r="AH333" s="1">
        <f>0</f>
        <v>0</v>
      </c>
      <c r="AI333" s="1">
        <f>0</f>
        <v>0</v>
      </c>
      <c r="AJ333" s="1"/>
      <c r="AK333" s="1"/>
      <c r="AL333" s="1"/>
      <c r="AM333" s="1"/>
      <c r="AN333" s="1"/>
      <c r="AO333" s="1"/>
      <c r="AP333" s="1"/>
      <c r="AQ333" s="1"/>
      <c r="AR333" s="1" t="b">
        <v>1</v>
      </c>
      <c r="AS333" s="1"/>
      <c r="AT333" s="1"/>
      <c r="AU333" s="1"/>
      <c r="AV333" s="1"/>
      <c r="AW333" s="1"/>
      <c r="AX333" s="1"/>
      <c r="AY333" s="1"/>
      <c r="AZ333" s="1"/>
    </row>
    <row r="334" spans="1:52" ht="15" customHeight="1" x14ac:dyDescent="0.35">
      <c r="A334" s="1" t="s">
        <v>1418</v>
      </c>
      <c r="B334" s="1" t="s">
        <v>67</v>
      </c>
      <c r="C334" s="1" t="s">
        <v>640</v>
      </c>
      <c r="D334" s="1"/>
      <c r="E334" s="1" t="s">
        <v>1414</v>
      </c>
      <c r="F334" s="9" t="s">
        <v>1419</v>
      </c>
      <c r="G334" s="1" t="s">
        <v>38</v>
      </c>
      <c r="H3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4" s="11">
        <f>0</f>
        <v>0</v>
      </c>
      <c r="J334" s="1">
        <f>0</f>
        <v>0</v>
      </c>
      <c r="K334" s="1"/>
      <c r="L334" s="1">
        <v>0</v>
      </c>
      <c r="M334" s="1">
        <f>0</f>
        <v>0</v>
      </c>
      <c r="N334" s="1">
        <f>0</f>
        <v>0</v>
      </c>
      <c r="O334" s="1">
        <f>0</f>
        <v>0</v>
      </c>
      <c r="P334" s="1"/>
      <c r="Q334" s="1">
        <v>0</v>
      </c>
      <c r="R334" s="1">
        <v>0</v>
      </c>
      <c r="S334" s="1">
        <f>0</f>
        <v>0</v>
      </c>
      <c r="T334" s="1">
        <f>0</f>
        <v>0</v>
      </c>
      <c r="U334" s="1"/>
      <c r="V334" s="1">
        <v>0</v>
      </c>
      <c r="W334" s="1">
        <v>0</v>
      </c>
      <c r="X334" s="1">
        <f>0</f>
        <v>0</v>
      </c>
      <c r="Y334" s="1">
        <f>0</f>
        <v>0</v>
      </c>
      <c r="Z334" s="1">
        <f>0</f>
        <v>0</v>
      </c>
      <c r="AA334" s="1"/>
      <c r="AB334" s="5"/>
      <c r="AC334" s="5"/>
      <c r="AD334" s="1">
        <f>0</f>
        <v>0</v>
      </c>
      <c r="AE334" s="1">
        <f>0</f>
        <v>0</v>
      </c>
      <c r="AF334" s="1">
        <f>0</f>
        <v>0</v>
      </c>
      <c r="AG334" s="1">
        <f>0</f>
        <v>0</v>
      </c>
      <c r="AH334" s="1">
        <f>0</f>
        <v>0</v>
      </c>
      <c r="AI334" s="1">
        <f>0</f>
        <v>0</v>
      </c>
      <c r="AJ334" s="1"/>
      <c r="AK334" s="1"/>
      <c r="AL334" s="1"/>
      <c r="AM334" s="1"/>
      <c r="AN334" s="1"/>
      <c r="AO334" s="1"/>
      <c r="AP334" s="1"/>
      <c r="AQ334" s="1"/>
      <c r="AR334" s="1" t="b">
        <v>1</v>
      </c>
      <c r="AS334" s="1"/>
      <c r="AT334" s="1"/>
      <c r="AU334" s="1"/>
      <c r="AV334" s="1"/>
      <c r="AW334" s="1"/>
      <c r="AX334" s="1"/>
      <c r="AY334" s="1"/>
      <c r="AZ334" s="1"/>
    </row>
    <row r="335" spans="1:52" ht="15" customHeight="1" x14ac:dyDescent="0.35">
      <c r="A335" s="1" t="s">
        <v>1420</v>
      </c>
      <c r="B335" s="1" t="s">
        <v>68</v>
      </c>
      <c r="C335" s="1" t="s">
        <v>640</v>
      </c>
      <c r="D335" s="1"/>
      <c r="E335" s="1" t="s">
        <v>1414</v>
      </c>
      <c r="F335" s="9" t="s">
        <v>1421</v>
      </c>
      <c r="G335" s="1" t="s">
        <v>38</v>
      </c>
      <c r="H3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5" s="11">
        <f>0</f>
        <v>0</v>
      </c>
      <c r="J335" s="1">
        <f>0</f>
        <v>0</v>
      </c>
      <c r="K335" s="1"/>
      <c r="L335" s="1">
        <v>0</v>
      </c>
      <c r="M335" s="1">
        <f>0</f>
        <v>0</v>
      </c>
      <c r="N335" s="1">
        <f>0</f>
        <v>0</v>
      </c>
      <c r="O335" s="1">
        <f>0</f>
        <v>0</v>
      </c>
      <c r="P335" s="1"/>
      <c r="Q335" s="1">
        <v>0</v>
      </c>
      <c r="R335" s="1">
        <v>0</v>
      </c>
      <c r="S335" s="1">
        <f>0</f>
        <v>0</v>
      </c>
      <c r="T335" s="1">
        <f>0</f>
        <v>0</v>
      </c>
      <c r="U335" s="1"/>
      <c r="V335" s="1">
        <v>0</v>
      </c>
      <c r="W335" s="1">
        <v>0</v>
      </c>
      <c r="X335" s="1">
        <f>0</f>
        <v>0</v>
      </c>
      <c r="Y335" s="1">
        <f>0</f>
        <v>0</v>
      </c>
      <c r="Z335" s="1">
        <f>0</f>
        <v>0</v>
      </c>
      <c r="AA335" s="1"/>
      <c r="AB335" s="5"/>
      <c r="AC335" s="5"/>
      <c r="AD335" s="1">
        <f>0</f>
        <v>0</v>
      </c>
      <c r="AE335" s="1">
        <f>0</f>
        <v>0</v>
      </c>
      <c r="AF335" s="1">
        <f>0</f>
        <v>0</v>
      </c>
      <c r="AG335" s="1">
        <f>0</f>
        <v>0</v>
      </c>
      <c r="AH335" s="1">
        <f>0</f>
        <v>0</v>
      </c>
      <c r="AI335" s="1">
        <f>0</f>
        <v>0</v>
      </c>
      <c r="AJ335" s="1"/>
      <c r="AK335" s="1"/>
      <c r="AL335" s="1"/>
      <c r="AM335" s="1"/>
      <c r="AN335" s="1"/>
      <c r="AO335" s="1"/>
      <c r="AP335" s="1"/>
      <c r="AQ335" s="1"/>
      <c r="AR335" s="1" t="b">
        <v>1</v>
      </c>
      <c r="AS335" s="1"/>
      <c r="AT335" s="1"/>
      <c r="AU335" s="1"/>
      <c r="AV335" s="1"/>
      <c r="AW335" s="1"/>
      <c r="AX335" s="1"/>
      <c r="AY335" s="1"/>
      <c r="AZ335" s="1"/>
    </row>
    <row r="336" spans="1:52" ht="15" customHeight="1" x14ac:dyDescent="0.35">
      <c r="A336" s="1" t="s">
        <v>1422</v>
      </c>
      <c r="B336" s="1" t="s">
        <v>69</v>
      </c>
      <c r="C336" s="1" t="s">
        <v>640</v>
      </c>
      <c r="D336" s="1"/>
      <c r="E336" s="1" t="s">
        <v>1414</v>
      </c>
      <c r="F336" s="9" t="s">
        <v>1423</v>
      </c>
      <c r="G336" s="1" t="s">
        <v>38</v>
      </c>
      <c r="H3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6" s="11">
        <f>0</f>
        <v>0</v>
      </c>
      <c r="J336" s="1">
        <f>0</f>
        <v>0</v>
      </c>
      <c r="K336" s="1"/>
      <c r="L336" s="1">
        <v>0</v>
      </c>
      <c r="M336" s="1">
        <f>0</f>
        <v>0</v>
      </c>
      <c r="N336" s="1">
        <f>0</f>
        <v>0</v>
      </c>
      <c r="O336" s="1">
        <f>0</f>
        <v>0</v>
      </c>
      <c r="P336" s="1"/>
      <c r="Q336" s="1">
        <v>0</v>
      </c>
      <c r="R336" s="1">
        <v>0</v>
      </c>
      <c r="S336" s="1">
        <f>0</f>
        <v>0</v>
      </c>
      <c r="T336" s="1">
        <f>0</f>
        <v>0</v>
      </c>
      <c r="U336" s="1"/>
      <c r="V336" s="1">
        <v>0</v>
      </c>
      <c r="W336" s="1">
        <v>0</v>
      </c>
      <c r="X336" s="1">
        <f>0</f>
        <v>0</v>
      </c>
      <c r="Y336" s="1">
        <f>0</f>
        <v>0</v>
      </c>
      <c r="Z336" s="1">
        <f>0</f>
        <v>0</v>
      </c>
      <c r="AA336" s="1"/>
      <c r="AB336" s="5"/>
      <c r="AC336" s="5"/>
      <c r="AD336" s="1">
        <f>0</f>
        <v>0</v>
      </c>
      <c r="AE336" s="1">
        <f>0</f>
        <v>0</v>
      </c>
      <c r="AF336" s="1">
        <f>0</f>
        <v>0</v>
      </c>
      <c r="AG336" s="1">
        <f>0</f>
        <v>0</v>
      </c>
      <c r="AH336" s="1">
        <f>0</f>
        <v>0</v>
      </c>
      <c r="AI336" s="1">
        <f>0</f>
        <v>0</v>
      </c>
      <c r="AJ336" s="1"/>
      <c r="AK336" s="1"/>
      <c r="AL336" s="1"/>
      <c r="AM336" s="1"/>
      <c r="AN336" s="1"/>
      <c r="AO336" s="1"/>
      <c r="AP336" s="1"/>
      <c r="AQ336" s="1"/>
      <c r="AR336" s="1" t="b">
        <v>1</v>
      </c>
      <c r="AS336" s="1"/>
      <c r="AT336" s="1"/>
      <c r="AU336" s="1"/>
      <c r="AV336" s="1"/>
      <c r="AW336" s="1"/>
      <c r="AX336" s="1"/>
      <c r="AY336" s="1"/>
      <c r="AZ336" s="1"/>
    </row>
    <row r="337" spans="1:52" ht="15" customHeight="1" x14ac:dyDescent="0.35">
      <c r="A337" s="1" t="s">
        <v>1424</v>
      </c>
      <c r="B337" s="1" t="s">
        <v>70</v>
      </c>
      <c r="C337" s="1" t="s">
        <v>640</v>
      </c>
      <c r="D337" s="1"/>
      <c r="E337" s="1" t="s">
        <v>1414</v>
      </c>
      <c r="F337" s="9" t="s">
        <v>1425</v>
      </c>
      <c r="G337" s="1" t="s">
        <v>38</v>
      </c>
      <c r="H3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7" s="11">
        <f>0</f>
        <v>0</v>
      </c>
      <c r="J337" s="1">
        <f>0</f>
        <v>0</v>
      </c>
      <c r="K337" s="1"/>
      <c r="L337" s="1">
        <v>0</v>
      </c>
      <c r="M337" s="1">
        <f>0</f>
        <v>0</v>
      </c>
      <c r="N337" s="1">
        <f>0</f>
        <v>0</v>
      </c>
      <c r="O337" s="1">
        <f>0</f>
        <v>0</v>
      </c>
      <c r="P337" s="1"/>
      <c r="Q337" s="1">
        <v>0</v>
      </c>
      <c r="R337" s="1">
        <v>0</v>
      </c>
      <c r="S337" s="1">
        <f>0</f>
        <v>0</v>
      </c>
      <c r="T337" s="1">
        <f>0</f>
        <v>0</v>
      </c>
      <c r="U337" s="1"/>
      <c r="V337" s="1">
        <v>0</v>
      </c>
      <c r="W337" s="1">
        <v>0</v>
      </c>
      <c r="X337" s="1">
        <f>0</f>
        <v>0</v>
      </c>
      <c r="Y337" s="1">
        <f>0</f>
        <v>0</v>
      </c>
      <c r="Z337" s="1">
        <f>0</f>
        <v>0</v>
      </c>
      <c r="AA337" s="1"/>
      <c r="AB337" s="5"/>
      <c r="AC337" s="5"/>
      <c r="AD337" s="1">
        <f>0</f>
        <v>0</v>
      </c>
      <c r="AE337" s="1">
        <f>0</f>
        <v>0</v>
      </c>
      <c r="AF337" s="1">
        <f>0</f>
        <v>0</v>
      </c>
      <c r="AG337" s="1">
        <f>0</f>
        <v>0</v>
      </c>
      <c r="AH337" s="1">
        <f>0</f>
        <v>0</v>
      </c>
      <c r="AI337" s="1">
        <f>0</f>
        <v>0</v>
      </c>
      <c r="AJ337" s="1"/>
      <c r="AK337" s="1"/>
      <c r="AL337" s="1"/>
      <c r="AM337" s="1"/>
      <c r="AN337" s="1"/>
      <c r="AO337" s="1"/>
      <c r="AP337" s="1"/>
      <c r="AQ337" s="1"/>
      <c r="AR337" s="1" t="b">
        <v>1</v>
      </c>
      <c r="AS337" s="1"/>
      <c r="AT337" s="1"/>
      <c r="AU337" s="1"/>
      <c r="AV337" s="1"/>
      <c r="AW337" s="1"/>
      <c r="AX337" s="1"/>
      <c r="AY337" s="1"/>
      <c r="AZ337" s="1"/>
    </row>
    <row r="338" spans="1:52" ht="15" customHeight="1" x14ac:dyDescent="0.35">
      <c r="A338" s="1" t="s">
        <v>1426</v>
      </c>
      <c r="B338" s="1" t="s">
        <v>71</v>
      </c>
      <c r="C338" s="1" t="s">
        <v>640</v>
      </c>
      <c r="D338" s="1"/>
      <c r="E338" s="1" t="s">
        <v>1414</v>
      </c>
      <c r="F338" s="9" t="s">
        <v>1427</v>
      </c>
      <c r="G338" s="1" t="s">
        <v>38</v>
      </c>
      <c r="H3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8" s="11">
        <f>0</f>
        <v>0</v>
      </c>
      <c r="J338" s="1">
        <f>0</f>
        <v>0</v>
      </c>
      <c r="K338" s="1"/>
      <c r="L338" s="1">
        <v>0</v>
      </c>
      <c r="M338" s="1">
        <f>0</f>
        <v>0</v>
      </c>
      <c r="N338" s="1">
        <f>0</f>
        <v>0</v>
      </c>
      <c r="O338" s="1">
        <f>0</f>
        <v>0</v>
      </c>
      <c r="P338" s="1"/>
      <c r="Q338" s="1">
        <v>0</v>
      </c>
      <c r="R338" s="1">
        <v>0</v>
      </c>
      <c r="S338" s="1">
        <f>0</f>
        <v>0</v>
      </c>
      <c r="T338" s="1">
        <f>0</f>
        <v>0</v>
      </c>
      <c r="U338" s="1"/>
      <c r="V338" s="1">
        <v>0</v>
      </c>
      <c r="W338" s="1">
        <v>0</v>
      </c>
      <c r="X338" s="1">
        <f>0</f>
        <v>0</v>
      </c>
      <c r="Y338" s="1">
        <f>0</f>
        <v>0</v>
      </c>
      <c r="Z338" s="1">
        <f>0</f>
        <v>0</v>
      </c>
      <c r="AA338" s="1"/>
      <c r="AB338" s="5"/>
      <c r="AC338" s="5"/>
      <c r="AD338" s="1">
        <f>0</f>
        <v>0</v>
      </c>
      <c r="AE338" s="1">
        <f>0</f>
        <v>0</v>
      </c>
      <c r="AF338" s="1">
        <f>0</f>
        <v>0</v>
      </c>
      <c r="AG338" s="1">
        <f>0</f>
        <v>0</v>
      </c>
      <c r="AH338" s="1">
        <f>0</f>
        <v>0</v>
      </c>
      <c r="AI338" s="1">
        <f>0</f>
        <v>0</v>
      </c>
      <c r="AJ338" s="1"/>
      <c r="AK338" s="1"/>
      <c r="AL338" s="1"/>
      <c r="AM338" s="1"/>
      <c r="AN338" s="1"/>
      <c r="AO338" s="1"/>
      <c r="AP338" s="1"/>
      <c r="AQ338" s="1"/>
      <c r="AR338" s="1" t="b">
        <v>1</v>
      </c>
      <c r="AS338" s="1"/>
      <c r="AT338" s="1"/>
      <c r="AU338" s="1"/>
      <c r="AV338" s="1"/>
      <c r="AW338" s="1"/>
      <c r="AX338" s="1"/>
      <c r="AY338" s="1"/>
      <c r="AZ338" s="1"/>
    </row>
    <row r="339" spans="1:52" ht="15" customHeight="1" x14ac:dyDescent="0.35">
      <c r="A339" s="1" t="s">
        <v>1428</v>
      </c>
      <c r="B339" s="1" t="s">
        <v>72</v>
      </c>
      <c r="C339" s="1" t="s">
        <v>640</v>
      </c>
      <c r="D339" s="1"/>
      <c r="E339" s="1" t="s">
        <v>1414</v>
      </c>
      <c r="F339" s="9" t="s">
        <v>1429</v>
      </c>
      <c r="G339" s="1" t="s">
        <v>38</v>
      </c>
      <c r="H3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39" s="11">
        <f>0</f>
        <v>0</v>
      </c>
      <c r="J339" s="1">
        <f>0</f>
        <v>0</v>
      </c>
      <c r="K339" s="1"/>
      <c r="L339" s="1">
        <v>0</v>
      </c>
      <c r="M339" s="1">
        <f>0</f>
        <v>0</v>
      </c>
      <c r="N339" s="1">
        <f>0</f>
        <v>0</v>
      </c>
      <c r="O339" s="1">
        <f>0</f>
        <v>0</v>
      </c>
      <c r="P339" s="1"/>
      <c r="Q339" s="1">
        <v>0</v>
      </c>
      <c r="R339" s="1">
        <v>0</v>
      </c>
      <c r="S339" s="1">
        <f>0</f>
        <v>0</v>
      </c>
      <c r="T339" s="1">
        <f>0</f>
        <v>0</v>
      </c>
      <c r="U339" s="1"/>
      <c r="V339" s="1">
        <v>0</v>
      </c>
      <c r="W339" s="1">
        <v>0</v>
      </c>
      <c r="X339" s="1">
        <f>0</f>
        <v>0</v>
      </c>
      <c r="Y339" s="1">
        <f>0</f>
        <v>0</v>
      </c>
      <c r="Z339" s="1">
        <f>0</f>
        <v>0</v>
      </c>
      <c r="AA339" s="1"/>
      <c r="AB339" s="5"/>
      <c r="AC339" s="5"/>
      <c r="AD339" s="1">
        <f>0</f>
        <v>0</v>
      </c>
      <c r="AE339" s="1">
        <f>0</f>
        <v>0</v>
      </c>
      <c r="AF339" s="1">
        <f>0</f>
        <v>0</v>
      </c>
      <c r="AG339" s="1">
        <f>0</f>
        <v>0</v>
      </c>
      <c r="AH339" s="1">
        <f>0</f>
        <v>0</v>
      </c>
      <c r="AI339" s="1">
        <f>0</f>
        <v>0</v>
      </c>
      <c r="AJ339" s="1"/>
      <c r="AK339" s="1"/>
      <c r="AL339" s="1"/>
      <c r="AM339" s="1"/>
      <c r="AN339" s="1"/>
      <c r="AO339" s="1"/>
      <c r="AP339" s="1"/>
      <c r="AQ339" s="1"/>
      <c r="AR339" s="1" t="b">
        <v>1</v>
      </c>
      <c r="AS339" s="1"/>
      <c r="AT339" s="1"/>
      <c r="AU339" s="1"/>
      <c r="AV339" s="1"/>
      <c r="AW339" s="1"/>
      <c r="AX339" s="1"/>
      <c r="AY339" s="1"/>
      <c r="AZ339" s="1"/>
    </row>
    <row r="340" spans="1:52" ht="15" customHeight="1" x14ac:dyDescent="0.35">
      <c r="A340" s="1" t="s">
        <v>1430</v>
      </c>
      <c r="B340" s="1" t="s">
        <v>73</v>
      </c>
      <c r="C340" s="1" t="s">
        <v>640</v>
      </c>
      <c r="D340" s="1"/>
      <c r="E340" s="1" t="s">
        <v>1414</v>
      </c>
      <c r="F340" s="9" t="s">
        <v>1431</v>
      </c>
      <c r="G340" s="1" t="s">
        <v>38</v>
      </c>
      <c r="H3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0" s="11">
        <f>0</f>
        <v>0</v>
      </c>
      <c r="J340" s="1">
        <f>0</f>
        <v>0</v>
      </c>
      <c r="K340" s="1"/>
      <c r="L340" s="1">
        <v>0</v>
      </c>
      <c r="M340" s="1">
        <f>0</f>
        <v>0</v>
      </c>
      <c r="N340" s="1">
        <f>0</f>
        <v>0</v>
      </c>
      <c r="O340" s="1">
        <f>0</f>
        <v>0</v>
      </c>
      <c r="P340" s="1"/>
      <c r="Q340" s="1">
        <v>0</v>
      </c>
      <c r="R340" s="1">
        <v>0</v>
      </c>
      <c r="S340" s="1">
        <f>0</f>
        <v>0</v>
      </c>
      <c r="T340" s="1">
        <f>0</f>
        <v>0</v>
      </c>
      <c r="U340" s="1"/>
      <c r="V340" s="1">
        <v>0</v>
      </c>
      <c r="W340" s="1">
        <v>0</v>
      </c>
      <c r="X340" s="1">
        <f>0</f>
        <v>0</v>
      </c>
      <c r="Y340" s="1">
        <f>0</f>
        <v>0</v>
      </c>
      <c r="Z340" s="1">
        <f>0</f>
        <v>0</v>
      </c>
      <c r="AA340" s="1"/>
      <c r="AB340" s="5"/>
      <c r="AC340" s="5"/>
      <c r="AD340" s="1">
        <f>0</f>
        <v>0</v>
      </c>
      <c r="AE340" s="1">
        <f>0</f>
        <v>0</v>
      </c>
      <c r="AF340" s="1">
        <f>0</f>
        <v>0</v>
      </c>
      <c r="AG340" s="1">
        <f>0</f>
        <v>0</v>
      </c>
      <c r="AH340" s="1">
        <f>0</f>
        <v>0</v>
      </c>
      <c r="AI340" s="1">
        <f>0</f>
        <v>0</v>
      </c>
      <c r="AJ340" s="1"/>
      <c r="AK340" s="1"/>
      <c r="AL340" s="1"/>
      <c r="AM340" s="1"/>
      <c r="AN340" s="1"/>
      <c r="AO340" s="1"/>
      <c r="AP340" s="1"/>
      <c r="AQ340" s="1"/>
      <c r="AR340" s="1" t="b">
        <v>1</v>
      </c>
      <c r="AS340" s="1"/>
      <c r="AT340" s="1"/>
      <c r="AU340" s="1"/>
      <c r="AV340" s="1"/>
      <c r="AW340" s="1"/>
      <c r="AX340" s="1"/>
      <c r="AY340" s="1"/>
      <c r="AZ340" s="1"/>
    </row>
    <row r="341" spans="1:52" ht="15" customHeight="1" x14ac:dyDescent="0.35">
      <c r="A341" s="1" t="s">
        <v>1432</v>
      </c>
      <c r="B341" s="1" t="s">
        <v>74</v>
      </c>
      <c r="C341" s="1" t="s">
        <v>640</v>
      </c>
      <c r="D341" s="1"/>
      <c r="E341" s="1" t="s">
        <v>1414</v>
      </c>
      <c r="F341" s="9" t="s">
        <v>1433</v>
      </c>
      <c r="G341" s="1" t="s">
        <v>38</v>
      </c>
      <c r="H3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1" s="11">
        <f>0</f>
        <v>0</v>
      </c>
      <c r="J341" s="1">
        <f>0</f>
        <v>0</v>
      </c>
      <c r="K341" s="1"/>
      <c r="L341" s="1">
        <v>0</v>
      </c>
      <c r="M341" s="1">
        <f>0</f>
        <v>0</v>
      </c>
      <c r="N341" s="1">
        <f>0</f>
        <v>0</v>
      </c>
      <c r="O341" s="1">
        <f>0</f>
        <v>0</v>
      </c>
      <c r="P341" s="1"/>
      <c r="Q341" s="1">
        <v>0</v>
      </c>
      <c r="R341" s="1">
        <v>0</v>
      </c>
      <c r="S341" s="1">
        <f>0</f>
        <v>0</v>
      </c>
      <c r="T341" s="1">
        <f>0</f>
        <v>0</v>
      </c>
      <c r="U341" s="1"/>
      <c r="V341" s="1">
        <v>0</v>
      </c>
      <c r="W341" s="1">
        <v>0</v>
      </c>
      <c r="X341" s="1">
        <f>0</f>
        <v>0</v>
      </c>
      <c r="Y341" s="1">
        <f>0</f>
        <v>0</v>
      </c>
      <c r="Z341" s="1">
        <f>0</f>
        <v>0</v>
      </c>
      <c r="AA341" s="1"/>
      <c r="AB341" s="5"/>
      <c r="AC341" s="5"/>
      <c r="AD341" s="1">
        <f>0</f>
        <v>0</v>
      </c>
      <c r="AE341" s="1">
        <f>0</f>
        <v>0</v>
      </c>
      <c r="AF341" s="1">
        <f>0</f>
        <v>0</v>
      </c>
      <c r="AG341" s="1">
        <f>0</f>
        <v>0</v>
      </c>
      <c r="AH341" s="1">
        <f>0</f>
        <v>0</v>
      </c>
      <c r="AI341" s="1">
        <f>0</f>
        <v>0</v>
      </c>
      <c r="AJ341" s="1"/>
      <c r="AK341" s="1"/>
      <c r="AL341" s="1"/>
      <c r="AM341" s="1"/>
      <c r="AN341" s="1"/>
      <c r="AO341" s="1"/>
      <c r="AP341" s="1"/>
      <c r="AQ341" s="1"/>
      <c r="AR341" s="1" t="b">
        <v>1</v>
      </c>
      <c r="AS341" s="1"/>
      <c r="AT341" s="1"/>
      <c r="AU341" s="1"/>
      <c r="AV341" s="1"/>
      <c r="AW341" s="1"/>
      <c r="AX341" s="1"/>
      <c r="AY341" s="1"/>
      <c r="AZ341" s="1"/>
    </row>
    <row r="342" spans="1:52" ht="15" customHeight="1" x14ac:dyDescent="0.35">
      <c r="A342" s="1" t="s">
        <v>1434</v>
      </c>
      <c r="B342" s="1" t="s">
        <v>75</v>
      </c>
      <c r="C342" s="1" t="s">
        <v>640</v>
      </c>
      <c r="D342" s="1"/>
      <c r="E342" s="1" t="s">
        <v>1414</v>
      </c>
      <c r="F342" s="9" t="s">
        <v>1435</v>
      </c>
      <c r="G342" s="1" t="s">
        <v>38</v>
      </c>
      <c r="H3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2" s="11">
        <f>0</f>
        <v>0</v>
      </c>
      <c r="J342" s="1">
        <f>0</f>
        <v>0</v>
      </c>
      <c r="K342" s="1"/>
      <c r="L342" s="1">
        <v>0</v>
      </c>
      <c r="M342" s="1">
        <f>0</f>
        <v>0</v>
      </c>
      <c r="N342" s="1">
        <f>0</f>
        <v>0</v>
      </c>
      <c r="O342" s="1">
        <f>0</f>
        <v>0</v>
      </c>
      <c r="P342" s="1"/>
      <c r="Q342" s="1">
        <v>0</v>
      </c>
      <c r="R342" s="1">
        <v>0</v>
      </c>
      <c r="S342" s="1">
        <f>0</f>
        <v>0</v>
      </c>
      <c r="T342" s="1">
        <f>0</f>
        <v>0</v>
      </c>
      <c r="U342" s="1"/>
      <c r="V342" s="1">
        <v>0</v>
      </c>
      <c r="W342" s="1">
        <v>0</v>
      </c>
      <c r="X342" s="1">
        <f>0</f>
        <v>0</v>
      </c>
      <c r="Y342" s="1">
        <f>0</f>
        <v>0</v>
      </c>
      <c r="Z342" s="1">
        <f>0</f>
        <v>0</v>
      </c>
      <c r="AA342" s="1"/>
      <c r="AB342" s="5"/>
      <c r="AC342" s="5"/>
      <c r="AD342" s="1">
        <f>0</f>
        <v>0</v>
      </c>
      <c r="AE342" s="1">
        <f>0</f>
        <v>0</v>
      </c>
      <c r="AF342" s="1">
        <f>0</f>
        <v>0</v>
      </c>
      <c r="AG342" s="1">
        <f>0</f>
        <v>0</v>
      </c>
      <c r="AH342" s="1">
        <f>0</f>
        <v>0</v>
      </c>
      <c r="AI342" s="1">
        <f>0</f>
        <v>0</v>
      </c>
      <c r="AJ342" s="1"/>
      <c r="AK342" s="1"/>
      <c r="AL342" s="1"/>
      <c r="AM342" s="1"/>
      <c r="AN342" s="1"/>
      <c r="AO342" s="1"/>
      <c r="AP342" s="1"/>
      <c r="AQ342" s="1"/>
      <c r="AR342" s="1" t="b">
        <v>1</v>
      </c>
      <c r="AS342" s="1"/>
      <c r="AT342" s="1"/>
      <c r="AU342" s="1"/>
      <c r="AV342" s="1"/>
      <c r="AW342" s="1"/>
      <c r="AX342" s="1"/>
      <c r="AY342" s="1"/>
      <c r="AZ342" s="1"/>
    </row>
    <row r="343" spans="1:52" ht="15" customHeight="1" x14ac:dyDescent="0.35">
      <c r="A343" s="1" t="s">
        <v>1436</v>
      </c>
      <c r="B343" s="1" t="s">
        <v>76</v>
      </c>
      <c r="C343" s="1" t="s">
        <v>640</v>
      </c>
      <c r="D343" s="1"/>
      <c r="E343" s="1" t="s">
        <v>1414</v>
      </c>
      <c r="F343" s="9" t="s">
        <v>1437</v>
      </c>
      <c r="G343" s="1" t="s">
        <v>38</v>
      </c>
      <c r="H3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3" s="11">
        <f>0</f>
        <v>0</v>
      </c>
      <c r="J343" s="1">
        <f>0</f>
        <v>0</v>
      </c>
      <c r="K343" s="1"/>
      <c r="L343" s="1">
        <v>0</v>
      </c>
      <c r="M343" s="1">
        <f>0</f>
        <v>0</v>
      </c>
      <c r="N343" s="1">
        <f>0</f>
        <v>0</v>
      </c>
      <c r="O343" s="1">
        <f>0</f>
        <v>0</v>
      </c>
      <c r="P343" s="1"/>
      <c r="Q343" s="1">
        <v>0</v>
      </c>
      <c r="R343" s="1">
        <v>0</v>
      </c>
      <c r="S343" s="1">
        <f>0</f>
        <v>0</v>
      </c>
      <c r="T343" s="1">
        <f>0</f>
        <v>0</v>
      </c>
      <c r="U343" s="1"/>
      <c r="V343" s="1">
        <v>0</v>
      </c>
      <c r="W343" s="1">
        <v>0</v>
      </c>
      <c r="X343" s="1">
        <f>0</f>
        <v>0</v>
      </c>
      <c r="Y343" s="1">
        <f>0</f>
        <v>0</v>
      </c>
      <c r="Z343" s="1">
        <f>0</f>
        <v>0</v>
      </c>
      <c r="AA343" s="1"/>
      <c r="AB343" s="5"/>
      <c r="AC343" s="5"/>
      <c r="AD343" s="1">
        <f>0</f>
        <v>0</v>
      </c>
      <c r="AE343" s="1">
        <f>0</f>
        <v>0</v>
      </c>
      <c r="AF343" s="1">
        <f>0</f>
        <v>0</v>
      </c>
      <c r="AG343" s="1">
        <f>0</f>
        <v>0</v>
      </c>
      <c r="AH343" s="1">
        <f>0</f>
        <v>0</v>
      </c>
      <c r="AI343" s="1">
        <f>0</f>
        <v>0</v>
      </c>
      <c r="AJ343" s="1"/>
      <c r="AK343" s="1"/>
      <c r="AL343" s="1"/>
      <c r="AM343" s="1"/>
      <c r="AN343" s="1"/>
      <c r="AO343" s="1"/>
      <c r="AP343" s="1"/>
      <c r="AQ343" s="1"/>
      <c r="AR343" s="1" t="b">
        <v>1</v>
      </c>
      <c r="AS343" s="1"/>
      <c r="AT343" s="1"/>
      <c r="AU343" s="1"/>
      <c r="AV343" s="1"/>
      <c r="AW343" s="1"/>
      <c r="AX343" s="1"/>
      <c r="AY343" s="1"/>
      <c r="AZ343" s="1"/>
    </row>
    <row r="344" spans="1:52" ht="15" customHeight="1" x14ac:dyDescent="0.35">
      <c r="A344" s="1" t="s">
        <v>1438</v>
      </c>
      <c r="B344" s="1" t="s">
        <v>77</v>
      </c>
      <c r="C344" s="1" t="s">
        <v>640</v>
      </c>
      <c r="D344" s="1"/>
      <c r="E344" s="1" t="s">
        <v>1414</v>
      </c>
      <c r="F344" s="9" t="s">
        <v>1439</v>
      </c>
      <c r="G344" s="1" t="s">
        <v>38</v>
      </c>
      <c r="H3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4" s="11">
        <f>0</f>
        <v>0</v>
      </c>
      <c r="J344" s="1">
        <f>0</f>
        <v>0</v>
      </c>
      <c r="K344" s="1"/>
      <c r="L344" s="1">
        <v>0</v>
      </c>
      <c r="M344" s="1">
        <f>0</f>
        <v>0</v>
      </c>
      <c r="N344" s="1">
        <f>0</f>
        <v>0</v>
      </c>
      <c r="O344" s="1">
        <f>0</f>
        <v>0</v>
      </c>
      <c r="P344" s="1"/>
      <c r="Q344" s="1">
        <v>0</v>
      </c>
      <c r="R344" s="1">
        <v>0</v>
      </c>
      <c r="S344" s="1">
        <f>0</f>
        <v>0</v>
      </c>
      <c r="T344" s="1">
        <f>0</f>
        <v>0</v>
      </c>
      <c r="U344" s="1"/>
      <c r="V344" s="1">
        <v>0</v>
      </c>
      <c r="W344" s="1">
        <v>0</v>
      </c>
      <c r="X344" s="1">
        <f>0</f>
        <v>0</v>
      </c>
      <c r="Y344" s="1">
        <f>0</f>
        <v>0</v>
      </c>
      <c r="Z344" s="1">
        <f>0</f>
        <v>0</v>
      </c>
      <c r="AA344" s="1"/>
      <c r="AB344" s="5"/>
      <c r="AC344" s="5"/>
      <c r="AD344" s="1">
        <f>0</f>
        <v>0</v>
      </c>
      <c r="AE344" s="1">
        <f>0</f>
        <v>0</v>
      </c>
      <c r="AF344" s="1">
        <f>0</f>
        <v>0</v>
      </c>
      <c r="AG344" s="1">
        <f>0</f>
        <v>0</v>
      </c>
      <c r="AH344" s="1">
        <f>0</f>
        <v>0</v>
      </c>
      <c r="AI344" s="1">
        <f>0</f>
        <v>0</v>
      </c>
      <c r="AJ344" s="1"/>
      <c r="AK344" s="1"/>
      <c r="AL344" s="1"/>
      <c r="AM344" s="1"/>
      <c r="AN344" s="1"/>
      <c r="AO344" s="1"/>
      <c r="AP344" s="1"/>
      <c r="AQ344" s="1"/>
      <c r="AR344" s="1" t="b">
        <v>1</v>
      </c>
      <c r="AS344" s="1"/>
      <c r="AT344" s="1"/>
      <c r="AU344" s="1"/>
      <c r="AV344" s="1"/>
      <c r="AW344" s="1"/>
      <c r="AX344" s="1"/>
      <c r="AY344" s="1"/>
      <c r="AZ344" s="1"/>
    </row>
    <row r="345" spans="1:52" ht="15" customHeight="1" x14ac:dyDescent="0.35">
      <c r="A345" s="1" t="s">
        <v>1440</v>
      </c>
      <c r="B345" s="1" t="s">
        <v>78</v>
      </c>
      <c r="C345" s="1" t="s">
        <v>640</v>
      </c>
      <c r="D345" s="1"/>
      <c r="E345" s="1" t="s">
        <v>1414</v>
      </c>
      <c r="F345" s="9" t="s">
        <v>1441</v>
      </c>
      <c r="G345" s="1" t="s">
        <v>38</v>
      </c>
      <c r="H3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5" s="11">
        <f>0</f>
        <v>0</v>
      </c>
      <c r="J345" s="1">
        <f>0</f>
        <v>0</v>
      </c>
      <c r="K345" s="1"/>
      <c r="L345" s="1">
        <v>0</v>
      </c>
      <c r="M345" s="1">
        <f>0</f>
        <v>0</v>
      </c>
      <c r="N345" s="1">
        <f>0</f>
        <v>0</v>
      </c>
      <c r="O345" s="1">
        <f>0</f>
        <v>0</v>
      </c>
      <c r="P345" s="1"/>
      <c r="Q345" s="1">
        <v>0</v>
      </c>
      <c r="R345" s="1">
        <v>0</v>
      </c>
      <c r="S345" s="1">
        <f>0</f>
        <v>0</v>
      </c>
      <c r="T345" s="1">
        <f>0</f>
        <v>0</v>
      </c>
      <c r="U345" s="1"/>
      <c r="V345" s="1">
        <v>0</v>
      </c>
      <c r="W345" s="1">
        <v>0</v>
      </c>
      <c r="X345" s="1">
        <f>0</f>
        <v>0</v>
      </c>
      <c r="Y345" s="1">
        <f>0</f>
        <v>0</v>
      </c>
      <c r="Z345" s="1">
        <f>0</f>
        <v>0</v>
      </c>
      <c r="AA345" s="1"/>
      <c r="AB345" s="5"/>
      <c r="AC345" s="5"/>
      <c r="AD345" s="1">
        <f>0</f>
        <v>0</v>
      </c>
      <c r="AE345" s="1">
        <f>0</f>
        <v>0</v>
      </c>
      <c r="AF345" s="1">
        <f>0</f>
        <v>0</v>
      </c>
      <c r="AG345" s="1">
        <f>0</f>
        <v>0</v>
      </c>
      <c r="AH345" s="1">
        <f>0</f>
        <v>0</v>
      </c>
      <c r="AI345" s="1">
        <f>0</f>
        <v>0</v>
      </c>
      <c r="AJ345" s="1"/>
      <c r="AK345" s="1"/>
      <c r="AL345" s="1"/>
      <c r="AM345" s="1"/>
      <c r="AN345" s="1"/>
      <c r="AO345" s="1"/>
      <c r="AP345" s="1"/>
      <c r="AQ345" s="1"/>
      <c r="AR345" s="1" t="b">
        <v>1</v>
      </c>
      <c r="AS345" s="1"/>
      <c r="AT345" s="1"/>
      <c r="AU345" s="1"/>
      <c r="AV345" s="1"/>
      <c r="AW345" s="1"/>
      <c r="AX345" s="1"/>
      <c r="AY345" s="1"/>
      <c r="AZ345" s="1"/>
    </row>
    <row r="346" spans="1:52" ht="15" customHeight="1" x14ac:dyDescent="0.35">
      <c r="A346" s="1" t="s">
        <v>1442</v>
      </c>
      <c r="B346" s="1" t="s">
        <v>79</v>
      </c>
      <c r="C346" s="1" t="s">
        <v>640</v>
      </c>
      <c r="D346" s="1"/>
      <c r="E346" s="1" t="s">
        <v>1414</v>
      </c>
      <c r="F346" s="9" t="s">
        <v>1443</v>
      </c>
      <c r="G346" s="1" t="s">
        <v>38</v>
      </c>
      <c r="H3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6" s="11">
        <f>0</f>
        <v>0</v>
      </c>
      <c r="J346" s="1">
        <f>0</f>
        <v>0</v>
      </c>
      <c r="K346" s="1"/>
      <c r="L346" s="1">
        <v>0</v>
      </c>
      <c r="M346" s="1">
        <f>0</f>
        <v>0</v>
      </c>
      <c r="N346" s="1">
        <f>0</f>
        <v>0</v>
      </c>
      <c r="O346" s="1">
        <f>0</f>
        <v>0</v>
      </c>
      <c r="P346" s="1"/>
      <c r="Q346" s="1">
        <v>0</v>
      </c>
      <c r="R346" s="1">
        <v>0</v>
      </c>
      <c r="S346" s="1">
        <f>0</f>
        <v>0</v>
      </c>
      <c r="T346" s="1">
        <f>0</f>
        <v>0</v>
      </c>
      <c r="U346" s="1"/>
      <c r="V346" s="1">
        <v>0</v>
      </c>
      <c r="W346" s="1">
        <v>0</v>
      </c>
      <c r="X346" s="1">
        <f>0</f>
        <v>0</v>
      </c>
      <c r="Y346" s="1">
        <f>0</f>
        <v>0</v>
      </c>
      <c r="Z346" s="1">
        <f>0</f>
        <v>0</v>
      </c>
      <c r="AA346" s="1"/>
      <c r="AB346" s="5"/>
      <c r="AC346" s="5"/>
      <c r="AD346" s="1">
        <f>0</f>
        <v>0</v>
      </c>
      <c r="AE346" s="1">
        <f>0</f>
        <v>0</v>
      </c>
      <c r="AF346" s="1">
        <f>0</f>
        <v>0</v>
      </c>
      <c r="AG346" s="1">
        <f>0</f>
        <v>0</v>
      </c>
      <c r="AH346" s="1">
        <f>0</f>
        <v>0</v>
      </c>
      <c r="AI346" s="1">
        <f>0</f>
        <v>0</v>
      </c>
      <c r="AJ346" s="1"/>
      <c r="AK346" s="1"/>
      <c r="AL346" s="1"/>
      <c r="AM346" s="1"/>
      <c r="AN346" s="1"/>
      <c r="AO346" s="1"/>
      <c r="AP346" s="1"/>
      <c r="AQ346" s="1"/>
      <c r="AR346" s="1" t="b">
        <v>1</v>
      </c>
      <c r="AS346" s="1"/>
      <c r="AT346" s="1"/>
      <c r="AU346" s="1"/>
      <c r="AV346" s="1"/>
      <c r="AW346" s="1"/>
      <c r="AX346" s="1"/>
      <c r="AY346" s="1"/>
      <c r="AZ346" s="1"/>
    </row>
    <row r="347" spans="1:52" ht="15" customHeight="1" x14ac:dyDescent="0.35">
      <c r="A347" s="1" t="s">
        <v>1444</v>
      </c>
      <c r="B347" s="1" t="s">
        <v>80</v>
      </c>
      <c r="C347" s="1" t="s">
        <v>640</v>
      </c>
      <c r="D347" s="1"/>
      <c r="E347" s="1" t="s">
        <v>1414</v>
      </c>
      <c r="F347" s="9" t="s">
        <v>1445</v>
      </c>
      <c r="G347" s="1" t="s">
        <v>38</v>
      </c>
      <c r="H3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7" s="11">
        <f>0</f>
        <v>0</v>
      </c>
      <c r="J347" s="1">
        <f>0</f>
        <v>0</v>
      </c>
      <c r="K347" s="1"/>
      <c r="L347" s="1">
        <v>0</v>
      </c>
      <c r="M347" s="1">
        <f>0</f>
        <v>0</v>
      </c>
      <c r="N347" s="1">
        <f>0</f>
        <v>0</v>
      </c>
      <c r="O347" s="1">
        <f>0</f>
        <v>0</v>
      </c>
      <c r="P347" s="1"/>
      <c r="Q347" s="1">
        <v>0</v>
      </c>
      <c r="R347" s="1">
        <v>0</v>
      </c>
      <c r="S347" s="1">
        <f>0</f>
        <v>0</v>
      </c>
      <c r="T347" s="1">
        <f>0</f>
        <v>0</v>
      </c>
      <c r="U347" s="1"/>
      <c r="V347" s="1">
        <v>0</v>
      </c>
      <c r="W347" s="1">
        <v>0</v>
      </c>
      <c r="X347" s="1">
        <f>0</f>
        <v>0</v>
      </c>
      <c r="Y347" s="1">
        <f>0</f>
        <v>0</v>
      </c>
      <c r="Z347" s="1">
        <f>0</f>
        <v>0</v>
      </c>
      <c r="AA347" s="1"/>
      <c r="AB347" s="5"/>
      <c r="AC347" s="5"/>
      <c r="AD347" s="1">
        <f>0</f>
        <v>0</v>
      </c>
      <c r="AE347" s="1">
        <f>0</f>
        <v>0</v>
      </c>
      <c r="AF347" s="1">
        <f>0</f>
        <v>0</v>
      </c>
      <c r="AG347" s="1">
        <f>0</f>
        <v>0</v>
      </c>
      <c r="AH347" s="1">
        <f>0</f>
        <v>0</v>
      </c>
      <c r="AI347" s="1">
        <f>0</f>
        <v>0</v>
      </c>
      <c r="AJ347" s="1"/>
      <c r="AK347" s="1"/>
      <c r="AL347" s="1"/>
      <c r="AM347" s="1"/>
      <c r="AN347" s="1"/>
      <c r="AO347" s="1"/>
      <c r="AP347" s="1"/>
      <c r="AQ347" s="1"/>
      <c r="AR347" s="1" t="b">
        <v>1</v>
      </c>
      <c r="AS347" s="1"/>
      <c r="AT347" s="1"/>
      <c r="AU347" s="1"/>
      <c r="AV347" s="1"/>
      <c r="AW347" s="1"/>
      <c r="AX347" s="1"/>
      <c r="AY347" s="1"/>
      <c r="AZ347" s="1"/>
    </row>
    <row r="348" spans="1:52" ht="15" customHeight="1" x14ac:dyDescent="0.35">
      <c r="A348" s="1" t="s">
        <v>1446</v>
      </c>
      <c r="B348" s="1" t="s">
        <v>81</v>
      </c>
      <c r="C348" s="1" t="s">
        <v>640</v>
      </c>
      <c r="D348" s="1"/>
      <c r="E348" s="1" t="s">
        <v>1414</v>
      </c>
      <c r="F348" s="9" t="s">
        <v>1447</v>
      </c>
      <c r="G348" s="1" t="s">
        <v>38</v>
      </c>
      <c r="H3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8" s="11">
        <f>0</f>
        <v>0</v>
      </c>
      <c r="J348" s="1">
        <f>0</f>
        <v>0</v>
      </c>
      <c r="K348" s="1"/>
      <c r="L348" s="1">
        <v>0</v>
      </c>
      <c r="M348" s="1">
        <f>0</f>
        <v>0</v>
      </c>
      <c r="N348" s="1">
        <f>0</f>
        <v>0</v>
      </c>
      <c r="O348" s="1">
        <f>0</f>
        <v>0</v>
      </c>
      <c r="P348" s="1"/>
      <c r="Q348" s="1">
        <v>0</v>
      </c>
      <c r="R348" s="1">
        <v>0</v>
      </c>
      <c r="S348" s="1">
        <f>0</f>
        <v>0</v>
      </c>
      <c r="T348" s="1">
        <f>0</f>
        <v>0</v>
      </c>
      <c r="U348" s="1"/>
      <c r="V348" s="1">
        <v>0</v>
      </c>
      <c r="W348" s="1">
        <v>0</v>
      </c>
      <c r="X348" s="1">
        <f>0</f>
        <v>0</v>
      </c>
      <c r="Y348" s="1">
        <f>0</f>
        <v>0</v>
      </c>
      <c r="Z348" s="1">
        <f>0</f>
        <v>0</v>
      </c>
      <c r="AA348" s="1"/>
      <c r="AB348" s="5"/>
      <c r="AC348" s="5"/>
      <c r="AD348" s="1">
        <f>0</f>
        <v>0</v>
      </c>
      <c r="AE348" s="1">
        <f>0</f>
        <v>0</v>
      </c>
      <c r="AF348" s="1">
        <f>0</f>
        <v>0</v>
      </c>
      <c r="AG348" s="1">
        <f>0</f>
        <v>0</v>
      </c>
      <c r="AH348" s="1">
        <f>0</f>
        <v>0</v>
      </c>
      <c r="AI348" s="1">
        <f>0</f>
        <v>0</v>
      </c>
      <c r="AJ348" s="1"/>
      <c r="AK348" s="1"/>
      <c r="AL348" s="1"/>
      <c r="AM348" s="1"/>
      <c r="AN348" s="1"/>
      <c r="AO348" s="1"/>
      <c r="AP348" s="1"/>
      <c r="AQ348" s="1"/>
      <c r="AR348" s="1" t="b">
        <v>1</v>
      </c>
      <c r="AS348" s="1"/>
      <c r="AT348" s="1"/>
      <c r="AU348" s="1"/>
      <c r="AV348" s="1"/>
      <c r="AW348" s="1"/>
      <c r="AX348" s="1"/>
      <c r="AY348" s="1"/>
      <c r="AZ348" s="1"/>
    </row>
    <row r="349" spans="1:52" ht="15" customHeight="1" x14ac:dyDescent="0.35">
      <c r="A349" s="1" t="s">
        <v>1448</v>
      </c>
      <c r="B349" s="1" t="s">
        <v>82</v>
      </c>
      <c r="C349" s="1" t="s">
        <v>640</v>
      </c>
      <c r="D349" s="1"/>
      <c r="E349" s="1" t="s">
        <v>1414</v>
      </c>
      <c r="F349" s="9" t="s">
        <v>1449</v>
      </c>
      <c r="G349" s="1" t="s">
        <v>38</v>
      </c>
      <c r="H3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49" s="11">
        <f>0</f>
        <v>0</v>
      </c>
      <c r="J349" s="1">
        <f>0</f>
        <v>0</v>
      </c>
      <c r="K349" s="1"/>
      <c r="L349" s="1">
        <v>0</v>
      </c>
      <c r="M349" s="1">
        <f>0</f>
        <v>0</v>
      </c>
      <c r="N349" s="1">
        <f>0</f>
        <v>0</v>
      </c>
      <c r="O349" s="1">
        <f>0</f>
        <v>0</v>
      </c>
      <c r="P349" s="1"/>
      <c r="Q349" s="1">
        <v>0</v>
      </c>
      <c r="R349" s="1">
        <v>0</v>
      </c>
      <c r="S349" s="1">
        <f>0</f>
        <v>0</v>
      </c>
      <c r="T349" s="1">
        <f>0</f>
        <v>0</v>
      </c>
      <c r="U349" s="1"/>
      <c r="V349" s="1">
        <v>0</v>
      </c>
      <c r="W349" s="1">
        <v>0</v>
      </c>
      <c r="X349" s="1">
        <f>0</f>
        <v>0</v>
      </c>
      <c r="Y349" s="1">
        <f>0</f>
        <v>0</v>
      </c>
      <c r="Z349" s="1">
        <f>0</f>
        <v>0</v>
      </c>
      <c r="AA349" s="1"/>
      <c r="AB349" s="5"/>
      <c r="AC349" s="5"/>
      <c r="AD349" s="1">
        <f>0</f>
        <v>0</v>
      </c>
      <c r="AE349" s="1">
        <f>0</f>
        <v>0</v>
      </c>
      <c r="AF349" s="1">
        <f>0</f>
        <v>0</v>
      </c>
      <c r="AG349" s="1">
        <f>0</f>
        <v>0</v>
      </c>
      <c r="AH349" s="1">
        <f>0</f>
        <v>0</v>
      </c>
      <c r="AI349" s="1">
        <f>0</f>
        <v>0</v>
      </c>
      <c r="AJ349" s="1"/>
      <c r="AK349" s="1"/>
      <c r="AL349" s="1"/>
      <c r="AM349" s="1"/>
      <c r="AN349" s="1"/>
      <c r="AO349" s="1"/>
      <c r="AP349" s="1"/>
      <c r="AQ349" s="1"/>
      <c r="AR349" s="1" t="b">
        <v>1</v>
      </c>
      <c r="AS349" s="1"/>
      <c r="AT349" s="1"/>
      <c r="AU349" s="1"/>
      <c r="AV349" s="1"/>
      <c r="AW349" s="1"/>
      <c r="AX349" s="1"/>
      <c r="AY349" s="1"/>
      <c r="AZ349" s="1"/>
    </row>
    <row r="350" spans="1:52" ht="15" customHeight="1" x14ac:dyDescent="0.35">
      <c r="A350" s="1" t="s">
        <v>1450</v>
      </c>
      <c r="B350" s="1" t="s">
        <v>83</v>
      </c>
      <c r="C350" s="1" t="s">
        <v>640</v>
      </c>
      <c r="D350" s="1"/>
      <c r="E350" s="1" t="s">
        <v>1414</v>
      </c>
      <c r="F350" s="9" t="s">
        <v>1451</v>
      </c>
      <c r="G350" s="1" t="s">
        <v>38</v>
      </c>
      <c r="H3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0" s="11">
        <f>0</f>
        <v>0</v>
      </c>
      <c r="J350" s="1">
        <f>0</f>
        <v>0</v>
      </c>
      <c r="K350" s="1"/>
      <c r="L350" s="1">
        <v>0</v>
      </c>
      <c r="M350" s="1">
        <f>0</f>
        <v>0</v>
      </c>
      <c r="N350" s="1">
        <f>0</f>
        <v>0</v>
      </c>
      <c r="O350" s="1">
        <f>0</f>
        <v>0</v>
      </c>
      <c r="P350" s="1"/>
      <c r="Q350" s="1">
        <v>0</v>
      </c>
      <c r="R350" s="1">
        <v>0</v>
      </c>
      <c r="S350" s="1">
        <f>0</f>
        <v>0</v>
      </c>
      <c r="T350" s="1">
        <f>0</f>
        <v>0</v>
      </c>
      <c r="U350" s="1"/>
      <c r="V350" s="1">
        <v>0</v>
      </c>
      <c r="W350" s="1">
        <v>0</v>
      </c>
      <c r="X350" s="1">
        <f>0</f>
        <v>0</v>
      </c>
      <c r="Y350" s="1">
        <f>0</f>
        <v>0</v>
      </c>
      <c r="Z350" s="1">
        <f>0</f>
        <v>0</v>
      </c>
      <c r="AA350" s="1"/>
      <c r="AB350" s="5"/>
      <c r="AC350" s="5"/>
      <c r="AD350" s="1">
        <f>0</f>
        <v>0</v>
      </c>
      <c r="AE350" s="1">
        <f>0</f>
        <v>0</v>
      </c>
      <c r="AF350" s="1">
        <f>0</f>
        <v>0</v>
      </c>
      <c r="AG350" s="1">
        <f>0</f>
        <v>0</v>
      </c>
      <c r="AH350" s="1">
        <f>0</f>
        <v>0</v>
      </c>
      <c r="AI350" s="1">
        <f>0</f>
        <v>0</v>
      </c>
      <c r="AJ350" s="1"/>
      <c r="AK350" s="1"/>
      <c r="AL350" s="1"/>
      <c r="AM350" s="1"/>
      <c r="AN350" s="1"/>
      <c r="AO350" s="1"/>
      <c r="AP350" s="1"/>
      <c r="AQ350" s="1"/>
      <c r="AR350" s="1" t="b">
        <v>1</v>
      </c>
      <c r="AS350" s="1"/>
      <c r="AT350" s="1"/>
      <c r="AU350" s="1"/>
      <c r="AV350" s="1"/>
      <c r="AW350" s="1"/>
      <c r="AX350" s="1"/>
      <c r="AY350" s="1"/>
      <c r="AZ350" s="1"/>
    </row>
    <row r="351" spans="1:52" ht="15" customHeight="1" x14ac:dyDescent="0.35">
      <c r="A351" s="1" t="s">
        <v>1452</v>
      </c>
      <c r="B351" s="1" t="s">
        <v>84</v>
      </c>
      <c r="C351" s="1" t="s">
        <v>640</v>
      </c>
      <c r="D351" s="1"/>
      <c r="E351" s="1" t="s">
        <v>1414</v>
      </c>
      <c r="F351" s="9" t="s">
        <v>1453</v>
      </c>
      <c r="G351" s="1" t="s">
        <v>38</v>
      </c>
      <c r="H3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1" s="11">
        <f>0</f>
        <v>0</v>
      </c>
      <c r="J351" s="1">
        <f>0</f>
        <v>0</v>
      </c>
      <c r="K351" s="1"/>
      <c r="L351" s="1">
        <v>0</v>
      </c>
      <c r="M351" s="1">
        <f>0</f>
        <v>0</v>
      </c>
      <c r="N351" s="1">
        <f>0</f>
        <v>0</v>
      </c>
      <c r="O351" s="1">
        <f>0</f>
        <v>0</v>
      </c>
      <c r="P351" s="1"/>
      <c r="Q351" s="1">
        <v>0</v>
      </c>
      <c r="R351" s="1">
        <v>0</v>
      </c>
      <c r="S351" s="1">
        <f>0</f>
        <v>0</v>
      </c>
      <c r="T351" s="1">
        <f>0</f>
        <v>0</v>
      </c>
      <c r="U351" s="1"/>
      <c r="V351" s="1">
        <v>0</v>
      </c>
      <c r="W351" s="1">
        <v>0</v>
      </c>
      <c r="X351" s="1">
        <f>0</f>
        <v>0</v>
      </c>
      <c r="Y351" s="1">
        <f>0</f>
        <v>0</v>
      </c>
      <c r="Z351" s="1">
        <f>0</f>
        <v>0</v>
      </c>
      <c r="AA351" s="1"/>
      <c r="AB351" s="5"/>
      <c r="AC351" s="5"/>
      <c r="AD351" s="1">
        <f>0</f>
        <v>0</v>
      </c>
      <c r="AE351" s="1">
        <f>0</f>
        <v>0</v>
      </c>
      <c r="AF351" s="1">
        <f>0</f>
        <v>0</v>
      </c>
      <c r="AG351" s="1">
        <f>0</f>
        <v>0</v>
      </c>
      <c r="AH351" s="1">
        <f>0</f>
        <v>0</v>
      </c>
      <c r="AI351" s="1">
        <f>0</f>
        <v>0</v>
      </c>
      <c r="AJ351" s="1"/>
      <c r="AK351" s="1"/>
      <c r="AL351" s="1"/>
      <c r="AM351" s="1"/>
      <c r="AN351" s="1"/>
      <c r="AO351" s="1"/>
      <c r="AP351" s="1"/>
      <c r="AQ351" s="1"/>
      <c r="AR351" s="1" t="b">
        <v>1</v>
      </c>
      <c r="AS351" s="1"/>
      <c r="AT351" s="1"/>
      <c r="AU351" s="1"/>
      <c r="AV351" s="1"/>
      <c r="AW351" s="1"/>
      <c r="AX351" s="1"/>
      <c r="AY351" s="1"/>
      <c r="AZ351" s="1"/>
    </row>
    <row r="352" spans="1:52" ht="15" customHeight="1" x14ac:dyDescent="0.35">
      <c r="A352" s="1" t="s">
        <v>1454</v>
      </c>
      <c r="B352" s="1" t="s">
        <v>85</v>
      </c>
      <c r="C352" s="1" t="s">
        <v>640</v>
      </c>
      <c r="D352" s="1"/>
      <c r="E352" s="1" t="s">
        <v>1414</v>
      </c>
      <c r="F352" s="9" t="s">
        <v>1455</v>
      </c>
      <c r="G352" s="1" t="s">
        <v>38</v>
      </c>
      <c r="H3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2" s="11">
        <f>0</f>
        <v>0</v>
      </c>
      <c r="J352" s="1">
        <f>0</f>
        <v>0</v>
      </c>
      <c r="K352" s="1"/>
      <c r="L352" s="1">
        <v>0</v>
      </c>
      <c r="M352" s="1">
        <f>0</f>
        <v>0</v>
      </c>
      <c r="N352" s="1">
        <f>0</f>
        <v>0</v>
      </c>
      <c r="O352" s="1">
        <f>0</f>
        <v>0</v>
      </c>
      <c r="P352" s="1"/>
      <c r="Q352" s="1">
        <v>0</v>
      </c>
      <c r="R352" s="1">
        <v>0</v>
      </c>
      <c r="S352" s="1">
        <f>0</f>
        <v>0</v>
      </c>
      <c r="T352" s="1">
        <f>0</f>
        <v>0</v>
      </c>
      <c r="U352" s="1"/>
      <c r="V352" s="1">
        <v>0</v>
      </c>
      <c r="W352" s="1">
        <v>0</v>
      </c>
      <c r="X352" s="1">
        <f>0</f>
        <v>0</v>
      </c>
      <c r="Y352" s="1">
        <f>0</f>
        <v>0</v>
      </c>
      <c r="Z352" s="1">
        <f>0</f>
        <v>0</v>
      </c>
      <c r="AA352" s="1"/>
      <c r="AB352" s="5"/>
      <c r="AC352" s="5"/>
      <c r="AD352" s="1">
        <f>0</f>
        <v>0</v>
      </c>
      <c r="AE352" s="1">
        <f>0</f>
        <v>0</v>
      </c>
      <c r="AF352" s="1">
        <f>0</f>
        <v>0</v>
      </c>
      <c r="AG352" s="1">
        <f>0</f>
        <v>0</v>
      </c>
      <c r="AH352" s="1">
        <f>0</f>
        <v>0</v>
      </c>
      <c r="AI352" s="1">
        <f>0</f>
        <v>0</v>
      </c>
      <c r="AJ352" s="1"/>
      <c r="AK352" s="1"/>
      <c r="AL352" s="1"/>
      <c r="AM352" s="1"/>
      <c r="AN352" s="1"/>
      <c r="AO352" s="1"/>
      <c r="AP352" s="1"/>
      <c r="AQ352" s="1"/>
      <c r="AR352" s="1" t="b">
        <v>1</v>
      </c>
      <c r="AS352" s="1"/>
      <c r="AT352" s="1"/>
      <c r="AU352" s="1"/>
      <c r="AV352" s="1"/>
      <c r="AW352" s="1"/>
      <c r="AX352" s="1"/>
      <c r="AY352" s="1"/>
      <c r="AZ352" s="1"/>
    </row>
    <row r="353" spans="1:52" ht="15" customHeight="1" x14ac:dyDescent="0.35">
      <c r="A353" s="1" t="s">
        <v>1456</v>
      </c>
      <c r="B353" s="1" t="s">
        <v>86</v>
      </c>
      <c r="C353" s="1" t="s">
        <v>640</v>
      </c>
      <c r="D353" s="1"/>
      <c r="E353" s="1" t="s">
        <v>1414</v>
      </c>
      <c r="F353" s="9" t="s">
        <v>1457</v>
      </c>
      <c r="G353" s="1" t="s">
        <v>38</v>
      </c>
      <c r="H3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3" s="11">
        <f>0</f>
        <v>0</v>
      </c>
      <c r="J353" s="1">
        <f>0</f>
        <v>0</v>
      </c>
      <c r="K353" s="1"/>
      <c r="L353" s="1">
        <v>0</v>
      </c>
      <c r="M353" s="1">
        <f>0</f>
        <v>0</v>
      </c>
      <c r="N353" s="1">
        <f>0</f>
        <v>0</v>
      </c>
      <c r="O353" s="1">
        <f>0</f>
        <v>0</v>
      </c>
      <c r="P353" s="1"/>
      <c r="Q353" s="1">
        <v>0</v>
      </c>
      <c r="R353" s="1">
        <v>0</v>
      </c>
      <c r="S353" s="1">
        <f>0</f>
        <v>0</v>
      </c>
      <c r="T353" s="1">
        <f>0</f>
        <v>0</v>
      </c>
      <c r="U353" s="1"/>
      <c r="V353" s="1">
        <v>0</v>
      </c>
      <c r="W353" s="1">
        <v>0</v>
      </c>
      <c r="X353" s="1">
        <f>0</f>
        <v>0</v>
      </c>
      <c r="Y353" s="1">
        <f>0</f>
        <v>0</v>
      </c>
      <c r="Z353" s="1">
        <f>0</f>
        <v>0</v>
      </c>
      <c r="AA353" s="1"/>
      <c r="AB353" s="5"/>
      <c r="AC353" s="5"/>
      <c r="AD353" s="1">
        <f>0</f>
        <v>0</v>
      </c>
      <c r="AE353" s="1">
        <f>0</f>
        <v>0</v>
      </c>
      <c r="AF353" s="1">
        <f>0</f>
        <v>0</v>
      </c>
      <c r="AG353" s="1">
        <f>0</f>
        <v>0</v>
      </c>
      <c r="AH353" s="1">
        <f>0</f>
        <v>0</v>
      </c>
      <c r="AI353" s="1">
        <f>0</f>
        <v>0</v>
      </c>
      <c r="AJ353" s="1"/>
      <c r="AK353" s="1"/>
      <c r="AL353" s="1"/>
      <c r="AM353" s="1"/>
      <c r="AN353" s="1"/>
      <c r="AO353" s="1"/>
      <c r="AP353" s="1"/>
      <c r="AQ353" s="1"/>
      <c r="AR353" s="1" t="b">
        <v>1</v>
      </c>
      <c r="AS353" s="1"/>
      <c r="AT353" s="1"/>
      <c r="AU353" s="1"/>
      <c r="AV353" s="1"/>
      <c r="AW353" s="1"/>
      <c r="AX353" s="1"/>
      <c r="AY353" s="1"/>
      <c r="AZ353" s="1"/>
    </row>
    <row r="354" spans="1:52" ht="15" customHeight="1" x14ac:dyDescent="0.35">
      <c r="A354" s="1" t="s">
        <v>1458</v>
      </c>
      <c r="B354" s="1" t="s">
        <v>87</v>
      </c>
      <c r="C354" s="1" t="s">
        <v>640</v>
      </c>
      <c r="D354" s="1"/>
      <c r="E354" s="1" t="s">
        <v>1414</v>
      </c>
      <c r="F354" s="9" t="s">
        <v>1459</v>
      </c>
      <c r="G354" s="1" t="s">
        <v>38</v>
      </c>
      <c r="H3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4" s="11">
        <f>0</f>
        <v>0</v>
      </c>
      <c r="J354" s="1">
        <f>0</f>
        <v>0</v>
      </c>
      <c r="K354" s="1"/>
      <c r="L354" s="1">
        <v>0</v>
      </c>
      <c r="M354" s="1">
        <f>0</f>
        <v>0</v>
      </c>
      <c r="N354" s="1">
        <f>0</f>
        <v>0</v>
      </c>
      <c r="O354" s="1">
        <f>0</f>
        <v>0</v>
      </c>
      <c r="P354" s="1"/>
      <c r="Q354" s="1">
        <v>0</v>
      </c>
      <c r="R354" s="1">
        <v>0</v>
      </c>
      <c r="S354" s="1">
        <f>0</f>
        <v>0</v>
      </c>
      <c r="T354" s="1">
        <f>0</f>
        <v>0</v>
      </c>
      <c r="U354" s="1"/>
      <c r="V354" s="1">
        <v>0</v>
      </c>
      <c r="W354" s="1">
        <v>0</v>
      </c>
      <c r="X354" s="1">
        <f>0</f>
        <v>0</v>
      </c>
      <c r="Y354" s="1">
        <f>0</f>
        <v>0</v>
      </c>
      <c r="Z354" s="1">
        <f>0</f>
        <v>0</v>
      </c>
      <c r="AA354" s="1"/>
      <c r="AB354" s="5"/>
      <c r="AC354" s="5"/>
      <c r="AD354" s="1">
        <f>0</f>
        <v>0</v>
      </c>
      <c r="AE354" s="1">
        <f>0</f>
        <v>0</v>
      </c>
      <c r="AF354" s="1">
        <f>0</f>
        <v>0</v>
      </c>
      <c r="AG354" s="1">
        <f>0</f>
        <v>0</v>
      </c>
      <c r="AH354" s="1">
        <f>0</f>
        <v>0</v>
      </c>
      <c r="AI354" s="1">
        <f>0</f>
        <v>0</v>
      </c>
      <c r="AJ354" s="1"/>
      <c r="AK354" s="1"/>
      <c r="AL354" s="1"/>
      <c r="AM354" s="1"/>
      <c r="AN354" s="1"/>
      <c r="AO354" s="1"/>
      <c r="AP354" s="1"/>
      <c r="AQ354" s="1"/>
      <c r="AR354" s="1" t="b">
        <v>1</v>
      </c>
      <c r="AS354" s="1"/>
      <c r="AT354" s="1"/>
      <c r="AU354" s="1"/>
      <c r="AV354" s="1"/>
      <c r="AW354" s="1"/>
      <c r="AX354" s="1"/>
      <c r="AY354" s="1"/>
      <c r="AZ354" s="1"/>
    </row>
    <row r="355" spans="1:52" ht="15" customHeight="1" x14ac:dyDescent="0.35">
      <c r="A355" s="1" t="s">
        <v>1460</v>
      </c>
      <c r="B355" s="1" t="s">
        <v>88</v>
      </c>
      <c r="C355" s="1" t="s">
        <v>640</v>
      </c>
      <c r="D355" s="1"/>
      <c r="E355" s="1" t="s">
        <v>1414</v>
      </c>
      <c r="F355" s="9" t="s">
        <v>1461</v>
      </c>
      <c r="G355" s="1" t="s">
        <v>38</v>
      </c>
      <c r="H3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5" s="11">
        <f>0</f>
        <v>0</v>
      </c>
      <c r="J355" s="1">
        <f>0</f>
        <v>0</v>
      </c>
      <c r="K355" s="1"/>
      <c r="L355" s="1">
        <v>0</v>
      </c>
      <c r="M355" s="1">
        <f>0</f>
        <v>0</v>
      </c>
      <c r="N355" s="1">
        <f>0</f>
        <v>0</v>
      </c>
      <c r="O355" s="1">
        <f>0</f>
        <v>0</v>
      </c>
      <c r="P355" s="1"/>
      <c r="Q355" s="1">
        <v>0</v>
      </c>
      <c r="R355" s="1">
        <v>0</v>
      </c>
      <c r="S355" s="1">
        <f>0</f>
        <v>0</v>
      </c>
      <c r="T355" s="1">
        <f>0</f>
        <v>0</v>
      </c>
      <c r="U355" s="1"/>
      <c r="V355" s="1">
        <v>0</v>
      </c>
      <c r="W355" s="1">
        <v>0</v>
      </c>
      <c r="X355" s="1">
        <f>0</f>
        <v>0</v>
      </c>
      <c r="Y355" s="1">
        <f>0</f>
        <v>0</v>
      </c>
      <c r="Z355" s="1">
        <f>0</f>
        <v>0</v>
      </c>
      <c r="AA355" s="1"/>
      <c r="AB355" s="5"/>
      <c r="AC355" s="5"/>
      <c r="AD355" s="1">
        <f>0</f>
        <v>0</v>
      </c>
      <c r="AE355" s="1">
        <f>0</f>
        <v>0</v>
      </c>
      <c r="AF355" s="1">
        <f>0</f>
        <v>0</v>
      </c>
      <c r="AG355" s="1">
        <f>0</f>
        <v>0</v>
      </c>
      <c r="AH355" s="1">
        <f>0</f>
        <v>0</v>
      </c>
      <c r="AI355" s="1">
        <f>0</f>
        <v>0</v>
      </c>
      <c r="AJ355" s="1"/>
      <c r="AK355" s="1"/>
      <c r="AL355" s="1"/>
      <c r="AM355" s="1"/>
      <c r="AN355" s="1"/>
      <c r="AO355" s="1"/>
      <c r="AP355" s="1"/>
      <c r="AQ355" s="1"/>
      <c r="AR355" s="1" t="b">
        <v>1</v>
      </c>
      <c r="AS355" s="1"/>
      <c r="AT355" s="1"/>
      <c r="AU355" s="1"/>
      <c r="AV355" s="1"/>
      <c r="AW355" s="1"/>
      <c r="AX355" s="1"/>
      <c r="AY355" s="1"/>
      <c r="AZ355" s="1"/>
    </row>
    <row r="356" spans="1:52" ht="15" customHeight="1" x14ac:dyDescent="0.35">
      <c r="A356" s="1" t="s">
        <v>1462</v>
      </c>
      <c r="B356" s="1" t="s">
        <v>89</v>
      </c>
      <c r="C356" s="1" t="s">
        <v>640</v>
      </c>
      <c r="D356" s="1"/>
      <c r="E356" s="1" t="s">
        <v>1414</v>
      </c>
      <c r="F356" s="9" t="s">
        <v>1463</v>
      </c>
      <c r="G356" s="1" t="s">
        <v>38</v>
      </c>
      <c r="H3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6" s="11">
        <f>0</f>
        <v>0</v>
      </c>
      <c r="J356" s="1">
        <f>0</f>
        <v>0</v>
      </c>
      <c r="K356" s="1"/>
      <c r="L356" s="1">
        <v>0</v>
      </c>
      <c r="M356" s="1">
        <f>0</f>
        <v>0</v>
      </c>
      <c r="N356" s="1">
        <f>0</f>
        <v>0</v>
      </c>
      <c r="O356" s="1">
        <f>0</f>
        <v>0</v>
      </c>
      <c r="P356" s="1"/>
      <c r="Q356" s="1">
        <v>0</v>
      </c>
      <c r="R356" s="1">
        <v>0</v>
      </c>
      <c r="S356" s="1">
        <f>0</f>
        <v>0</v>
      </c>
      <c r="T356" s="1">
        <f>0</f>
        <v>0</v>
      </c>
      <c r="U356" s="1"/>
      <c r="V356" s="1">
        <v>0</v>
      </c>
      <c r="W356" s="1">
        <v>0</v>
      </c>
      <c r="X356" s="1">
        <f>0</f>
        <v>0</v>
      </c>
      <c r="Y356" s="1">
        <f>0</f>
        <v>0</v>
      </c>
      <c r="Z356" s="1">
        <f>0</f>
        <v>0</v>
      </c>
      <c r="AA356" s="1"/>
      <c r="AB356" s="5"/>
      <c r="AC356" s="5"/>
      <c r="AD356" s="1">
        <f>0</f>
        <v>0</v>
      </c>
      <c r="AE356" s="1">
        <f>0</f>
        <v>0</v>
      </c>
      <c r="AF356" s="1">
        <f>0</f>
        <v>0</v>
      </c>
      <c r="AG356" s="1">
        <f>0</f>
        <v>0</v>
      </c>
      <c r="AH356" s="1">
        <f>0</f>
        <v>0</v>
      </c>
      <c r="AI356" s="1">
        <f>0</f>
        <v>0</v>
      </c>
      <c r="AJ356" s="1"/>
      <c r="AK356" s="1"/>
      <c r="AL356" s="1"/>
      <c r="AM356" s="1"/>
      <c r="AN356" s="1"/>
      <c r="AO356" s="1"/>
      <c r="AP356" s="1"/>
      <c r="AQ356" s="1"/>
      <c r="AR356" s="1" t="b">
        <v>1</v>
      </c>
      <c r="AS356" s="1"/>
      <c r="AT356" s="1"/>
      <c r="AU356" s="1"/>
      <c r="AV356" s="1"/>
      <c r="AW356" s="1"/>
      <c r="AX356" s="1"/>
      <c r="AY356" s="1"/>
      <c r="AZ356" s="1"/>
    </row>
    <row r="357" spans="1:52" ht="15" customHeight="1" x14ac:dyDescent="0.35">
      <c r="A357" s="1" t="s">
        <v>1464</v>
      </c>
      <c r="B357" s="1" t="s">
        <v>90</v>
      </c>
      <c r="C357" s="1" t="s">
        <v>640</v>
      </c>
      <c r="D357" s="1"/>
      <c r="E357" s="1" t="s">
        <v>1414</v>
      </c>
      <c r="F357" s="9" t="s">
        <v>1465</v>
      </c>
      <c r="G357" s="1" t="s">
        <v>38</v>
      </c>
      <c r="H3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7" s="11">
        <f>0</f>
        <v>0</v>
      </c>
      <c r="J357" s="1">
        <f>0</f>
        <v>0</v>
      </c>
      <c r="K357" s="1"/>
      <c r="L357" s="1">
        <v>0</v>
      </c>
      <c r="M357" s="1">
        <f>0</f>
        <v>0</v>
      </c>
      <c r="N357" s="1">
        <f>0</f>
        <v>0</v>
      </c>
      <c r="O357" s="1">
        <f>0</f>
        <v>0</v>
      </c>
      <c r="P357" s="1"/>
      <c r="Q357" s="1">
        <v>0</v>
      </c>
      <c r="R357" s="1">
        <v>0</v>
      </c>
      <c r="S357" s="1">
        <f>0</f>
        <v>0</v>
      </c>
      <c r="T357" s="1">
        <f>0</f>
        <v>0</v>
      </c>
      <c r="U357" s="1"/>
      <c r="V357" s="1">
        <v>0</v>
      </c>
      <c r="W357" s="1">
        <v>0</v>
      </c>
      <c r="X357" s="1">
        <f>0</f>
        <v>0</v>
      </c>
      <c r="Y357" s="1">
        <f>0</f>
        <v>0</v>
      </c>
      <c r="Z357" s="1">
        <f>0</f>
        <v>0</v>
      </c>
      <c r="AA357" s="1"/>
      <c r="AB357" s="5"/>
      <c r="AC357" s="5"/>
      <c r="AD357" s="1">
        <f>0</f>
        <v>0</v>
      </c>
      <c r="AE357" s="1">
        <f>0</f>
        <v>0</v>
      </c>
      <c r="AF357" s="1">
        <f>0</f>
        <v>0</v>
      </c>
      <c r="AG357" s="1">
        <f>0</f>
        <v>0</v>
      </c>
      <c r="AH357" s="1">
        <f>0</f>
        <v>0</v>
      </c>
      <c r="AI357" s="1">
        <f>0</f>
        <v>0</v>
      </c>
      <c r="AJ357" s="1"/>
      <c r="AK357" s="1"/>
      <c r="AL357" s="1"/>
      <c r="AM357" s="1"/>
      <c r="AN357" s="1"/>
      <c r="AO357" s="1"/>
      <c r="AP357" s="1"/>
      <c r="AQ357" s="1"/>
      <c r="AR357" s="1" t="b">
        <v>1</v>
      </c>
      <c r="AS357" s="1"/>
      <c r="AT357" s="1"/>
      <c r="AU357" s="1"/>
      <c r="AV357" s="1"/>
      <c r="AW357" s="1"/>
      <c r="AX357" s="1"/>
      <c r="AY357" s="1"/>
      <c r="AZ357" s="1"/>
    </row>
    <row r="358" spans="1:52" ht="15" customHeight="1" x14ac:dyDescent="0.35">
      <c r="A358" s="1" t="s">
        <v>1466</v>
      </c>
      <c r="B358" s="1" t="s">
        <v>91</v>
      </c>
      <c r="C358" s="1" t="s">
        <v>640</v>
      </c>
      <c r="D358" s="1"/>
      <c r="E358" s="1" t="s">
        <v>1414</v>
      </c>
      <c r="F358" s="9" t="s">
        <v>1467</v>
      </c>
      <c r="G358" s="1" t="s">
        <v>38</v>
      </c>
      <c r="H3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8" s="11">
        <f>0</f>
        <v>0</v>
      </c>
      <c r="J358" s="1">
        <f>0</f>
        <v>0</v>
      </c>
      <c r="K358" s="1"/>
      <c r="L358" s="1">
        <v>0</v>
      </c>
      <c r="M358" s="1">
        <f>0</f>
        <v>0</v>
      </c>
      <c r="N358" s="1">
        <f>0</f>
        <v>0</v>
      </c>
      <c r="O358" s="1">
        <f>0</f>
        <v>0</v>
      </c>
      <c r="P358" s="1"/>
      <c r="Q358" s="1">
        <v>0</v>
      </c>
      <c r="R358" s="1">
        <v>0</v>
      </c>
      <c r="S358" s="1">
        <f>0</f>
        <v>0</v>
      </c>
      <c r="T358" s="1">
        <f>0</f>
        <v>0</v>
      </c>
      <c r="U358" s="1"/>
      <c r="V358" s="1">
        <v>0</v>
      </c>
      <c r="W358" s="1">
        <v>0</v>
      </c>
      <c r="X358" s="1">
        <f>0</f>
        <v>0</v>
      </c>
      <c r="Y358" s="1">
        <f>0</f>
        <v>0</v>
      </c>
      <c r="Z358" s="1">
        <f>0</f>
        <v>0</v>
      </c>
      <c r="AA358" s="1"/>
      <c r="AB358" s="5"/>
      <c r="AC358" s="5"/>
      <c r="AD358" s="1">
        <f>0</f>
        <v>0</v>
      </c>
      <c r="AE358" s="1">
        <f>0</f>
        <v>0</v>
      </c>
      <c r="AF358" s="1">
        <f>0</f>
        <v>0</v>
      </c>
      <c r="AG358" s="1">
        <f>0</f>
        <v>0</v>
      </c>
      <c r="AH358" s="1">
        <f>0</f>
        <v>0</v>
      </c>
      <c r="AI358" s="1">
        <f>0</f>
        <v>0</v>
      </c>
      <c r="AJ358" s="1"/>
      <c r="AK358" s="1"/>
      <c r="AL358" s="1"/>
      <c r="AM358" s="1"/>
      <c r="AN358" s="1"/>
      <c r="AO358" s="1"/>
      <c r="AP358" s="1"/>
      <c r="AQ358" s="1"/>
      <c r="AR358" s="1" t="b">
        <v>1</v>
      </c>
      <c r="AS358" s="1"/>
      <c r="AT358" s="1"/>
      <c r="AU358" s="1"/>
      <c r="AV358" s="1"/>
      <c r="AW358" s="1"/>
      <c r="AX358" s="1"/>
      <c r="AY358" s="1"/>
      <c r="AZ358" s="1"/>
    </row>
    <row r="359" spans="1:52" ht="15" customHeight="1" x14ac:dyDescent="0.35">
      <c r="A359" s="1" t="s">
        <v>1468</v>
      </c>
      <c r="B359" s="1" t="s">
        <v>92</v>
      </c>
      <c r="C359" s="1" t="s">
        <v>640</v>
      </c>
      <c r="D359" s="1"/>
      <c r="E359" s="1" t="s">
        <v>1414</v>
      </c>
      <c r="F359" s="9" t="s">
        <v>1469</v>
      </c>
      <c r="G359" s="1" t="s">
        <v>38</v>
      </c>
      <c r="H3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59" s="11">
        <f>0</f>
        <v>0</v>
      </c>
      <c r="J359" s="1">
        <f>0</f>
        <v>0</v>
      </c>
      <c r="K359" s="1"/>
      <c r="L359" s="1">
        <v>0</v>
      </c>
      <c r="M359" s="1">
        <f>0</f>
        <v>0</v>
      </c>
      <c r="N359" s="1">
        <f>0</f>
        <v>0</v>
      </c>
      <c r="O359" s="1">
        <f>0</f>
        <v>0</v>
      </c>
      <c r="P359" s="1"/>
      <c r="Q359" s="1">
        <v>0</v>
      </c>
      <c r="R359" s="1">
        <v>0</v>
      </c>
      <c r="S359" s="1">
        <f>0</f>
        <v>0</v>
      </c>
      <c r="T359" s="1">
        <f>0</f>
        <v>0</v>
      </c>
      <c r="U359" s="1"/>
      <c r="V359" s="1">
        <v>0</v>
      </c>
      <c r="W359" s="1">
        <v>0</v>
      </c>
      <c r="X359" s="1">
        <f>0</f>
        <v>0</v>
      </c>
      <c r="Y359" s="1">
        <f>0</f>
        <v>0</v>
      </c>
      <c r="Z359" s="1">
        <f>0</f>
        <v>0</v>
      </c>
      <c r="AA359" s="1"/>
      <c r="AB359" s="5"/>
      <c r="AC359" s="5"/>
      <c r="AD359" s="1">
        <f>0</f>
        <v>0</v>
      </c>
      <c r="AE359" s="1">
        <f>0</f>
        <v>0</v>
      </c>
      <c r="AF359" s="1">
        <f>0</f>
        <v>0</v>
      </c>
      <c r="AG359" s="1">
        <f>0</f>
        <v>0</v>
      </c>
      <c r="AH359" s="1">
        <f>0</f>
        <v>0</v>
      </c>
      <c r="AI359" s="1">
        <f>0</f>
        <v>0</v>
      </c>
      <c r="AJ359" s="1"/>
      <c r="AK359" s="1"/>
      <c r="AL359" s="1"/>
      <c r="AM359" s="1"/>
      <c r="AN359" s="1"/>
      <c r="AO359" s="1"/>
      <c r="AP359" s="1"/>
      <c r="AQ359" s="1"/>
      <c r="AR359" s="1" t="b">
        <v>1</v>
      </c>
      <c r="AS359" s="1"/>
      <c r="AT359" s="1"/>
      <c r="AU359" s="1"/>
      <c r="AV359" s="1"/>
      <c r="AW359" s="1"/>
      <c r="AX359" s="1"/>
      <c r="AY359" s="1"/>
      <c r="AZ359" s="1"/>
    </row>
    <row r="360" spans="1:52" ht="15" customHeight="1" x14ac:dyDescent="0.35">
      <c r="A360" s="1" t="s">
        <v>1470</v>
      </c>
      <c r="B360" s="1" t="s">
        <v>93</v>
      </c>
      <c r="C360" s="1" t="s">
        <v>640</v>
      </c>
      <c r="D360" s="1"/>
      <c r="E360" s="1" t="s">
        <v>1414</v>
      </c>
      <c r="F360" s="9" t="s">
        <v>1471</v>
      </c>
      <c r="G360" s="1" t="s">
        <v>38</v>
      </c>
      <c r="H3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0" s="11">
        <f>0</f>
        <v>0</v>
      </c>
      <c r="J360" s="1">
        <f>0</f>
        <v>0</v>
      </c>
      <c r="K360" s="1"/>
      <c r="L360" s="1">
        <v>0</v>
      </c>
      <c r="M360" s="1">
        <f>0</f>
        <v>0</v>
      </c>
      <c r="N360" s="1">
        <f>0</f>
        <v>0</v>
      </c>
      <c r="O360" s="1">
        <f>0</f>
        <v>0</v>
      </c>
      <c r="P360" s="1"/>
      <c r="Q360" s="1">
        <v>0</v>
      </c>
      <c r="R360" s="1">
        <v>0</v>
      </c>
      <c r="S360" s="1">
        <f>0</f>
        <v>0</v>
      </c>
      <c r="T360" s="1">
        <f>0</f>
        <v>0</v>
      </c>
      <c r="U360" s="1"/>
      <c r="V360" s="1">
        <v>0</v>
      </c>
      <c r="W360" s="1">
        <v>0</v>
      </c>
      <c r="X360" s="1">
        <f>0</f>
        <v>0</v>
      </c>
      <c r="Y360" s="1">
        <f>0</f>
        <v>0</v>
      </c>
      <c r="Z360" s="1">
        <f>0</f>
        <v>0</v>
      </c>
      <c r="AA360" s="1"/>
      <c r="AB360" s="5"/>
      <c r="AC360" s="5"/>
      <c r="AD360" s="1">
        <f>0</f>
        <v>0</v>
      </c>
      <c r="AE360" s="1">
        <f>0</f>
        <v>0</v>
      </c>
      <c r="AF360" s="1">
        <f>0</f>
        <v>0</v>
      </c>
      <c r="AG360" s="1">
        <f>0</f>
        <v>0</v>
      </c>
      <c r="AH360" s="1">
        <f>0</f>
        <v>0</v>
      </c>
      <c r="AI360" s="1">
        <f>0</f>
        <v>0</v>
      </c>
      <c r="AJ360" s="1"/>
      <c r="AK360" s="1"/>
      <c r="AL360" s="1"/>
      <c r="AM360" s="1"/>
      <c r="AN360" s="1"/>
      <c r="AO360" s="1"/>
      <c r="AP360" s="1"/>
      <c r="AQ360" s="1"/>
      <c r="AR360" s="1" t="b">
        <v>1</v>
      </c>
      <c r="AS360" s="1"/>
      <c r="AT360" s="1"/>
      <c r="AU360" s="1"/>
      <c r="AV360" s="1"/>
      <c r="AW360" s="1"/>
      <c r="AX360" s="1"/>
      <c r="AY360" s="1"/>
      <c r="AZ360" s="1"/>
    </row>
    <row r="361" spans="1:52" ht="15" customHeight="1" x14ac:dyDescent="0.35">
      <c r="A361" s="1" t="s">
        <v>1472</v>
      </c>
      <c r="B361" s="1" t="s">
        <v>94</v>
      </c>
      <c r="C361" s="1" t="s">
        <v>640</v>
      </c>
      <c r="D361" s="1"/>
      <c r="E361" s="1" t="s">
        <v>1414</v>
      </c>
      <c r="F361" s="9" t="s">
        <v>1473</v>
      </c>
      <c r="G361" s="1" t="s">
        <v>38</v>
      </c>
      <c r="H3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1" s="11">
        <f>0</f>
        <v>0</v>
      </c>
      <c r="J361" s="1">
        <f>0</f>
        <v>0</v>
      </c>
      <c r="K361" s="1"/>
      <c r="L361" s="1">
        <v>0</v>
      </c>
      <c r="M361" s="1">
        <f>0</f>
        <v>0</v>
      </c>
      <c r="N361" s="1">
        <f>0</f>
        <v>0</v>
      </c>
      <c r="O361" s="1">
        <f>0</f>
        <v>0</v>
      </c>
      <c r="P361" s="1"/>
      <c r="Q361" s="1">
        <v>0</v>
      </c>
      <c r="R361" s="1">
        <v>0</v>
      </c>
      <c r="S361" s="1">
        <f>0</f>
        <v>0</v>
      </c>
      <c r="T361" s="1">
        <f>0</f>
        <v>0</v>
      </c>
      <c r="U361" s="1"/>
      <c r="V361" s="1">
        <v>0</v>
      </c>
      <c r="W361" s="1">
        <v>0</v>
      </c>
      <c r="X361" s="1">
        <f>0</f>
        <v>0</v>
      </c>
      <c r="Y361" s="1">
        <f>0</f>
        <v>0</v>
      </c>
      <c r="Z361" s="1">
        <f>0</f>
        <v>0</v>
      </c>
      <c r="AA361" s="1"/>
      <c r="AB361" s="5"/>
      <c r="AC361" s="5"/>
      <c r="AD361" s="1">
        <f>0</f>
        <v>0</v>
      </c>
      <c r="AE361" s="1">
        <f>0</f>
        <v>0</v>
      </c>
      <c r="AF361" s="1">
        <f>0</f>
        <v>0</v>
      </c>
      <c r="AG361" s="1">
        <f>0</f>
        <v>0</v>
      </c>
      <c r="AH361" s="1">
        <f>0</f>
        <v>0</v>
      </c>
      <c r="AI361" s="1">
        <f>0</f>
        <v>0</v>
      </c>
      <c r="AJ361" s="1"/>
      <c r="AK361" s="1"/>
      <c r="AL361" s="1"/>
      <c r="AM361" s="1"/>
      <c r="AN361" s="1"/>
      <c r="AO361" s="1"/>
      <c r="AP361" s="1"/>
      <c r="AQ361" s="1"/>
      <c r="AR361" s="1" t="b">
        <v>1</v>
      </c>
      <c r="AS361" s="1"/>
      <c r="AT361" s="1"/>
      <c r="AU361" s="1"/>
      <c r="AV361" s="1"/>
      <c r="AW361" s="1"/>
      <c r="AX361" s="1"/>
      <c r="AY361" s="1"/>
      <c r="AZ361" s="1"/>
    </row>
    <row r="362" spans="1:52" ht="15" customHeight="1" x14ac:dyDescent="0.35">
      <c r="A362" s="1" t="s">
        <v>1474</v>
      </c>
      <c r="B362" s="1" t="s">
        <v>95</v>
      </c>
      <c r="C362" s="1" t="s">
        <v>640</v>
      </c>
      <c r="D362" s="1"/>
      <c r="E362" s="1" t="s">
        <v>1414</v>
      </c>
      <c r="F362" s="9" t="s">
        <v>1475</v>
      </c>
      <c r="G362" s="1" t="s">
        <v>38</v>
      </c>
      <c r="H3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2" s="11">
        <f>0</f>
        <v>0</v>
      </c>
      <c r="J362" s="1">
        <f>0</f>
        <v>0</v>
      </c>
      <c r="K362" s="1"/>
      <c r="L362" s="1">
        <v>0</v>
      </c>
      <c r="M362" s="1">
        <f>0</f>
        <v>0</v>
      </c>
      <c r="N362" s="1">
        <f>0</f>
        <v>0</v>
      </c>
      <c r="O362" s="1">
        <f>0</f>
        <v>0</v>
      </c>
      <c r="P362" s="1"/>
      <c r="Q362" s="1">
        <v>0</v>
      </c>
      <c r="R362" s="1">
        <v>0</v>
      </c>
      <c r="S362" s="1">
        <f>0</f>
        <v>0</v>
      </c>
      <c r="T362" s="1">
        <f>0</f>
        <v>0</v>
      </c>
      <c r="U362" s="1"/>
      <c r="V362" s="1">
        <v>0</v>
      </c>
      <c r="W362" s="1">
        <v>0</v>
      </c>
      <c r="X362" s="1">
        <f>0</f>
        <v>0</v>
      </c>
      <c r="Y362" s="1">
        <f>0</f>
        <v>0</v>
      </c>
      <c r="Z362" s="1">
        <f>0</f>
        <v>0</v>
      </c>
      <c r="AA362" s="1"/>
      <c r="AB362" s="5"/>
      <c r="AC362" s="5"/>
      <c r="AD362" s="1">
        <f>0</f>
        <v>0</v>
      </c>
      <c r="AE362" s="1">
        <f>0</f>
        <v>0</v>
      </c>
      <c r="AF362" s="1">
        <f>0</f>
        <v>0</v>
      </c>
      <c r="AG362" s="1">
        <f>0</f>
        <v>0</v>
      </c>
      <c r="AH362" s="1">
        <f>0</f>
        <v>0</v>
      </c>
      <c r="AI362" s="1">
        <f>0</f>
        <v>0</v>
      </c>
      <c r="AJ362" s="1"/>
      <c r="AK362" s="1"/>
      <c r="AL362" s="1"/>
      <c r="AM362" s="1"/>
      <c r="AN362" s="1"/>
      <c r="AO362" s="1"/>
      <c r="AP362" s="1"/>
      <c r="AQ362" s="1"/>
      <c r="AR362" s="1" t="b">
        <v>1</v>
      </c>
      <c r="AS362" s="1"/>
      <c r="AT362" s="1"/>
      <c r="AU362" s="1"/>
      <c r="AV362" s="1"/>
      <c r="AW362" s="1"/>
      <c r="AX362" s="1"/>
      <c r="AY362" s="1"/>
      <c r="AZ362" s="1"/>
    </row>
    <row r="363" spans="1:52" ht="15" customHeight="1" x14ac:dyDescent="0.35">
      <c r="A363" s="1" t="s">
        <v>1476</v>
      </c>
      <c r="B363" s="1" t="s">
        <v>96</v>
      </c>
      <c r="C363" s="1" t="s">
        <v>640</v>
      </c>
      <c r="D363" s="1"/>
      <c r="E363" s="1" t="s">
        <v>1414</v>
      </c>
      <c r="F363" s="9" t="s">
        <v>1477</v>
      </c>
      <c r="G363" s="1" t="s">
        <v>38</v>
      </c>
      <c r="H3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3" s="11">
        <f>0</f>
        <v>0</v>
      </c>
      <c r="J363" s="1">
        <f>0</f>
        <v>0</v>
      </c>
      <c r="K363" s="1"/>
      <c r="L363" s="1">
        <v>0</v>
      </c>
      <c r="M363" s="1">
        <f>0</f>
        <v>0</v>
      </c>
      <c r="N363" s="1">
        <f>0</f>
        <v>0</v>
      </c>
      <c r="O363" s="1">
        <f>0</f>
        <v>0</v>
      </c>
      <c r="P363" s="1"/>
      <c r="Q363" s="1">
        <v>0</v>
      </c>
      <c r="R363" s="1">
        <v>0</v>
      </c>
      <c r="S363" s="1">
        <f>0</f>
        <v>0</v>
      </c>
      <c r="T363" s="1">
        <f>0</f>
        <v>0</v>
      </c>
      <c r="U363" s="1"/>
      <c r="V363" s="1">
        <v>0</v>
      </c>
      <c r="W363" s="1">
        <v>0</v>
      </c>
      <c r="X363" s="1">
        <f>0</f>
        <v>0</v>
      </c>
      <c r="Y363" s="1">
        <f>0</f>
        <v>0</v>
      </c>
      <c r="Z363" s="1">
        <f>0</f>
        <v>0</v>
      </c>
      <c r="AA363" s="1"/>
      <c r="AB363" s="5"/>
      <c r="AC363" s="5"/>
      <c r="AD363" s="1">
        <f>0</f>
        <v>0</v>
      </c>
      <c r="AE363" s="1">
        <f>0</f>
        <v>0</v>
      </c>
      <c r="AF363" s="1">
        <f>0</f>
        <v>0</v>
      </c>
      <c r="AG363" s="1">
        <f>0</f>
        <v>0</v>
      </c>
      <c r="AH363" s="1">
        <f>0</f>
        <v>0</v>
      </c>
      <c r="AI363" s="1">
        <f>0</f>
        <v>0</v>
      </c>
      <c r="AJ363" s="1"/>
      <c r="AK363" s="1"/>
      <c r="AL363" s="1"/>
      <c r="AM363" s="1"/>
      <c r="AN363" s="1"/>
      <c r="AO363" s="1"/>
      <c r="AP363" s="1"/>
      <c r="AQ363" s="1"/>
      <c r="AR363" s="1" t="b">
        <v>1</v>
      </c>
      <c r="AS363" s="1"/>
      <c r="AT363" s="1"/>
      <c r="AU363" s="1"/>
      <c r="AV363" s="1"/>
      <c r="AW363" s="1"/>
      <c r="AX363" s="1"/>
      <c r="AY363" s="1"/>
      <c r="AZ363" s="1"/>
    </row>
    <row r="364" spans="1:52" ht="15" customHeight="1" x14ac:dyDescent="0.35">
      <c r="A364" s="1" t="s">
        <v>1478</v>
      </c>
      <c r="B364" s="1" t="s">
        <v>97</v>
      </c>
      <c r="C364" s="1" t="s">
        <v>640</v>
      </c>
      <c r="D364" s="1"/>
      <c r="E364" s="1" t="s">
        <v>1414</v>
      </c>
      <c r="F364" s="9" t="s">
        <v>1479</v>
      </c>
      <c r="G364" s="1" t="s">
        <v>38</v>
      </c>
      <c r="H3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4" s="11">
        <f>0</f>
        <v>0</v>
      </c>
      <c r="J364" s="1">
        <f>0</f>
        <v>0</v>
      </c>
      <c r="K364" s="1"/>
      <c r="L364" s="1">
        <v>0</v>
      </c>
      <c r="M364" s="1">
        <f>0</f>
        <v>0</v>
      </c>
      <c r="N364" s="1">
        <f>0</f>
        <v>0</v>
      </c>
      <c r="O364" s="1">
        <f>0</f>
        <v>0</v>
      </c>
      <c r="P364" s="1"/>
      <c r="Q364" s="1">
        <v>0</v>
      </c>
      <c r="R364" s="1">
        <v>0</v>
      </c>
      <c r="S364" s="1">
        <f>0</f>
        <v>0</v>
      </c>
      <c r="T364" s="1">
        <f>0</f>
        <v>0</v>
      </c>
      <c r="U364" s="1"/>
      <c r="V364" s="1">
        <v>0</v>
      </c>
      <c r="W364" s="1">
        <v>0</v>
      </c>
      <c r="X364" s="1">
        <f>0</f>
        <v>0</v>
      </c>
      <c r="Y364" s="1">
        <f>0</f>
        <v>0</v>
      </c>
      <c r="Z364" s="1">
        <f>0</f>
        <v>0</v>
      </c>
      <c r="AA364" s="1"/>
      <c r="AB364" s="5"/>
      <c r="AC364" s="5"/>
      <c r="AD364" s="1">
        <f>0</f>
        <v>0</v>
      </c>
      <c r="AE364" s="1">
        <f>0</f>
        <v>0</v>
      </c>
      <c r="AF364" s="1">
        <f>0</f>
        <v>0</v>
      </c>
      <c r="AG364" s="1">
        <f>0</f>
        <v>0</v>
      </c>
      <c r="AH364" s="1">
        <f>0</f>
        <v>0</v>
      </c>
      <c r="AI364" s="1">
        <f>0</f>
        <v>0</v>
      </c>
      <c r="AJ364" s="1"/>
      <c r="AK364" s="1"/>
      <c r="AL364" s="1"/>
      <c r="AM364" s="1"/>
      <c r="AN364" s="1"/>
      <c r="AO364" s="1"/>
      <c r="AP364" s="1"/>
      <c r="AQ364" s="1"/>
      <c r="AR364" s="1" t="b">
        <v>1</v>
      </c>
      <c r="AS364" s="1"/>
      <c r="AT364" s="1"/>
      <c r="AU364" s="1"/>
      <c r="AV364" s="1"/>
      <c r="AW364" s="1"/>
      <c r="AX364" s="1"/>
      <c r="AY364" s="1"/>
      <c r="AZ364" s="1"/>
    </row>
    <row r="365" spans="1:52" ht="15" customHeight="1" x14ac:dyDescent="0.35">
      <c r="A365" s="1" t="s">
        <v>1480</v>
      </c>
      <c r="B365" s="1" t="s">
        <v>98</v>
      </c>
      <c r="C365" s="1" t="s">
        <v>640</v>
      </c>
      <c r="D365" s="1"/>
      <c r="E365" s="1" t="s">
        <v>1414</v>
      </c>
      <c r="F365" s="9" t="s">
        <v>1481</v>
      </c>
      <c r="G365" s="1" t="s">
        <v>38</v>
      </c>
      <c r="H3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5" s="11">
        <f>0</f>
        <v>0</v>
      </c>
      <c r="J365" s="1">
        <f>0</f>
        <v>0</v>
      </c>
      <c r="K365" s="1"/>
      <c r="L365" s="1">
        <v>0</v>
      </c>
      <c r="M365" s="1">
        <f>0</f>
        <v>0</v>
      </c>
      <c r="N365" s="1">
        <f>0</f>
        <v>0</v>
      </c>
      <c r="O365" s="1">
        <f>0</f>
        <v>0</v>
      </c>
      <c r="P365" s="1"/>
      <c r="Q365" s="1">
        <v>0</v>
      </c>
      <c r="R365" s="1">
        <v>0</v>
      </c>
      <c r="S365" s="1">
        <f>0</f>
        <v>0</v>
      </c>
      <c r="T365" s="1">
        <f>0</f>
        <v>0</v>
      </c>
      <c r="U365" s="1"/>
      <c r="V365" s="1">
        <v>0</v>
      </c>
      <c r="W365" s="1">
        <v>0</v>
      </c>
      <c r="X365" s="1">
        <f>0</f>
        <v>0</v>
      </c>
      <c r="Y365" s="1">
        <f>0</f>
        <v>0</v>
      </c>
      <c r="Z365" s="1">
        <f>0</f>
        <v>0</v>
      </c>
      <c r="AA365" s="1"/>
      <c r="AB365" s="5"/>
      <c r="AC365" s="5"/>
      <c r="AD365" s="1">
        <f>0</f>
        <v>0</v>
      </c>
      <c r="AE365" s="1">
        <f>0</f>
        <v>0</v>
      </c>
      <c r="AF365" s="1">
        <f>0</f>
        <v>0</v>
      </c>
      <c r="AG365" s="1">
        <f>0</f>
        <v>0</v>
      </c>
      <c r="AH365" s="1">
        <f>0</f>
        <v>0</v>
      </c>
      <c r="AI365" s="1">
        <f>0</f>
        <v>0</v>
      </c>
      <c r="AJ365" s="1"/>
      <c r="AK365" s="1"/>
      <c r="AL365" s="1"/>
      <c r="AM365" s="1"/>
      <c r="AN365" s="1"/>
      <c r="AO365" s="1"/>
      <c r="AP365" s="1"/>
      <c r="AQ365" s="1"/>
      <c r="AR365" s="1" t="b">
        <v>1</v>
      </c>
      <c r="AS365" s="1"/>
      <c r="AT365" s="1"/>
      <c r="AU365" s="1"/>
      <c r="AV365" s="1"/>
      <c r="AW365" s="1"/>
      <c r="AX365" s="1"/>
      <c r="AY365" s="1"/>
      <c r="AZ365" s="1"/>
    </row>
    <row r="366" spans="1:52" ht="15" customHeight="1" x14ac:dyDescent="0.35">
      <c r="A366" s="1" t="s">
        <v>1482</v>
      </c>
      <c r="B366" s="1" t="s">
        <v>99</v>
      </c>
      <c r="C366" s="1" t="s">
        <v>640</v>
      </c>
      <c r="D366" s="1"/>
      <c r="E366" s="1" t="s">
        <v>1414</v>
      </c>
      <c r="F366" s="9" t="s">
        <v>1483</v>
      </c>
      <c r="G366" s="1" t="s">
        <v>38</v>
      </c>
      <c r="H3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6" s="11">
        <f>0</f>
        <v>0</v>
      </c>
      <c r="J366" s="1">
        <f>0</f>
        <v>0</v>
      </c>
      <c r="K366" s="1"/>
      <c r="L366" s="1">
        <v>0</v>
      </c>
      <c r="M366" s="1">
        <f>0</f>
        <v>0</v>
      </c>
      <c r="N366" s="1">
        <f>0</f>
        <v>0</v>
      </c>
      <c r="O366" s="1">
        <f>0</f>
        <v>0</v>
      </c>
      <c r="P366" s="1"/>
      <c r="Q366" s="1">
        <v>0</v>
      </c>
      <c r="R366" s="1">
        <v>0</v>
      </c>
      <c r="S366" s="1">
        <f>0</f>
        <v>0</v>
      </c>
      <c r="T366" s="1">
        <f>0</f>
        <v>0</v>
      </c>
      <c r="U366" s="1"/>
      <c r="V366" s="1">
        <v>0</v>
      </c>
      <c r="W366" s="1">
        <v>0</v>
      </c>
      <c r="X366" s="1">
        <f>0</f>
        <v>0</v>
      </c>
      <c r="Y366" s="1">
        <f>0</f>
        <v>0</v>
      </c>
      <c r="Z366" s="1">
        <f>0</f>
        <v>0</v>
      </c>
      <c r="AA366" s="1"/>
      <c r="AB366" s="5"/>
      <c r="AC366" s="5"/>
      <c r="AD366" s="1">
        <f>0</f>
        <v>0</v>
      </c>
      <c r="AE366" s="1">
        <f>0</f>
        <v>0</v>
      </c>
      <c r="AF366" s="1">
        <f>0</f>
        <v>0</v>
      </c>
      <c r="AG366" s="1">
        <f>0</f>
        <v>0</v>
      </c>
      <c r="AH366" s="1">
        <f>0</f>
        <v>0</v>
      </c>
      <c r="AI366" s="1">
        <f>0</f>
        <v>0</v>
      </c>
      <c r="AJ366" s="1"/>
      <c r="AK366" s="1"/>
      <c r="AL366" s="1"/>
      <c r="AM366" s="1"/>
      <c r="AN366" s="1"/>
      <c r="AO366" s="1"/>
      <c r="AP366" s="1"/>
      <c r="AQ366" s="1"/>
      <c r="AR366" s="1" t="b">
        <v>1</v>
      </c>
      <c r="AS366" s="1"/>
      <c r="AT366" s="1"/>
      <c r="AU366" s="1"/>
      <c r="AV366" s="1"/>
      <c r="AW366" s="1"/>
      <c r="AX366" s="1"/>
      <c r="AY366" s="1"/>
      <c r="AZ366" s="1"/>
    </row>
    <row r="367" spans="1:52" ht="15" customHeight="1" x14ac:dyDescent="0.35">
      <c r="A367" s="1" t="s">
        <v>1484</v>
      </c>
      <c r="B367" s="1" t="s">
        <v>100</v>
      </c>
      <c r="C367" s="1" t="s">
        <v>640</v>
      </c>
      <c r="D367" s="1"/>
      <c r="E367" s="1" t="s">
        <v>1414</v>
      </c>
      <c r="F367" s="9" t="s">
        <v>1485</v>
      </c>
      <c r="G367" s="1" t="s">
        <v>38</v>
      </c>
      <c r="H3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7" s="11">
        <f>0</f>
        <v>0</v>
      </c>
      <c r="J367" s="1">
        <f>0</f>
        <v>0</v>
      </c>
      <c r="K367" s="1"/>
      <c r="L367" s="1">
        <v>0</v>
      </c>
      <c r="M367" s="1">
        <f>0</f>
        <v>0</v>
      </c>
      <c r="N367" s="1">
        <f>0</f>
        <v>0</v>
      </c>
      <c r="O367" s="1">
        <f>0</f>
        <v>0</v>
      </c>
      <c r="P367" s="1"/>
      <c r="Q367" s="1">
        <v>0</v>
      </c>
      <c r="R367" s="1">
        <v>0</v>
      </c>
      <c r="S367" s="1">
        <f>0</f>
        <v>0</v>
      </c>
      <c r="T367" s="1">
        <f>0</f>
        <v>0</v>
      </c>
      <c r="U367" s="1"/>
      <c r="V367" s="1">
        <v>0</v>
      </c>
      <c r="W367" s="1">
        <v>0</v>
      </c>
      <c r="X367" s="1">
        <f>0</f>
        <v>0</v>
      </c>
      <c r="Y367" s="1">
        <f>0</f>
        <v>0</v>
      </c>
      <c r="Z367" s="1">
        <f>0</f>
        <v>0</v>
      </c>
      <c r="AA367" s="1"/>
      <c r="AB367" s="5"/>
      <c r="AC367" s="5"/>
      <c r="AD367" s="1">
        <f>0</f>
        <v>0</v>
      </c>
      <c r="AE367" s="1">
        <f>0</f>
        <v>0</v>
      </c>
      <c r="AF367" s="1">
        <f>0</f>
        <v>0</v>
      </c>
      <c r="AG367" s="1">
        <f>0</f>
        <v>0</v>
      </c>
      <c r="AH367" s="1">
        <f>0</f>
        <v>0</v>
      </c>
      <c r="AI367" s="1">
        <f>0</f>
        <v>0</v>
      </c>
      <c r="AJ367" s="1"/>
      <c r="AK367" s="1"/>
      <c r="AL367" s="1"/>
      <c r="AM367" s="1"/>
      <c r="AN367" s="1"/>
      <c r="AO367" s="1"/>
      <c r="AP367" s="1"/>
      <c r="AQ367" s="1"/>
      <c r="AR367" s="1" t="b">
        <v>1</v>
      </c>
      <c r="AS367" s="1"/>
      <c r="AT367" s="1"/>
      <c r="AU367" s="1"/>
      <c r="AV367" s="1"/>
      <c r="AW367" s="1"/>
      <c r="AX367" s="1"/>
      <c r="AY367" s="1"/>
      <c r="AZ367" s="1"/>
    </row>
    <row r="368" spans="1:52" ht="15" customHeight="1" x14ac:dyDescent="0.35">
      <c r="A368" s="1" t="s">
        <v>1486</v>
      </c>
      <c r="B368" s="1" t="s">
        <v>101</v>
      </c>
      <c r="C368" s="1" t="s">
        <v>640</v>
      </c>
      <c r="D368" s="1"/>
      <c r="E368" s="1" t="s">
        <v>1414</v>
      </c>
      <c r="F368" s="9" t="s">
        <v>1487</v>
      </c>
      <c r="G368" s="1" t="s">
        <v>38</v>
      </c>
      <c r="H3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8" s="11">
        <f>0</f>
        <v>0</v>
      </c>
      <c r="J368" s="1">
        <f>0</f>
        <v>0</v>
      </c>
      <c r="K368" s="1"/>
      <c r="L368" s="1">
        <v>0</v>
      </c>
      <c r="M368" s="1">
        <f>0</f>
        <v>0</v>
      </c>
      <c r="N368" s="1">
        <f>0</f>
        <v>0</v>
      </c>
      <c r="O368" s="1">
        <f>0</f>
        <v>0</v>
      </c>
      <c r="P368" s="1"/>
      <c r="Q368" s="1">
        <v>0</v>
      </c>
      <c r="R368" s="1">
        <v>0</v>
      </c>
      <c r="S368" s="1">
        <f>0</f>
        <v>0</v>
      </c>
      <c r="T368" s="1">
        <f>0</f>
        <v>0</v>
      </c>
      <c r="U368" s="1"/>
      <c r="V368" s="1">
        <v>0</v>
      </c>
      <c r="W368" s="1">
        <v>0</v>
      </c>
      <c r="X368" s="1">
        <f>0</f>
        <v>0</v>
      </c>
      <c r="Y368" s="1">
        <f>0</f>
        <v>0</v>
      </c>
      <c r="Z368" s="1">
        <f>0</f>
        <v>0</v>
      </c>
      <c r="AA368" s="1"/>
      <c r="AB368" s="5"/>
      <c r="AC368" s="5"/>
      <c r="AD368" s="1">
        <f>0</f>
        <v>0</v>
      </c>
      <c r="AE368" s="1">
        <f>0</f>
        <v>0</v>
      </c>
      <c r="AF368" s="1">
        <f>0</f>
        <v>0</v>
      </c>
      <c r="AG368" s="1">
        <f>0</f>
        <v>0</v>
      </c>
      <c r="AH368" s="1">
        <f>0</f>
        <v>0</v>
      </c>
      <c r="AI368" s="1">
        <f>0</f>
        <v>0</v>
      </c>
      <c r="AJ368" s="1"/>
      <c r="AK368" s="1"/>
      <c r="AL368" s="1"/>
      <c r="AM368" s="1"/>
      <c r="AN368" s="1"/>
      <c r="AO368" s="1"/>
      <c r="AP368" s="1"/>
      <c r="AQ368" s="1"/>
      <c r="AR368" s="1" t="b">
        <v>1</v>
      </c>
      <c r="AS368" s="1"/>
      <c r="AT368" s="1"/>
      <c r="AU368" s="1"/>
      <c r="AV368" s="1"/>
      <c r="AW368" s="1"/>
      <c r="AX368" s="1"/>
      <c r="AY368" s="1"/>
      <c r="AZ368" s="1"/>
    </row>
    <row r="369" spans="1:52" ht="15" customHeight="1" x14ac:dyDescent="0.35">
      <c r="A369" s="1" t="s">
        <v>1488</v>
      </c>
      <c r="B369" s="1" t="s">
        <v>102</v>
      </c>
      <c r="C369" s="1" t="s">
        <v>640</v>
      </c>
      <c r="D369" s="1"/>
      <c r="E369" s="1" t="s">
        <v>1414</v>
      </c>
      <c r="F369" s="9" t="s">
        <v>1489</v>
      </c>
      <c r="G369" s="1" t="s">
        <v>38</v>
      </c>
      <c r="H3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69" s="11">
        <f>0</f>
        <v>0</v>
      </c>
      <c r="J369" s="1">
        <f>0</f>
        <v>0</v>
      </c>
      <c r="K369" s="1"/>
      <c r="L369" s="1">
        <v>0</v>
      </c>
      <c r="M369" s="1">
        <f>0</f>
        <v>0</v>
      </c>
      <c r="N369" s="1">
        <f>0</f>
        <v>0</v>
      </c>
      <c r="O369" s="1">
        <f>0</f>
        <v>0</v>
      </c>
      <c r="P369" s="1"/>
      <c r="Q369" s="1">
        <v>0</v>
      </c>
      <c r="R369" s="1">
        <v>0</v>
      </c>
      <c r="S369" s="1">
        <f>0</f>
        <v>0</v>
      </c>
      <c r="T369" s="1">
        <f>0</f>
        <v>0</v>
      </c>
      <c r="U369" s="1"/>
      <c r="V369" s="1">
        <v>0</v>
      </c>
      <c r="W369" s="1">
        <v>0</v>
      </c>
      <c r="X369" s="1">
        <f>0</f>
        <v>0</v>
      </c>
      <c r="Y369" s="1">
        <f>0</f>
        <v>0</v>
      </c>
      <c r="Z369" s="1">
        <f>0</f>
        <v>0</v>
      </c>
      <c r="AA369" s="1"/>
      <c r="AB369" s="5"/>
      <c r="AC369" s="5"/>
      <c r="AD369" s="1">
        <f>0</f>
        <v>0</v>
      </c>
      <c r="AE369" s="1">
        <f>0</f>
        <v>0</v>
      </c>
      <c r="AF369" s="1">
        <f>0</f>
        <v>0</v>
      </c>
      <c r="AG369" s="1">
        <f>0</f>
        <v>0</v>
      </c>
      <c r="AH369" s="1">
        <f>0</f>
        <v>0</v>
      </c>
      <c r="AI369" s="1">
        <f>0</f>
        <v>0</v>
      </c>
      <c r="AJ369" s="1"/>
      <c r="AK369" s="1"/>
      <c r="AL369" s="1"/>
      <c r="AM369" s="1"/>
      <c r="AN369" s="1"/>
      <c r="AO369" s="1"/>
      <c r="AP369" s="1"/>
      <c r="AQ369" s="1"/>
      <c r="AR369" s="1" t="b">
        <v>1</v>
      </c>
      <c r="AS369" s="1"/>
      <c r="AT369" s="1"/>
      <c r="AU369" s="1"/>
      <c r="AV369" s="1"/>
      <c r="AW369" s="1"/>
      <c r="AX369" s="1"/>
      <c r="AY369" s="1"/>
      <c r="AZ369" s="1"/>
    </row>
    <row r="370" spans="1:52" ht="15" customHeight="1" x14ac:dyDescent="0.35">
      <c r="A370" s="1" t="s">
        <v>1490</v>
      </c>
      <c r="B370" s="1" t="s">
        <v>103</v>
      </c>
      <c r="C370" s="1" t="s">
        <v>640</v>
      </c>
      <c r="D370" s="1"/>
      <c r="E370" s="1" t="s">
        <v>1414</v>
      </c>
      <c r="F370" s="9" t="s">
        <v>1491</v>
      </c>
      <c r="G370" s="1" t="s">
        <v>38</v>
      </c>
      <c r="H3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0" s="11">
        <f>0</f>
        <v>0</v>
      </c>
      <c r="J370" s="1">
        <f>0</f>
        <v>0</v>
      </c>
      <c r="K370" s="1"/>
      <c r="L370" s="1">
        <v>0</v>
      </c>
      <c r="M370" s="1">
        <f>0</f>
        <v>0</v>
      </c>
      <c r="N370" s="1">
        <f>0</f>
        <v>0</v>
      </c>
      <c r="O370" s="1">
        <f>0</f>
        <v>0</v>
      </c>
      <c r="P370" s="1"/>
      <c r="Q370" s="1">
        <v>0</v>
      </c>
      <c r="R370" s="1">
        <v>0</v>
      </c>
      <c r="S370" s="1">
        <f>0</f>
        <v>0</v>
      </c>
      <c r="T370" s="1">
        <f>0</f>
        <v>0</v>
      </c>
      <c r="U370" s="1"/>
      <c r="V370" s="1">
        <v>0</v>
      </c>
      <c r="W370" s="1">
        <v>0</v>
      </c>
      <c r="X370" s="1">
        <f>0</f>
        <v>0</v>
      </c>
      <c r="Y370" s="1">
        <f>0</f>
        <v>0</v>
      </c>
      <c r="Z370" s="1">
        <f>0</f>
        <v>0</v>
      </c>
      <c r="AA370" s="1"/>
      <c r="AB370" s="5"/>
      <c r="AC370" s="5"/>
      <c r="AD370" s="1">
        <f>0</f>
        <v>0</v>
      </c>
      <c r="AE370" s="1">
        <f>0</f>
        <v>0</v>
      </c>
      <c r="AF370" s="1">
        <f>0</f>
        <v>0</v>
      </c>
      <c r="AG370" s="1">
        <f>0</f>
        <v>0</v>
      </c>
      <c r="AH370" s="1">
        <f>0</f>
        <v>0</v>
      </c>
      <c r="AI370" s="1">
        <f>0</f>
        <v>0</v>
      </c>
      <c r="AJ370" s="1"/>
      <c r="AK370" s="1"/>
      <c r="AL370" s="1"/>
      <c r="AM370" s="1"/>
      <c r="AN370" s="1"/>
      <c r="AO370" s="1"/>
      <c r="AP370" s="1"/>
      <c r="AQ370" s="1"/>
      <c r="AR370" s="1" t="b">
        <v>1</v>
      </c>
      <c r="AS370" s="1"/>
      <c r="AT370" s="1"/>
      <c r="AU370" s="1"/>
      <c r="AV370" s="1"/>
      <c r="AW370" s="1"/>
      <c r="AX370" s="1"/>
      <c r="AY370" s="1"/>
      <c r="AZ370" s="1"/>
    </row>
    <row r="371" spans="1:52" ht="15" customHeight="1" x14ac:dyDescent="0.35">
      <c r="A371" s="1" t="s">
        <v>1492</v>
      </c>
      <c r="B371" s="1" t="s">
        <v>104</v>
      </c>
      <c r="C371" s="1" t="s">
        <v>640</v>
      </c>
      <c r="D371" s="1"/>
      <c r="E371" s="1" t="s">
        <v>1414</v>
      </c>
      <c r="F371" s="9" t="s">
        <v>1493</v>
      </c>
      <c r="G371" s="1" t="s">
        <v>38</v>
      </c>
      <c r="H3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1" s="11">
        <f>0</f>
        <v>0</v>
      </c>
      <c r="J371" s="1">
        <f>0</f>
        <v>0</v>
      </c>
      <c r="K371" s="1"/>
      <c r="L371" s="1">
        <v>0</v>
      </c>
      <c r="M371" s="1">
        <f>0</f>
        <v>0</v>
      </c>
      <c r="N371" s="1">
        <f>0</f>
        <v>0</v>
      </c>
      <c r="O371" s="1">
        <f>0</f>
        <v>0</v>
      </c>
      <c r="P371" s="1"/>
      <c r="Q371" s="1">
        <v>0</v>
      </c>
      <c r="R371" s="1">
        <v>0</v>
      </c>
      <c r="S371" s="1">
        <f>0</f>
        <v>0</v>
      </c>
      <c r="T371" s="1">
        <f>0</f>
        <v>0</v>
      </c>
      <c r="U371" s="1"/>
      <c r="V371" s="1">
        <v>0</v>
      </c>
      <c r="W371" s="1">
        <v>0</v>
      </c>
      <c r="X371" s="1">
        <f>0</f>
        <v>0</v>
      </c>
      <c r="Y371" s="1">
        <f>0</f>
        <v>0</v>
      </c>
      <c r="Z371" s="1">
        <f>0</f>
        <v>0</v>
      </c>
      <c r="AA371" s="1"/>
      <c r="AB371" s="5"/>
      <c r="AC371" s="5"/>
      <c r="AD371" s="1">
        <f>0</f>
        <v>0</v>
      </c>
      <c r="AE371" s="1">
        <f>0</f>
        <v>0</v>
      </c>
      <c r="AF371" s="1">
        <f>0</f>
        <v>0</v>
      </c>
      <c r="AG371" s="1">
        <f>0</f>
        <v>0</v>
      </c>
      <c r="AH371" s="1">
        <f>0</f>
        <v>0</v>
      </c>
      <c r="AI371" s="1">
        <f>0</f>
        <v>0</v>
      </c>
      <c r="AJ371" s="1"/>
      <c r="AK371" s="1"/>
      <c r="AL371" s="1"/>
      <c r="AM371" s="1"/>
      <c r="AN371" s="1"/>
      <c r="AO371" s="1"/>
      <c r="AP371" s="1"/>
      <c r="AQ371" s="1"/>
      <c r="AR371" s="1" t="b">
        <v>1</v>
      </c>
      <c r="AS371" s="1"/>
      <c r="AT371" s="1"/>
      <c r="AU371" s="1"/>
      <c r="AV371" s="1"/>
      <c r="AW371" s="1"/>
      <c r="AX371" s="1"/>
      <c r="AY371" s="1"/>
      <c r="AZ371" s="1"/>
    </row>
    <row r="372" spans="1:52" ht="15" customHeight="1" x14ac:dyDescent="0.35">
      <c r="A372" s="1" t="s">
        <v>1494</v>
      </c>
      <c r="B372" s="1" t="s">
        <v>105</v>
      </c>
      <c r="C372" s="1" t="s">
        <v>640</v>
      </c>
      <c r="D372" s="1"/>
      <c r="E372" s="1" t="s">
        <v>1414</v>
      </c>
      <c r="F372" s="9" t="s">
        <v>1495</v>
      </c>
      <c r="G372" s="1" t="s">
        <v>38</v>
      </c>
      <c r="H3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2" s="11">
        <f>0</f>
        <v>0</v>
      </c>
      <c r="J372" s="1">
        <f>0</f>
        <v>0</v>
      </c>
      <c r="K372" s="1"/>
      <c r="L372" s="1">
        <v>0</v>
      </c>
      <c r="M372" s="1">
        <f>0</f>
        <v>0</v>
      </c>
      <c r="N372" s="1">
        <f>0</f>
        <v>0</v>
      </c>
      <c r="O372" s="1">
        <f>0</f>
        <v>0</v>
      </c>
      <c r="P372" s="1"/>
      <c r="Q372" s="1">
        <v>0</v>
      </c>
      <c r="R372" s="1">
        <v>0</v>
      </c>
      <c r="S372" s="1">
        <f>0</f>
        <v>0</v>
      </c>
      <c r="T372" s="1">
        <f>0</f>
        <v>0</v>
      </c>
      <c r="U372" s="1"/>
      <c r="V372" s="1">
        <v>0</v>
      </c>
      <c r="W372" s="1">
        <v>0</v>
      </c>
      <c r="X372" s="1">
        <f>0</f>
        <v>0</v>
      </c>
      <c r="Y372" s="1">
        <f>0</f>
        <v>0</v>
      </c>
      <c r="Z372" s="1">
        <f>0</f>
        <v>0</v>
      </c>
      <c r="AA372" s="1"/>
      <c r="AB372" s="5"/>
      <c r="AC372" s="5"/>
      <c r="AD372" s="1">
        <f>0</f>
        <v>0</v>
      </c>
      <c r="AE372" s="1">
        <f>0</f>
        <v>0</v>
      </c>
      <c r="AF372" s="1">
        <f>0</f>
        <v>0</v>
      </c>
      <c r="AG372" s="1">
        <f>0</f>
        <v>0</v>
      </c>
      <c r="AH372" s="1">
        <f>0</f>
        <v>0</v>
      </c>
      <c r="AI372" s="1">
        <f>0</f>
        <v>0</v>
      </c>
      <c r="AJ372" s="1"/>
      <c r="AK372" s="1"/>
      <c r="AL372" s="1"/>
      <c r="AM372" s="1"/>
      <c r="AN372" s="1"/>
      <c r="AO372" s="1"/>
      <c r="AP372" s="1"/>
      <c r="AQ372" s="1"/>
      <c r="AR372" s="1" t="b">
        <v>1</v>
      </c>
      <c r="AS372" s="1"/>
      <c r="AT372" s="1"/>
      <c r="AU372" s="1"/>
      <c r="AV372" s="1"/>
      <c r="AW372" s="1"/>
      <c r="AX372" s="1"/>
      <c r="AY372" s="1"/>
      <c r="AZ372" s="1"/>
    </row>
    <row r="373" spans="1:52" ht="15" customHeight="1" x14ac:dyDescent="0.35">
      <c r="A373" s="1" t="s">
        <v>1496</v>
      </c>
      <c r="B373" s="1" t="s">
        <v>106</v>
      </c>
      <c r="C373" s="1" t="s">
        <v>640</v>
      </c>
      <c r="D373" s="1"/>
      <c r="E373" s="1" t="s">
        <v>1414</v>
      </c>
      <c r="F373" s="9" t="s">
        <v>1497</v>
      </c>
      <c r="G373" s="1" t="s">
        <v>38</v>
      </c>
      <c r="H3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3" s="11">
        <f>0</f>
        <v>0</v>
      </c>
      <c r="J373" s="1">
        <f>0</f>
        <v>0</v>
      </c>
      <c r="K373" s="1"/>
      <c r="L373" s="1">
        <v>0</v>
      </c>
      <c r="M373" s="1">
        <f>0</f>
        <v>0</v>
      </c>
      <c r="N373" s="1">
        <f>0</f>
        <v>0</v>
      </c>
      <c r="O373" s="1">
        <f>0</f>
        <v>0</v>
      </c>
      <c r="P373" s="1"/>
      <c r="Q373" s="1">
        <v>0</v>
      </c>
      <c r="R373" s="1">
        <v>0</v>
      </c>
      <c r="S373" s="1">
        <f>0</f>
        <v>0</v>
      </c>
      <c r="T373" s="1">
        <f>0</f>
        <v>0</v>
      </c>
      <c r="U373" s="1"/>
      <c r="V373" s="1">
        <v>0</v>
      </c>
      <c r="W373" s="1">
        <v>0</v>
      </c>
      <c r="X373" s="1">
        <f>0</f>
        <v>0</v>
      </c>
      <c r="Y373" s="1">
        <f>0</f>
        <v>0</v>
      </c>
      <c r="Z373" s="1">
        <f>0</f>
        <v>0</v>
      </c>
      <c r="AA373" s="1"/>
      <c r="AB373" s="5"/>
      <c r="AC373" s="5"/>
      <c r="AD373" s="1">
        <f>0</f>
        <v>0</v>
      </c>
      <c r="AE373" s="1">
        <f>0</f>
        <v>0</v>
      </c>
      <c r="AF373" s="1">
        <f>0</f>
        <v>0</v>
      </c>
      <c r="AG373" s="1">
        <f>0</f>
        <v>0</v>
      </c>
      <c r="AH373" s="1">
        <f>0</f>
        <v>0</v>
      </c>
      <c r="AI373" s="1">
        <f>0</f>
        <v>0</v>
      </c>
      <c r="AJ373" s="1"/>
      <c r="AK373" s="1"/>
      <c r="AL373" s="1"/>
      <c r="AM373" s="1"/>
      <c r="AN373" s="1"/>
      <c r="AO373" s="1"/>
      <c r="AP373" s="1"/>
      <c r="AQ373" s="1"/>
      <c r="AR373" s="1" t="b">
        <v>1</v>
      </c>
      <c r="AS373" s="1"/>
      <c r="AT373" s="1"/>
      <c r="AU373" s="1"/>
      <c r="AV373" s="1"/>
      <c r="AW373" s="1"/>
      <c r="AX373" s="1"/>
      <c r="AY373" s="1"/>
      <c r="AZ373" s="1"/>
    </row>
    <row r="374" spans="1:52" ht="15" customHeight="1" x14ac:dyDescent="0.35">
      <c r="A374" s="1" t="s">
        <v>1498</v>
      </c>
      <c r="B374" s="1" t="s">
        <v>107</v>
      </c>
      <c r="C374" s="1" t="s">
        <v>640</v>
      </c>
      <c r="D374" s="1"/>
      <c r="E374" s="1" t="s">
        <v>1414</v>
      </c>
      <c r="F374" s="9" t="s">
        <v>1499</v>
      </c>
      <c r="G374" s="1" t="s">
        <v>38</v>
      </c>
      <c r="H3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4" s="11">
        <f>0</f>
        <v>0</v>
      </c>
      <c r="J374" s="1">
        <f>0</f>
        <v>0</v>
      </c>
      <c r="K374" s="1"/>
      <c r="L374" s="1">
        <v>0</v>
      </c>
      <c r="M374" s="1">
        <f>0</f>
        <v>0</v>
      </c>
      <c r="N374" s="1">
        <f>0</f>
        <v>0</v>
      </c>
      <c r="O374" s="1">
        <f>0</f>
        <v>0</v>
      </c>
      <c r="P374" s="1"/>
      <c r="Q374" s="1">
        <v>0</v>
      </c>
      <c r="R374" s="1">
        <v>0</v>
      </c>
      <c r="S374" s="1">
        <f>0</f>
        <v>0</v>
      </c>
      <c r="T374" s="1">
        <f>0</f>
        <v>0</v>
      </c>
      <c r="U374" s="1"/>
      <c r="V374" s="1">
        <v>0</v>
      </c>
      <c r="W374" s="1">
        <v>0</v>
      </c>
      <c r="X374" s="1">
        <f>0</f>
        <v>0</v>
      </c>
      <c r="Y374" s="1">
        <f>0</f>
        <v>0</v>
      </c>
      <c r="Z374" s="1">
        <f>0</f>
        <v>0</v>
      </c>
      <c r="AA374" s="1"/>
      <c r="AB374" s="5"/>
      <c r="AC374" s="5"/>
      <c r="AD374" s="1">
        <f>0</f>
        <v>0</v>
      </c>
      <c r="AE374" s="1">
        <f>0</f>
        <v>0</v>
      </c>
      <c r="AF374" s="1">
        <f>0</f>
        <v>0</v>
      </c>
      <c r="AG374" s="1">
        <f>0</f>
        <v>0</v>
      </c>
      <c r="AH374" s="1">
        <f>0</f>
        <v>0</v>
      </c>
      <c r="AI374" s="1">
        <f>0</f>
        <v>0</v>
      </c>
      <c r="AJ374" s="1"/>
      <c r="AK374" s="1"/>
      <c r="AL374" s="1"/>
      <c r="AM374" s="1"/>
      <c r="AN374" s="1"/>
      <c r="AO374" s="1"/>
      <c r="AP374" s="1"/>
      <c r="AQ374" s="1"/>
      <c r="AR374" s="1" t="b">
        <v>1</v>
      </c>
      <c r="AS374" s="1"/>
      <c r="AT374" s="1"/>
      <c r="AU374" s="1"/>
      <c r="AV374" s="1"/>
      <c r="AW374" s="1"/>
      <c r="AX374" s="1"/>
      <c r="AY374" s="1"/>
      <c r="AZ374" s="1"/>
    </row>
    <row r="375" spans="1:52" ht="15" customHeight="1" x14ac:dyDescent="0.35">
      <c r="A375" s="1" t="s">
        <v>1500</v>
      </c>
      <c r="B375" s="1" t="s">
        <v>108</v>
      </c>
      <c r="C375" s="1" t="s">
        <v>640</v>
      </c>
      <c r="D375" s="1"/>
      <c r="E375" s="1" t="s">
        <v>1414</v>
      </c>
      <c r="F375" s="9" t="s">
        <v>1501</v>
      </c>
      <c r="G375" s="1" t="s">
        <v>38</v>
      </c>
      <c r="H3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5" s="11">
        <f>0</f>
        <v>0</v>
      </c>
      <c r="J375" s="1">
        <f>0</f>
        <v>0</v>
      </c>
      <c r="K375" s="1"/>
      <c r="L375" s="1">
        <v>0</v>
      </c>
      <c r="M375" s="1">
        <f>0</f>
        <v>0</v>
      </c>
      <c r="N375" s="1">
        <f>0</f>
        <v>0</v>
      </c>
      <c r="O375" s="1">
        <f>0</f>
        <v>0</v>
      </c>
      <c r="P375" s="1"/>
      <c r="Q375" s="1">
        <v>0</v>
      </c>
      <c r="R375" s="1">
        <v>0</v>
      </c>
      <c r="S375" s="1">
        <f>0</f>
        <v>0</v>
      </c>
      <c r="T375" s="1">
        <f>0</f>
        <v>0</v>
      </c>
      <c r="U375" s="1"/>
      <c r="V375" s="1">
        <v>0</v>
      </c>
      <c r="W375" s="1">
        <v>0</v>
      </c>
      <c r="X375" s="1">
        <f>0</f>
        <v>0</v>
      </c>
      <c r="Y375" s="1">
        <f>0</f>
        <v>0</v>
      </c>
      <c r="Z375" s="1">
        <f>0</f>
        <v>0</v>
      </c>
      <c r="AA375" s="1"/>
      <c r="AB375" s="5"/>
      <c r="AC375" s="5"/>
      <c r="AD375" s="1">
        <f>0</f>
        <v>0</v>
      </c>
      <c r="AE375" s="1">
        <f>0</f>
        <v>0</v>
      </c>
      <c r="AF375" s="1">
        <f>0</f>
        <v>0</v>
      </c>
      <c r="AG375" s="1">
        <f>0</f>
        <v>0</v>
      </c>
      <c r="AH375" s="1">
        <f>0</f>
        <v>0</v>
      </c>
      <c r="AI375" s="1">
        <f>0</f>
        <v>0</v>
      </c>
      <c r="AJ375" s="1"/>
      <c r="AK375" s="1"/>
      <c r="AL375" s="1"/>
      <c r="AM375" s="1"/>
      <c r="AN375" s="1"/>
      <c r="AO375" s="1"/>
      <c r="AP375" s="1"/>
      <c r="AQ375" s="1"/>
      <c r="AR375" s="1" t="b">
        <v>1</v>
      </c>
      <c r="AS375" s="1"/>
      <c r="AT375" s="1"/>
      <c r="AU375" s="1"/>
      <c r="AV375" s="1"/>
      <c r="AW375" s="1"/>
      <c r="AX375" s="1"/>
      <c r="AY375" s="1"/>
      <c r="AZ375" s="1"/>
    </row>
    <row r="376" spans="1:52" ht="15" customHeight="1" x14ac:dyDescent="0.35">
      <c r="A376" s="1" t="s">
        <v>1502</v>
      </c>
      <c r="B376" s="1" t="s">
        <v>109</v>
      </c>
      <c r="C376" s="1" t="s">
        <v>640</v>
      </c>
      <c r="D376" s="1"/>
      <c r="E376" s="1" t="s">
        <v>1414</v>
      </c>
      <c r="F376" s="9" t="s">
        <v>1503</v>
      </c>
      <c r="G376" s="1" t="s">
        <v>38</v>
      </c>
      <c r="H3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6" s="11">
        <f>0</f>
        <v>0</v>
      </c>
      <c r="J376" s="1">
        <f>0</f>
        <v>0</v>
      </c>
      <c r="K376" s="1"/>
      <c r="L376" s="1">
        <v>0</v>
      </c>
      <c r="M376" s="1">
        <f>0</f>
        <v>0</v>
      </c>
      <c r="N376" s="1">
        <f>0</f>
        <v>0</v>
      </c>
      <c r="O376" s="1">
        <f>0</f>
        <v>0</v>
      </c>
      <c r="P376" s="1"/>
      <c r="Q376" s="1">
        <v>0</v>
      </c>
      <c r="R376" s="1">
        <v>0</v>
      </c>
      <c r="S376" s="1">
        <f>0</f>
        <v>0</v>
      </c>
      <c r="T376" s="1">
        <f>0</f>
        <v>0</v>
      </c>
      <c r="U376" s="1"/>
      <c r="V376" s="1">
        <v>0</v>
      </c>
      <c r="W376" s="1">
        <v>0</v>
      </c>
      <c r="X376" s="1">
        <f>0</f>
        <v>0</v>
      </c>
      <c r="Y376" s="1">
        <f>0</f>
        <v>0</v>
      </c>
      <c r="Z376" s="1">
        <f>0</f>
        <v>0</v>
      </c>
      <c r="AA376" s="1"/>
      <c r="AB376" s="5"/>
      <c r="AC376" s="5"/>
      <c r="AD376" s="1">
        <f>0</f>
        <v>0</v>
      </c>
      <c r="AE376" s="1">
        <f>0</f>
        <v>0</v>
      </c>
      <c r="AF376" s="1">
        <f>0</f>
        <v>0</v>
      </c>
      <c r="AG376" s="1">
        <f>0</f>
        <v>0</v>
      </c>
      <c r="AH376" s="1">
        <f>0</f>
        <v>0</v>
      </c>
      <c r="AI376" s="1">
        <f>0</f>
        <v>0</v>
      </c>
      <c r="AJ376" s="1"/>
      <c r="AK376" s="1"/>
      <c r="AL376" s="1"/>
      <c r="AM376" s="1"/>
      <c r="AN376" s="1"/>
      <c r="AO376" s="1"/>
      <c r="AP376" s="1"/>
      <c r="AQ376" s="1"/>
      <c r="AR376" s="1" t="b">
        <v>1</v>
      </c>
      <c r="AS376" s="1"/>
      <c r="AT376" s="1"/>
      <c r="AU376" s="1"/>
      <c r="AV376" s="1"/>
      <c r="AW376" s="1"/>
      <c r="AX376" s="1"/>
      <c r="AY376" s="1"/>
      <c r="AZ376" s="1"/>
    </row>
    <row r="377" spans="1:52" ht="15" customHeight="1" x14ac:dyDescent="0.35">
      <c r="A377" s="1" t="s">
        <v>1504</v>
      </c>
      <c r="B377" s="1" t="s">
        <v>110</v>
      </c>
      <c r="C377" s="1" t="s">
        <v>640</v>
      </c>
      <c r="D377" s="1"/>
      <c r="E377" s="1" t="s">
        <v>1414</v>
      </c>
      <c r="F377" s="9" t="s">
        <v>1505</v>
      </c>
      <c r="G377" s="1" t="s">
        <v>38</v>
      </c>
      <c r="H3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7" s="11">
        <f>0</f>
        <v>0</v>
      </c>
      <c r="J377" s="1">
        <f>0</f>
        <v>0</v>
      </c>
      <c r="K377" s="1"/>
      <c r="L377" s="1">
        <v>0</v>
      </c>
      <c r="M377" s="1">
        <f>0</f>
        <v>0</v>
      </c>
      <c r="N377" s="1">
        <f>0</f>
        <v>0</v>
      </c>
      <c r="O377" s="1">
        <f>0</f>
        <v>0</v>
      </c>
      <c r="P377" s="1"/>
      <c r="Q377" s="1">
        <v>0</v>
      </c>
      <c r="R377" s="1">
        <v>0</v>
      </c>
      <c r="S377" s="1">
        <f>0</f>
        <v>0</v>
      </c>
      <c r="T377" s="1">
        <f>0</f>
        <v>0</v>
      </c>
      <c r="U377" s="1"/>
      <c r="V377" s="1">
        <v>0</v>
      </c>
      <c r="W377" s="1">
        <v>0</v>
      </c>
      <c r="X377" s="1">
        <f>0</f>
        <v>0</v>
      </c>
      <c r="Y377" s="1">
        <f>0</f>
        <v>0</v>
      </c>
      <c r="Z377" s="1">
        <f>0</f>
        <v>0</v>
      </c>
      <c r="AA377" s="1"/>
      <c r="AB377" s="5"/>
      <c r="AC377" s="5"/>
      <c r="AD377" s="1">
        <f>0</f>
        <v>0</v>
      </c>
      <c r="AE377" s="1">
        <f>0</f>
        <v>0</v>
      </c>
      <c r="AF377" s="1">
        <f>0</f>
        <v>0</v>
      </c>
      <c r="AG377" s="1">
        <f>0</f>
        <v>0</v>
      </c>
      <c r="AH377" s="1">
        <f>0</f>
        <v>0</v>
      </c>
      <c r="AI377" s="1">
        <f>0</f>
        <v>0</v>
      </c>
      <c r="AJ377" s="1"/>
      <c r="AK377" s="1"/>
      <c r="AL377" s="1"/>
      <c r="AM377" s="1"/>
      <c r="AN377" s="1"/>
      <c r="AO377" s="1"/>
      <c r="AP377" s="1"/>
      <c r="AQ377" s="1"/>
      <c r="AR377" s="1" t="b">
        <v>1</v>
      </c>
      <c r="AS377" s="1"/>
      <c r="AT377" s="1"/>
      <c r="AU377" s="1"/>
      <c r="AV377" s="1"/>
      <c r="AW377" s="1"/>
      <c r="AX377" s="1"/>
      <c r="AY377" s="1"/>
      <c r="AZ377" s="1"/>
    </row>
    <row r="378" spans="1:52" ht="15" customHeight="1" x14ac:dyDescent="0.35">
      <c r="A378" s="1" t="s">
        <v>1506</v>
      </c>
      <c r="B378" s="1" t="s">
        <v>111</v>
      </c>
      <c r="C378" s="1" t="s">
        <v>640</v>
      </c>
      <c r="D378" s="1"/>
      <c r="E378" s="1" t="s">
        <v>1414</v>
      </c>
      <c r="F378" s="9" t="s">
        <v>1507</v>
      </c>
      <c r="G378" s="1" t="s">
        <v>38</v>
      </c>
      <c r="H3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8" s="11">
        <f>0</f>
        <v>0</v>
      </c>
      <c r="J378" s="1">
        <f>0</f>
        <v>0</v>
      </c>
      <c r="K378" s="1"/>
      <c r="L378" s="1">
        <v>0</v>
      </c>
      <c r="M378" s="1">
        <f>0</f>
        <v>0</v>
      </c>
      <c r="N378" s="1">
        <f>0</f>
        <v>0</v>
      </c>
      <c r="O378" s="1">
        <f>0</f>
        <v>0</v>
      </c>
      <c r="P378" s="1"/>
      <c r="Q378" s="1">
        <v>0</v>
      </c>
      <c r="R378" s="1">
        <v>0</v>
      </c>
      <c r="S378" s="1">
        <f>0</f>
        <v>0</v>
      </c>
      <c r="T378" s="1">
        <f>0</f>
        <v>0</v>
      </c>
      <c r="U378" s="1"/>
      <c r="V378" s="1">
        <v>0</v>
      </c>
      <c r="W378" s="1">
        <v>0</v>
      </c>
      <c r="X378" s="1">
        <f>0</f>
        <v>0</v>
      </c>
      <c r="Y378" s="1">
        <f>0</f>
        <v>0</v>
      </c>
      <c r="Z378" s="1">
        <f>0</f>
        <v>0</v>
      </c>
      <c r="AA378" s="1"/>
      <c r="AB378" s="5"/>
      <c r="AC378" s="5"/>
      <c r="AD378" s="1">
        <f>0</f>
        <v>0</v>
      </c>
      <c r="AE378" s="1">
        <f>0</f>
        <v>0</v>
      </c>
      <c r="AF378" s="1">
        <f>0</f>
        <v>0</v>
      </c>
      <c r="AG378" s="1">
        <f>0</f>
        <v>0</v>
      </c>
      <c r="AH378" s="1">
        <f>0</f>
        <v>0</v>
      </c>
      <c r="AI378" s="1">
        <f>0</f>
        <v>0</v>
      </c>
      <c r="AJ378" s="1"/>
      <c r="AK378" s="1"/>
      <c r="AL378" s="1"/>
      <c r="AM378" s="1"/>
      <c r="AN378" s="1"/>
      <c r="AO378" s="1"/>
      <c r="AP378" s="1"/>
      <c r="AQ378" s="1"/>
      <c r="AR378" s="1" t="b">
        <v>1</v>
      </c>
      <c r="AS378" s="1"/>
      <c r="AT378" s="1"/>
      <c r="AU378" s="1"/>
      <c r="AV378" s="1"/>
      <c r="AW378" s="1"/>
      <c r="AX378" s="1"/>
      <c r="AY378" s="1"/>
      <c r="AZ378" s="1"/>
    </row>
    <row r="379" spans="1:52" ht="15" customHeight="1" x14ac:dyDescent="0.35">
      <c r="A379" s="1" t="s">
        <v>1508</v>
      </c>
      <c r="B379" s="1" t="s">
        <v>112</v>
      </c>
      <c r="C379" s="1" t="s">
        <v>640</v>
      </c>
      <c r="D379" s="1"/>
      <c r="E379" s="1" t="s">
        <v>1414</v>
      </c>
      <c r="F379" s="9" t="s">
        <v>1509</v>
      </c>
      <c r="G379" s="1" t="s">
        <v>38</v>
      </c>
      <c r="H3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79" s="11">
        <f>0</f>
        <v>0</v>
      </c>
      <c r="J379" s="1">
        <f>0</f>
        <v>0</v>
      </c>
      <c r="K379" s="1"/>
      <c r="L379" s="1">
        <v>0</v>
      </c>
      <c r="M379" s="1">
        <f>0</f>
        <v>0</v>
      </c>
      <c r="N379" s="1">
        <f>0</f>
        <v>0</v>
      </c>
      <c r="O379" s="1">
        <f>0</f>
        <v>0</v>
      </c>
      <c r="P379" s="1"/>
      <c r="Q379" s="1">
        <v>0</v>
      </c>
      <c r="R379" s="1">
        <v>0</v>
      </c>
      <c r="S379" s="1">
        <f>0</f>
        <v>0</v>
      </c>
      <c r="T379" s="1">
        <f>0</f>
        <v>0</v>
      </c>
      <c r="U379" s="1"/>
      <c r="V379" s="1">
        <v>0</v>
      </c>
      <c r="W379" s="1">
        <v>0</v>
      </c>
      <c r="X379" s="1">
        <f>0</f>
        <v>0</v>
      </c>
      <c r="Y379" s="1">
        <f>0</f>
        <v>0</v>
      </c>
      <c r="Z379" s="1">
        <f>0</f>
        <v>0</v>
      </c>
      <c r="AA379" s="1"/>
      <c r="AB379" s="5"/>
      <c r="AC379" s="5"/>
      <c r="AD379" s="1">
        <f>0</f>
        <v>0</v>
      </c>
      <c r="AE379" s="1">
        <f>0</f>
        <v>0</v>
      </c>
      <c r="AF379" s="1">
        <f>0</f>
        <v>0</v>
      </c>
      <c r="AG379" s="1">
        <f>0</f>
        <v>0</v>
      </c>
      <c r="AH379" s="1">
        <f>0</f>
        <v>0</v>
      </c>
      <c r="AI379" s="1">
        <f>0</f>
        <v>0</v>
      </c>
      <c r="AJ379" s="1"/>
      <c r="AK379" s="1"/>
      <c r="AL379" s="1"/>
      <c r="AM379" s="1"/>
      <c r="AN379" s="1"/>
      <c r="AO379" s="1"/>
      <c r="AP379" s="1"/>
      <c r="AQ379" s="1"/>
      <c r="AR379" s="1" t="b">
        <v>1</v>
      </c>
      <c r="AS379" s="1"/>
      <c r="AT379" s="1"/>
      <c r="AU379" s="1"/>
      <c r="AV379" s="1"/>
      <c r="AW379" s="1"/>
      <c r="AX379" s="1"/>
      <c r="AY379" s="1"/>
      <c r="AZ379" s="1"/>
    </row>
    <row r="380" spans="1:52" ht="15" customHeight="1" x14ac:dyDescent="0.35">
      <c r="A380" s="1" t="s">
        <v>1510</v>
      </c>
      <c r="B380" s="1" t="s">
        <v>113</v>
      </c>
      <c r="C380" s="1" t="s">
        <v>640</v>
      </c>
      <c r="D380" s="1"/>
      <c r="E380" s="1" t="s">
        <v>1414</v>
      </c>
      <c r="F380" s="9" t="s">
        <v>1511</v>
      </c>
      <c r="G380" s="1" t="s">
        <v>38</v>
      </c>
      <c r="H3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0" s="11">
        <f>0</f>
        <v>0</v>
      </c>
      <c r="J380" s="1">
        <f>0</f>
        <v>0</v>
      </c>
      <c r="K380" s="1"/>
      <c r="L380" s="1">
        <v>0</v>
      </c>
      <c r="M380" s="1">
        <f>0</f>
        <v>0</v>
      </c>
      <c r="N380" s="1">
        <f>0</f>
        <v>0</v>
      </c>
      <c r="O380" s="1">
        <f>0</f>
        <v>0</v>
      </c>
      <c r="P380" s="1"/>
      <c r="Q380" s="1">
        <v>0</v>
      </c>
      <c r="R380" s="1">
        <v>0</v>
      </c>
      <c r="S380" s="1">
        <f>0</f>
        <v>0</v>
      </c>
      <c r="T380" s="1">
        <f>0</f>
        <v>0</v>
      </c>
      <c r="U380" s="1"/>
      <c r="V380" s="1">
        <v>0</v>
      </c>
      <c r="W380" s="1">
        <v>0</v>
      </c>
      <c r="X380" s="1">
        <f>0</f>
        <v>0</v>
      </c>
      <c r="Y380" s="1">
        <f>0</f>
        <v>0</v>
      </c>
      <c r="Z380" s="1">
        <f>0</f>
        <v>0</v>
      </c>
      <c r="AA380" s="1"/>
      <c r="AB380" s="5"/>
      <c r="AC380" s="5"/>
      <c r="AD380" s="1">
        <f>0</f>
        <v>0</v>
      </c>
      <c r="AE380" s="1">
        <f>0</f>
        <v>0</v>
      </c>
      <c r="AF380" s="1">
        <f>0</f>
        <v>0</v>
      </c>
      <c r="AG380" s="1">
        <f>0</f>
        <v>0</v>
      </c>
      <c r="AH380" s="1">
        <f>0</f>
        <v>0</v>
      </c>
      <c r="AI380" s="1">
        <f>0</f>
        <v>0</v>
      </c>
      <c r="AJ380" s="1"/>
      <c r="AK380" s="1"/>
      <c r="AL380" s="1"/>
      <c r="AM380" s="1"/>
      <c r="AN380" s="1"/>
      <c r="AO380" s="1"/>
      <c r="AP380" s="1"/>
      <c r="AQ380" s="1"/>
      <c r="AR380" s="1" t="b">
        <v>1</v>
      </c>
      <c r="AS380" s="1"/>
      <c r="AT380" s="1"/>
      <c r="AU380" s="1"/>
      <c r="AV380" s="1"/>
      <c r="AW380" s="1"/>
      <c r="AX380" s="1"/>
      <c r="AY380" s="1"/>
      <c r="AZ380" s="1"/>
    </row>
    <row r="381" spans="1:52" ht="15" customHeight="1" x14ac:dyDescent="0.35">
      <c r="A381" s="1" t="s">
        <v>1512</v>
      </c>
      <c r="B381" s="1" t="s">
        <v>114</v>
      </c>
      <c r="C381" s="1" t="s">
        <v>640</v>
      </c>
      <c r="D381" s="1"/>
      <c r="E381" s="1" t="s">
        <v>1414</v>
      </c>
      <c r="F381" s="9" t="s">
        <v>1513</v>
      </c>
      <c r="G381" s="1" t="s">
        <v>38</v>
      </c>
      <c r="H3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1" s="11">
        <f>0</f>
        <v>0</v>
      </c>
      <c r="J381" s="1">
        <f>0</f>
        <v>0</v>
      </c>
      <c r="K381" s="1"/>
      <c r="L381" s="1">
        <v>0</v>
      </c>
      <c r="M381" s="1">
        <f>0</f>
        <v>0</v>
      </c>
      <c r="N381" s="1">
        <f>0</f>
        <v>0</v>
      </c>
      <c r="O381" s="1">
        <f>0</f>
        <v>0</v>
      </c>
      <c r="P381" s="1"/>
      <c r="Q381" s="1">
        <v>0</v>
      </c>
      <c r="R381" s="1">
        <v>0</v>
      </c>
      <c r="S381" s="1">
        <f>0</f>
        <v>0</v>
      </c>
      <c r="T381" s="1">
        <f>0</f>
        <v>0</v>
      </c>
      <c r="U381" s="1"/>
      <c r="V381" s="1">
        <v>0</v>
      </c>
      <c r="W381" s="1">
        <v>0</v>
      </c>
      <c r="X381" s="1">
        <f>0</f>
        <v>0</v>
      </c>
      <c r="Y381" s="1">
        <f>0</f>
        <v>0</v>
      </c>
      <c r="Z381" s="1">
        <f>0</f>
        <v>0</v>
      </c>
      <c r="AA381" s="1"/>
      <c r="AB381" s="5"/>
      <c r="AC381" s="5"/>
      <c r="AD381" s="1">
        <f>0</f>
        <v>0</v>
      </c>
      <c r="AE381" s="1">
        <f>0</f>
        <v>0</v>
      </c>
      <c r="AF381" s="1">
        <f>0</f>
        <v>0</v>
      </c>
      <c r="AG381" s="1">
        <f>0</f>
        <v>0</v>
      </c>
      <c r="AH381" s="1">
        <f>0</f>
        <v>0</v>
      </c>
      <c r="AI381" s="1">
        <f>0</f>
        <v>0</v>
      </c>
      <c r="AJ381" s="1"/>
      <c r="AK381" s="1"/>
      <c r="AL381" s="1"/>
      <c r="AM381" s="1"/>
      <c r="AN381" s="1"/>
      <c r="AO381" s="1"/>
      <c r="AP381" s="1"/>
      <c r="AQ381" s="1"/>
      <c r="AR381" s="1" t="b">
        <v>1</v>
      </c>
      <c r="AS381" s="1"/>
      <c r="AT381" s="1"/>
      <c r="AU381" s="1"/>
      <c r="AV381" s="1"/>
      <c r="AW381" s="1"/>
      <c r="AX381" s="1"/>
      <c r="AY381" s="1"/>
      <c r="AZ381" s="1"/>
    </row>
    <row r="382" spans="1:52" ht="15" customHeight="1" x14ac:dyDescent="0.35">
      <c r="A382" s="1" t="s">
        <v>1514</v>
      </c>
      <c r="B382" s="1" t="s">
        <v>115</v>
      </c>
      <c r="C382" s="1" t="s">
        <v>640</v>
      </c>
      <c r="D382" s="1"/>
      <c r="E382" s="1" t="s">
        <v>1414</v>
      </c>
      <c r="F382" s="9" t="s">
        <v>1515</v>
      </c>
      <c r="G382" s="1" t="s">
        <v>38</v>
      </c>
      <c r="H3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2" s="11">
        <f>0</f>
        <v>0</v>
      </c>
      <c r="J382" s="1">
        <f>0</f>
        <v>0</v>
      </c>
      <c r="K382" s="1"/>
      <c r="L382" s="1">
        <v>0</v>
      </c>
      <c r="M382" s="1">
        <f>0</f>
        <v>0</v>
      </c>
      <c r="N382" s="1">
        <f>0</f>
        <v>0</v>
      </c>
      <c r="O382" s="1">
        <f>0</f>
        <v>0</v>
      </c>
      <c r="P382" s="1"/>
      <c r="Q382" s="1">
        <v>0</v>
      </c>
      <c r="R382" s="1">
        <v>0</v>
      </c>
      <c r="S382" s="1">
        <f>0</f>
        <v>0</v>
      </c>
      <c r="T382" s="1">
        <f>0</f>
        <v>0</v>
      </c>
      <c r="U382" s="1"/>
      <c r="V382" s="1">
        <v>0</v>
      </c>
      <c r="W382" s="1">
        <v>0</v>
      </c>
      <c r="X382" s="1">
        <f>0</f>
        <v>0</v>
      </c>
      <c r="Y382" s="1">
        <f>0</f>
        <v>0</v>
      </c>
      <c r="Z382" s="1">
        <f>0</f>
        <v>0</v>
      </c>
      <c r="AA382" s="1"/>
      <c r="AB382" s="5"/>
      <c r="AC382" s="5"/>
      <c r="AD382" s="1">
        <f>0</f>
        <v>0</v>
      </c>
      <c r="AE382" s="1">
        <f>0</f>
        <v>0</v>
      </c>
      <c r="AF382" s="1">
        <f>0</f>
        <v>0</v>
      </c>
      <c r="AG382" s="1">
        <f>0</f>
        <v>0</v>
      </c>
      <c r="AH382" s="1">
        <f>0</f>
        <v>0</v>
      </c>
      <c r="AI382" s="1">
        <f>0</f>
        <v>0</v>
      </c>
      <c r="AJ382" s="1"/>
      <c r="AK382" s="1"/>
      <c r="AL382" s="1"/>
      <c r="AM382" s="1"/>
      <c r="AN382" s="1"/>
      <c r="AO382" s="1"/>
      <c r="AP382" s="1"/>
      <c r="AQ382" s="1"/>
      <c r="AR382" s="1" t="b">
        <v>1</v>
      </c>
      <c r="AS382" s="1"/>
      <c r="AT382" s="1"/>
      <c r="AU382" s="1"/>
      <c r="AV382" s="1"/>
      <c r="AW382" s="1"/>
      <c r="AX382" s="1"/>
      <c r="AY382" s="1"/>
      <c r="AZ382" s="1"/>
    </row>
    <row r="383" spans="1:52" ht="15" customHeight="1" x14ac:dyDescent="0.35">
      <c r="A383" s="1" t="s">
        <v>1516</v>
      </c>
      <c r="B383" s="1" t="s">
        <v>116</v>
      </c>
      <c r="C383" s="1" t="s">
        <v>640</v>
      </c>
      <c r="D383" s="1"/>
      <c r="E383" s="1" t="s">
        <v>1414</v>
      </c>
      <c r="F383" s="9" t="s">
        <v>1517</v>
      </c>
      <c r="G383" s="1" t="s">
        <v>38</v>
      </c>
      <c r="H3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3" s="11">
        <f>0</f>
        <v>0</v>
      </c>
      <c r="J383" s="1">
        <f>0</f>
        <v>0</v>
      </c>
      <c r="K383" s="1"/>
      <c r="L383" s="1">
        <v>0</v>
      </c>
      <c r="M383" s="1">
        <f>0</f>
        <v>0</v>
      </c>
      <c r="N383" s="1">
        <f>0</f>
        <v>0</v>
      </c>
      <c r="O383" s="1">
        <f>0</f>
        <v>0</v>
      </c>
      <c r="P383" s="1"/>
      <c r="Q383" s="1">
        <v>0</v>
      </c>
      <c r="R383" s="1">
        <v>0</v>
      </c>
      <c r="S383" s="1">
        <f>0</f>
        <v>0</v>
      </c>
      <c r="T383" s="1">
        <f>0</f>
        <v>0</v>
      </c>
      <c r="U383" s="1"/>
      <c r="V383" s="1">
        <v>0</v>
      </c>
      <c r="W383" s="1">
        <v>0</v>
      </c>
      <c r="X383" s="1">
        <f>0</f>
        <v>0</v>
      </c>
      <c r="Y383" s="1">
        <f>0</f>
        <v>0</v>
      </c>
      <c r="Z383" s="1">
        <f>0</f>
        <v>0</v>
      </c>
      <c r="AA383" s="1"/>
      <c r="AB383" s="5"/>
      <c r="AC383" s="5"/>
      <c r="AD383" s="1">
        <f>0</f>
        <v>0</v>
      </c>
      <c r="AE383" s="1">
        <f>0</f>
        <v>0</v>
      </c>
      <c r="AF383" s="1">
        <f>0</f>
        <v>0</v>
      </c>
      <c r="AG383" s="1">
        <f>0</f>
        <v>0</v>
      </c>
      <c r="AH383" s="1">
        <f>0</f>
        <v>0</v>
      </c>
      <c r="AI383" s="1">
        <f>0</f>
        <v>0</v>
      </c>
      <c r="AJ383" s="1"/>
      <c r="AK383" s="1"/>
      <c r="AL383" s="1"/>
      <c r="AM383" s="1"/>
      <c r="AN383" s="1"/>
      <c r="AO383" s="1"/>
      <c r="AP383" s="1"/>
      <c r="AQ383" s="1"/>
      <c r="AR383" s="1" t="b">
        <v>1</v>
      </c>
      <c r="AS383" s="1"/>
      <c r="AT383" s="1"/>
      <c r="AU383" s="1"/>
      <c r="AV383" s="1"/>
      <c r="AW383" s="1"/>
      <c r="AX383" s="1"/>
      <c r="AY383" s="1"/>
      <c r="AZ383" s="1"/>
    </row>
    <row r="384" spans="1:52" ht="15" customHeight="1" x14ac:dyDescent="0.35">
      <c r="A384" s="1" t="s">
        <v>1518</v>
      </c>
      <c r="B384" s="1" t="s">
        <v>117</v>
      </c>
      <c r="C384" s="1" t="s">
        <v>640</v>
      </c>
      <c r="D384" s="1"/>
      <c r="E384" s="1" t="s">
        <v>1414</v>
      </c>
      <c r="F384" s="9" t="s">
        <v>1519</v>
      </c>
      <c r="G384" s="1" t="s">
        <v>38</v>
      </c>
      <c r="H3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4" s="11">
        <f>0</f>
        <v>0</v>
      </c>
      <c r="J384" s="1">
        <f>0</f>
        <v>0</v>
      </c>
      <c r="K384" s="1"/>
      <c r="L384" s="1">
        <v>0</v>
      </c>
      <c r="M384" s="1">
        <f>0</f>
        <v>0</v>
      </c>
      <c r="N384" s="1">
        <f>0</f>
        <v>0</v>
      </c>
      <c r="O384" s="1">
        <f>0</f>
        <v>0</v>
      </c>
      <c r="P384" s="1"/>
      <c r="Q384" s="1">
        <v>0</v>
      </c>
      <c r="R384" s="1">
        <v>0</v>
      </c>
      <c r="S384" s="1">
        <f>0</f>
        <v>0</v>
      </c>
      <c r="T384" s="1">
        <f>0</f>
        <v>0</v>
      </c>
      <c r="U384" s="1"/>
      <c r="V384" s="1">
        <v>0</v>
      </c>
      <c r="W384" s="1">
        <v>0</v>
      </c>
      <c r="X384" s="1">
        <f>0</f>
        <v>0</v>
      </c>
      <c r="Y384" s="1">
        <f>0</f>
        <v>0</v>
      </c>
      <c r="Z384" s="1">
        <f>0</f>
        <v>0</v>
      </c>
      <c r="AA384" s="1"/>
      <c r="AB384" s="5"/>
      <c r="AC384" s="5"/>
      <c r="AD384" s="1">
        <f>0</f>
        <v>0</v>
      </c>
      <c r="AE384" s="1">
        <f>0</f>
        <v>0</v>
      </c>
      <c r="AF384" s="1">
        <f>0</f>
        <v>0</v>
      </c>
      <c r="AG384" s="1">
        <f>0</f>
        <v>0</v>
      </c>
      <c r="AH384" s="1">
        <f>0</f>
        <v>0</v>
      </c>
      <c r="AI384" s="1">
        <f>0</f>
        <v>0</v>
      </c>
      <c r="AJ384" s="1"/>
      <c r="AK384" s="1"/>
      <c r="AL384" s="1"/>
      <c r="AM384" s="1"/>
      <c r="AN384" s="1"/>
      <c r="AO384" s="1"/>
      <c r="AP384" s="1"/>
      <c r="AQ384" s="1"/>
      <c r="AR384" s="1" t="b">
        <v>1</v>
      </c>
      <c r="AS384" s="1"/>
      <c r="AT384" s="1"/>
      <c r="AU384" s="1"/>
      <c r="AV384" s="1"/>
      <c r="AW384" s="1"/>
      <c r="AX384" s="1"/>
      <c r="AY384" s="1"/>
      <c r="AZ384" s="1"/>
    </row>
    <row r="385" spans="1:52" ht="15" customHeight="1" x14ac:dyDescent="0.35">
      <c r="A385" s="1" t="s">
        <v>1520</v>
      </c>
      <c r="B385" s="1" t="s">
        <v>118</v>
      </c>
      <c r="C385" s="1" t="s">
        <v>640</v>
      </c>
      <c r="D385" s="1"/>
      <c r="E385" s="1" t="s">
        <v>1414</v>
      </c>
      <c r="F385" s="9" t="s">
        <v>1521</v>
      </c>
      <c r="G385" s="1" t="s">
        <v>38</v>
      </c>
      <c r="H3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5" s="11">
        <f>0</f>
        <v>0</v>
      </c>
      <c r="J385" s="1">
        <f>0</f>
        <v>0</v>
      </c>
      <c r="K385" s="1"/>
      <c r="L385" s="1">
        <v>0</v>
      </c>
      <c r="M385" s="1">
        <f>0</f>
        <v>0</v>
      </c>
      <c r="N385" s="1">
        <f>0</f>
        <v>0</v>
      </c>
      <c r="O385" s="1">
        <f>0</f>
        <v>0</v>
      </c>
      <c r="P385" s="1"/>
      <c r="Q385" s="1">
        <v>0</v>
      </c>
      <c r="R385" s="1">
        <v>0</v>
      </c>
      <c r="S385" s="1">
        <f>0</f>
        <v>0</v>
      </c>
      <c r="T385" s="1">
        <f>0</f>
        <v>0</v>
      </c>
      <c r="U385" s="1"/>
      <c r="V385" s="1">
        <v>0</v>
      </c>
      <c r="W385" s="1">
        <v>0</v>
      </c>
      <c r="X385" s="1">
        <f>0</f>
        <v>0</v>
      </c>
      <c r="Y385" s="1">
        <f>0</f>
        <v>0</v>
      </c>
      <c r="Z385" s="1">
        <f>0</f>
        <v>0</v>
      </c>
      <c r="AA385" s="1"/>
      <c r="AB385" s="5"/>
      <c r="AC385" s="5"/>
      <c r="AD385" s="1">
        <f>0</f>
        <v>0</v>
      </c>
      <c r="AE385" s="1">
        <f>0</f>
        <v>0</v>
      </c>
      <c r="AF385" s="1">
        <f>0</f>
        <v>0</v>
      </c>
      <c r="AG385" s="1">
        <f>0</f>
        <v>0</v>
      </c>
      <c r="AH385" s="1">
        <f>0</f>
        <v>0</v>
      </c>
      <c r="AI385" s="1">
        <f>0</f>
        <v>0</v>
      </c>
      <c r="AJ385" s="1"/>
      <c r="AK385" s="1"/>
      <c r="AL385" s="1"/>
      <c r="AM385" s="1"/>
      <c r="AN385" s="1"/>
      <c r="AO385" s="1"/>
      <c r="AP385" s="1"/>
      <c r="AQ385" s="1"/>
      <c r="AR385" s="1" t="b">
        <v>1</v>
      </c>
      <c r="AS385" s="1"/>
      <c r="AT385" s="1"/>
      <c r="AU385" s="1"/>
      <c r="AV385" s="1"/>
      <c r="AW385" s="1"/>
      <c r="AX385" s="1"/>
      <c r="AY385" s="1"/>
      <c r="AZ385" s="1"/>
    </row>
    <row r="386" spans="1:52" ht="15" customHeight="1" x14ac:dyDescent="0.35">
      <c r="A386" s="1" t="s">
        <v>1522</v>
      </c>
      <c r="B386" s="1" t="s">
        <v>119</v>
      </c>
      <c r="C386" s="1" t="s">
        <v>680</v>
      </c>
      <c r="D386" s="1" t="s">
        <v>1523</v>
      </c>
      <c r="E386" s="1" t="s">
        <v>1326</v>
      </c>
      <c r="F386" s="9" t="s">
        <v>1524</v>
      </c>
      <c r="G386" s="1" t="s">
        <v>38</v>
      </c>
      <c r="H3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86" s="11">
        <f>0</f>
        <v>0</v>
      </c>
      <c r="J386" s="1">
        <f>0</f>
        <v>0</v>
      </c>
      <c r="K386" s="1"/>
      <c r="L386" s="1">
        <v>0</v>
      </c>
      <c r="M386" s="1">
        <f>0</f>
        <v>0</v>
      </c>
      <c r="N386" s="1">
        <f>0</f>
        <v>0</v>
      </c>
      <c r="O386" s="1">
        <f>0</f>
        <v>0</v>
      </c>
      <c r="P386" s="1"/>
      <c r="Q386" s="1">
        <v>0</v>
      </c>
      <c r="R386" s="1">
        <v>0</v>
      </c>
      <c r="S386" s="1">
        <f>0</f>
        <v>0</v>
      </c>
      <c r="T386" s="1">
        <f>0</f>
        <v>0</v>
      </c>
      <c r="U386" s="1"/>
      <c r="V386" s="1">
        <v>0</v>
      </c>
      <c r="W386" s="1">
        <v>0</v>
      </c>
      <c r="X386" s="1">
        <f>0</f>
        <v>0</v>
      </c>
      <c r="Y386" s="1">
        <f>0</f>
        <v>0</v>
      </c>
      <c r="Z386" s="1">
        <f>0</f>
        <v>0</v>
      </c>
      <c r="AA386" s="1"/>
      <c r="AB386" s="5"/>
      <c r="AC386" s="5"/>
      <c r="AD386" s="1">
        <f>0</f>
        <v>0</v>
      </c>
      <c r="AE386" s="1">
        <f>0</f>
        <v>0</v>
      </c>
      <c r="AF386" s="1">
        <f>0</f>
        <v>0</v>
      </c>
      <c r="AG386" s="1">
        <f>0</f>
        <v>0</v>
      </c>
      <c r="AH386" s="1">
        <f>0</f>
        <v>0</v>
      </c>
      <c r="AI386" s="1">
        <f>0</f>
        <v>0</v>
      </c>
      <c r="AJ386" s="1"/>
      <c r="AK386" s="1"/>
      <c r="AL386" s="1"/>
      <c r="AM386" s="1"/>
      <c r="AN386" s="1"/>
      <c r="AO386" s="1"/>
      <c r="AP386" s="1"/>
      <c r="AQ386" s="1"/>
      <c r="AR386" s="1"/>
      <c r="AS386" s="1" t="b">
        <v>1</v>
      </c>
      <c r="AT386" s="1"/>
      <c r="AU386" s="1"/>
      <c r="AV386" s="1"/>
      <c r="AW386" s="1"/>
      <c r="AX386" s="1"/>
      <c r="AY386" s="1"/>
      <c r="AZ386" s="1"/>
    </row>
    <row r="387" spans="1:52" ht="15" customHeight="1" x14ac:dyDescent="0.35">
      <c r="A387" s="1" t="s">
        <v>1525</v>
      </c>
      <c r="B387" s="1" t="s">
        <v>120</v>
      </c>
      <c r="C387" s="1" t="s">
        <v>1149</v>
      </c>
      <c r="D387" s="1" t="s">
        <v>1526</v>
      </c>
      <c r="E387" s="1" t="s">
        <v>1527</v>
      </c>
      <c r="F387" s="9" t="s">
        <v>1528</v>
      </c>
      <c r="G387" s="1" t="s">
        <v>38</v>
      </c>
      <c r="H3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7" s="11" t="e">
        <f>ABS(NETWORKDAYS.INTL("07/08/2024", "07/09/2024", 1, {"01/01/2024","01/15/2024","02/19/2024","05/27/2024","07/04/2024","09/02/2024","10/14/2024","11/11/2024","11/28/2024","12/25/2024","12/25/2024","12/26/2024","12/27/2024","12/28/2024","12/29/2024","12/30/2024","31/25/2024","01/01/2024","01/02/2024","01/03/2024","01/04/2024","01/05/2024"}))</f>
        <v>#VALUE!</v>
      </c>
      <c r="J387" s="1">
        <f>0</f>
        <v>0</v>
      </c>
      <c r="K387" s="1"/>
      <c r="L387" s="1">
        <v>0</v>
      </c>
      <c r="M387" s="1">
        <f>0</f>
        <v>0</v>
      </c>
      <c r="N387" s="1">
        <f>0</f>
        <v>0</v>
      </c>
      <c r="O387" s="1">
        <f>0</f>
        <v>0</v>
      </c>
      <c r="P387" s="1"/>
      <c r="Q387" s="1">
        <v>0</v>
      </c>
      <c r="R387" s="1">
        <v>0</v>
      </c>
      <c r="S387" s="1">
        <f>0</f>
        <v>0</v>
      </c>
      <c r="T387" s="1">
        <f>0</f>
        <v>0</v>
      </c>
      <c r="U387" s="1"/>
      <c r="V387" s="1">
        <v>0</v>
      </c>
      <c r="W387" s="1">
        <v>0</v>
      </c>
      <c r="X387" s="1">
        <f>0</f>
        <v>0</v>
      </c>
      <c r="Y387" s="1">
        <f>0</f>
        <v>0</v>
      </c>
      <c r="Z387" s="1">
        <f>0</f>
        <v>0</v>
      </c>
      <c r="AA387" s="1"/>
      <c r="AB387" s="5"/>
      <c r="AC387" s="5"/>
      <c r="AD387" s="1">
        <f>0</f>
        <v>0</v>
      </c>
      <c r="AE387" s="1">
        <f>0</f>
        <v>0</v>
      </c>
      <c r="AF387" s="1">
        <f>0</f>
        <v>0</v>
      </c>
      <c r="AG387" s="1">
        <f>0</f>
        <v>0</v>
      </c>
      <c r="AH387" s="1">
        <f>0</f>
        <v>0</v>
      </c>
      <c r="AI387" s="1">
        <f>0</f>
        <v>0</v>
      </c>
      <c r="AJ387" s="1"/>
      <c r="AK387" s="1"/>
      <c r="AL387" s="1"/>
      <c r="AM387" s="1"/>
      <c r="AN387" s="1"/>
      <c r="AO387" s="1"/>
      <c r="AP387" s="1"/>
      <c r="AQ387" s="1"/>
      <c r="AR387" s="1"/>
      <c r="AS387" s="1" t="b">
        <v>1</v>
      </c>
      <c r="AT387" s="1"/>
      <c r="AU387" s="1"/>
      <c r="AV387" s="1"/>
      <c r="AW387" s="1"/>
      <c r="AX387" s="1"/>
      <c r="AY387" s="1"/>
      <c r="AZ387" s="1"/>
    </row>
    <row r="388" spans="1:52" ht="15" customHeight="1" x14ac:dyDescent="0.35">
      <c r="A388" s="1" t="s">
        <v>1529</v>
      </c>
      <c r="B388" s="1" t="s">
        <v>121</v>
      </c>
      <c r="C388" s="1" t="s">
        <v>1149</v>
      </c>
      <c r="D388" s="1" t="s">
        <v>1530</v>
      </c>
      <c r="E388" s="1" t="s">
        <v>1527</v>
      </c>
      <c r="F388" s="9" t="s">
        <v>1531</v>
      </c>
      <c r="G388" s="1" t="s">
        <v>38</v>
      </c>
      <c r="H3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88" s="11" t="e">
        <f>ABS(NETWORKDAYS.INTL("07/18/2024", "07/19/2024", 1, {"01/01/2024","01/15/2024","02/19/2024","05/27/2024","07/04/2024","09/02/2024","10/14/2024","11/11/2024","11/28/2024","12/25/2024","12/25/2024","12/26/2024","12/27/2024","12/28/2024","12/29/2024","12/30/2024","31/25/2024","01/01/2024","01/02/2024","01/03/2024","01/04/2024","01/05/2024"}))</f>
        <v>#VALUE!</v>
      </c>
      <c r="J388" s="1">
        <f>0</f>
        <v>0</v>
      </c>
      <c r="K388" s="1"/>
      <c r="L388" s="1">
        <v>0</v>
      </c>
      <c r="M388" s="1">
        <f>0</f>
        <v>0</v>
      </c>
      <c r="N388" s="1">
        <f>0</f>
        <v>0</v>
      </c>
      <c r="O388" s="1">
        <f>0</f>
        <v>0</v>
      </c>
      <c r="P388" s="1"/>
      <c r="Q388" s="1">
        <v>0</v>
      </c>
      <c r="R388" s="1">
        <v>0</v>
      </c>
      <c r="S388" s="1">
        <f>0</f>
        <v>0</v>
      </c>
      <c r="T388" s="1">
        <f>0</f>
        <v>0</v>
      </c>
      <c r="U388" s="1"/>
      <c r="V388" s="1">
        <v>0</v>
      </c>
      <c r="W388" s="1">
        <v>0</v>
      </c>
      <c r="X388" s="1">
        <f>0</f>
        <v>0</v>
      </c>
      <c r="Y388" s="1">
        <f>0</f>
        <v>0</v>
      </c>
      <c r="Z388" s="1">
        <f>0</f>
        <v>0</v>
      </c>
      <c r="AA388" s="1"/>
      <c r="AB388" s="5"/>
      <c r="AC388" s="5"/>
      <c r="AD388" s="1">
        <f>0</f>
        <v>0</v>
      </c>
      <c r="AE388" s="1">
        <f>0</f>
        <v>0</v>
      </c>
      <c r="AF388" s="1">
        <f>0</f>
        <v>0</v>
      </c>
      <c r="AG388" s="1">
        <f>0</f>
        <v>0</v>
      </c>
      <c r="AH388" s="1">
        <f>0</f>
        <v>0</v>
      </c>
      <c r="AI388" s="1">
        <f>0</f>
        <v>0</v>
      </c>
      <c r="AJ388" s="1"/>
      <c r="AK388" s="1"/>
      <c r="AL388" s="1"/>
      <c r="AM388" s="1"/>
      <c r="AN388" s="1"/>
      <c r="AO388" s="1"/>
      <c r="AP388" s="1"/>
      <c r="AQ388" s="1"/>
      <c r="AR388" s="1"/>
      <c r="AS388" s="1" t="b">
        <v>1</v>
      </c>
      <c r="AT388" s="1"/>
      <c r="AU388" s="1"/>
      <c r="AV388" s="1"/>
      <c r="AW388" s="1"/>
      <c r="AX388" s="1"/>
      <c r="AY388" s="1"/>
      <c r="AZ388" s="1"/>
    </row>
    <row r="389" spans="1:52" ht="15" customHeight="1" x14ac:dyDescent="0.35">
      <c r="A389" s="1" t="s">
        <v>1532</v>
      </c>
      <c r="B389" s="1" t="s">
        <v>122</v>
      </c>
      <c r="C389" s="1" t="s">
        <v>640</v>
      </c>
      <c r="D389" s="1" t="s">
        <v>1533</v>
      </c>
      <c r="E389" s="1" t="s">
        <v>1326</v>
      </c>
      <c r="F389" s="9" t="s">
        <v>1534</v>
      </c>
      <c r="G389" s="1" t="s">
        <v>38</v>
      </c>
      <c r="H3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89" s="11">
        <f>0</f>
        <v>0</v>
      </c>
      <c r="J389" s="1">
        <f>0</f>
        <v>0</v>
      </c>
      <c r="K389" s="1"/>
      <c r="L389" s="1">
        <v>0</v>
      </c>
      <c r="M389" s="1">
        <f>0</f>
        <v>0</v>
      </c>
      <c r="N389" s="1">
        <f>0</f>
        <v>0</v>
      </c>
      <c r="O389" s="1">
        <f>0</f>
        <v>0</v>
      </c>
      <c r="P389" s="1"/>
      <c r="Q389" s="1">
        <v>0</v>
      </c>
      <c r="R389" s="1">
        <v>0</v>
      </c>
      <c r="S389" s="1">
        <f>0</f>
        <v>0</v>
      </c>
      <c r="T389" s="1">
        <f>0</f>
        <v>0</v>
      </c>
      <c r="U389" s="1"/>
      <c r="V389" s="1">
        <v>0</v>
      </c>
      <c r="W389" s="1">
        <v>0</v>
      </c>
      <c r="X389" s="1">
        <f>0</f>
        <v>0</v>
      </c>
      <c r="Y389" s="1">
        <f>0</f>
        <v>0</v>
      </c>
      <c r="Z389" s="1">
        <f>0</f>
        <v>0</v>
      </c>
      <c r="AA389" s="1"/>
      <c r="AB389" s="5"/>
      <c r="AC389" s="5"/>
      <c r="AD389" s="1">
        <f>0</f>
        <v>0</v>
      </c>
      <c r="AE389" s="1">
        <f>0</f>
        <v>0</v>
      </c>
      <c r="AF389" s="1">
        <f>0</f>
        <v>0</v>
      </c>
      <c r="AG389" s="1">
        <f>0</f>
        <v>0</v>
      </c>
      <c r="AH389" s="1">
        <f>0</f>
        <v>0</v>
      </c>
      <c r="AI389" s="1">
        <f>0</f>
        <v>0</v>
      </c>
      <c r="AJ389" s="1"/>
      <c r="AK389" s="1"/>
      <c r="AL389" s="1"/>
      <c r="AM389" s="1"/>
      <c r="AN389" s="1"/>
      <c r="AO389" s="1"/>
      <c r="AP389" s="1"/>
      <c r="AQ389" s="1"/>
      <c r="AR389" s="1"/>
      <c r="AS389" s="1" t="b">
        <v>1</v>
      </c>
      <c r="AT389" s="1"/>
      <c r="AU389" s="1"/>
      <c r="AV389" s="1"/>
      <c r="AW389" s="1"/>
      <c r="AX389" s="1"/>
      <c r="AY389" s="1"/>
      <c r="AZ389" s="1"/>
    </row>
    <row r="390" spans="1:52" ht="15" customHeight="1" x14ac:dyDescent="0.35">
      <c r="A390" s="1" t="s">
        <v>1535</v>
      </c>
      <c r="B390" s="1" t="s">
        <v>123</v>
      </c>
      <c r="C390" s="1" t="s">
        <v>1149</v>
      </c>
      <c r="D390" s="1" t="s">
        <v>1536</v>
      </c>
      <c r="E390" s="1" t="s">
        <v>1537</v>
      </c>
      <c r="F390" s="9" t="s">
        <v>1538</v>
      </c>
      <c r="G390" s="1" t="s">
        <v>38</v>
      </c>
      <c r="H3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0" s="11">
        <f>0</f>
        <v>0</v>
      </c>
      <c r="J390" s="1">
        <f>0</f>
        <v>0</v>
      </c>
      <c r="K390" s="1"/>
      <c r="L390" s="1">
        <v>0</v>
      </c>
      <c r="M390" s="1">
        <f>0</f>
        <v>0</v>
      </c>
      <c r="N390" s="1">
        <f>0</f>
        <v>0</v>
      </c>
      <c r="O390" s="1">
        <f>0</f>
        <v>0</v>
      </c>
      <c r="P390" s="1"/>
      <c r="Q390" s="1">
        <v>0</v>
      </c>
      <c r="R390" s="1">
        <v>0</v>
      </c>
      <c r="S390" s="1">
        <f>0</f>
        <v>0</v>
      </c>
      <c r="T390" s="1">
        <f>0</f>
        <v>0</v>
      </c>
      <c r="U390" s="1"/>
      <c r="V390" s="1">
        <v>0</v>
      </c>
      <c r="W390" s="1">
        <v>0</v>
      </c>
      <c r="X390" s="1">
        <f>0</f>
        <v>0</v>
      </c>
      <c r="Y390" s="1">
        <f>0</f>
        <v>0</v>
      </c>
      <c r="Z390" s="1">
        <f>0</f>
        <v>0</v>
      </c>
      <c r="AA390" s="1"/>
      <c r="AB390" s="5"/>
      <c r="AC390" s="5"/>
      <c r="AD390" s="1">
        <f>0</f>
        <v>0</v>
      </c>
      <c r="AE390" s="1">
        <f>0</f>
        <v>0</v>
      </c>
      <c r="AF390" s="1">
        <f>0</f>
        <v>0</v>
      </c>
      <c r="AG390" s="1">
        <f>0</f>
        <v>0</v>
      </c>
      <c r="AH390" s="1">
        <f>0</f>
        <v>0</v>
      </c>
      <c r="AI390" s="1">
        <f>0</f>
        <v>0</v>
      </c>
      <c r="AJ390" s="1"/>
      <c r="AK390" s="1"/>
      <c r="AL390" s="1"/>
      <c r="AM390" s="1"/>
      <c r="AN390" s="1"/>
      <c r="AO390" s="1"/>
      <c r="AP390" s="1"/>
      <c r="AQ390" s="1"/>
      <c r="AR390" s="1"/>
      <c r="AS390" s="1" t="b">
        <v>1</v>
      </c>
      <c r="AT390" s="1"/>
      <c r="AU390" s="1"/>
      <c r="AV390" s="1"/>
      <c r="AW390" s="1"/>
      <c r="AX390" s="1"/>
      <c r="AY390" s="1"/>
      <c r="AZ390" s="1"/>
    </row>
    <row r="391" spans="1:52" ht="15" customHeight="1" x14ac:dyDescent="0.35">
      <c r="A391" s="1" t="s">
        <v>1539</v>
      </c>
      <c r="B391" s="1" t="s">
        <v>124</v>
      </c>
      <c r="C391" s="1" t="s">
        <v>1149</v>
      </c>
      <c r="D391" s="1" t="s">
        <v>1540</v>
      </c>
      <c r="E391" s="1" t="s">
        <v>1541</v>
      </c>
      <c r="F391" s="9" t="s">
        <v>1542</v>
      </c>
      <c r="G391" s="1" t="s">
        <v>38</v>
      </c>
      <c r="H3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391" s="11">
        <f>0</f>
        <v>0</v>
      </c>
      <c r="J391" s="1">
        <f>0</f>
        <v>0</v>
      </c>
      <c r="K391" s="1"/>
      <c r="L391" s="1">
        <v>0</v>
      </c>
      <c r="M391" s="1">
        <f>0</f>
        <v>0</v>
      </c>
      <c r="N391" s="1">
        <f>0</f>
        <v>0</v>
      </c>
      <c r="O391" s="1">
        <f>0</f>
        <v>0</v>
      </c>
      <c r="P391" s="1"/>
      <c r="Q391" s="1">
        <v>0</v>
      </c>
      <c r="R391" s="1">
        <v>0</v>
      </c>
      <c r="S391" s="1">
        <f>0</f>
        <v>0</v>
      </c>
      <c r="T391" s="1">
        <f>0</f>
        <v>0</v>
      </c>
      <c r="U391" s="1"/>
      <c r="V391" s="1">
        <v>0</v>
      </c>
      <c r="W391" s="1">
        <v>0</v>
      </c>
      <c r="X391" s="1">
        <f>0</f>
        <v>0</v>
      </c>
      <c r="Y391" s="1">
        <f>0</f>
        <v>0</v>
      </c>
      <c r="Z391" s="1">
        <f>0</f>
        <v>0</v>
      </c>
      <c r="AA391" s="1"/>
      <c r="AB391" s="5"/>
      <c r="AC391" s="5"/>
      <c r="AD391" s="1">
        <f>0</f>
        <v>0</v>
      </c>
      <c r="AE391" s="1">
        <f>0</f>
        <v>0</v>
      </c>
      <c r="AF391" s="1">
        <f>0</f>
        <v>0</v>
      </c>
      <c r="AG391" s="1">
        <f>0</f>
        <v>0</v>
      </c>
      <c r="AH391" s="1">
        <f>0</f>
        <v>0</v>
      </c>
      <c r="AI391" s="1">
        <f>0</f>
        <v>0</v>
      </c>
      <c r="AJ391" s="1"/>
      <c r="AK391" s="1"/>
      <c r="AL391" s="1"/>
      <c r="AM391" s="1"/>
      <c r="AN391" s="1"/>
      <c r="AO391" s="1"/>
      <c r="AP391" s="1"/>
      <c r="AQ391" s="1"/>
      <c r="AR391" s="1"/>
      <c r="AS391" s="1" t="b">
        <v>1</v>
      </c>
      <c r="AT391" s="1"/>
      <c r="AU391" s="1"/>
      <c r="AV391" s="1"/>
      <c r="AW391" s="1"/>
      <c r="AX391" s="1"/>
      <c r="AY391" s="1"/>
      <c r="AZ391" s="1"/>
    </row>
    <row r="392" spans="1:52" ht="15" customHeight="1" x14ac:dyDescent="0.35">
      <c r="A392" s="1" t="s">
        <v>1543</v>
      </c>
      <c r="B392" s="1" t="s">
        <v>125</v>
      </c>
      <c r="C392" s="1" t="s">
        <v>821</v>
      </c>
      <c r="D392" s="1" t="s">
        <v>1544</v>
      </c>
      <c r="E392" s="1" t="s">
        <v>1545</v>
      </c>
      <c r="F392" s="9" t="s">
        <v>1546</v>
      </c>
      <c r="G392" s="1" t="s">
        <v>38</v>
      </c>
      <c r="H3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2" s="11" t="e">
        <f>ABS(NETWORKDAYS.INTL("07/18/24", "08/05/24", 1, {"01/01/2024","01/15/2024","02/19/2024","05/27/2024","07/04/2024","09/02/2024","10/14/2024","11/11/2024","11/28/2024","12/25/2024","12/25/2024","12/26/2024","12/27/2024","12/28/2024","12/29/2024","12/30/2024","31/25/2024","01/01/2024","01/02/2024","01/03/2024","01/04/2024","01/05/2024"}))</f>
        <v>#VALUE!</v>
      </c>
      <c r="J392" s="1">
        <f>0</f>
        <v>0</v>
      </c>
      <c r="K392" s="1"/>
      <c r="L392" s="1">
        <v>0</v>
      </c>
      <c r="M392" s="1">
        <f>0</f>
        <v>0</v>
      </c>
      <c r="N392" s="1">
        <f>0</f>
        <v>0</v>
      </c>
      <c r="O392" s="1">
        <f>0</f>
        <v>0</v>
      </c>
      <c r="P392" s="1"/>
      <c r="Q392" s="1">
        <v>0</v>
      </c>
      <c r="R392" s="1">
        <v>0</v>
      </c>
      <c r="S392" s="1">
        <f>0</f>
        <v>0</v>
      </c>
      <c r="T392" s="1">
        <f>0</f>
        <v>0</v>
      </c>
      <c r="U392" s="1"/>
      <c r="V392" s="1">
        <v>0</v>
      </c>
      <c r="W392" s="1">
        <v>0</v>
      </c>
      <c r="X392" s="1">
        <f>0</f>
        <v>0</v>
      </c>
      <c r="Y392" s="1">
        <f>0</f>
        <v>0</v>
      </c>
      <c r="Z392" s="1">
        <f>0</f>
        <v>0</v>
      </c>
      <c r="AA392" s="1"/>
      <c r="AB392" s="5"/>
      <c r="AC392" s="5"/>
      <c r="AD392" s="1">
        <f>0</f>
        <v>0</v>
      </c>
      <c r="AE392" s="1">
        <f>0</f>
        <v>0</v>
      </c>
      <c r="AF392" s="1">
        <f>0</f>
        <v>0</v>
      </c>
      <c r="AG392" s="1">
        <f>0</f>
        <v>0</v>
      </c>
      <c r="AH392" s="1">
        <f>0</f>
        <v>0</v>
      </c>
      <c r="AI392" s="1">
        <f>0</f>
        <v>0</v>
      </c>
      <c r="AJ392" s="1"/>
      <c r="AK392" s="1"/>
      <c r="AL392" s="1"/>
      <c r="AM392" s="1"/>
      <c r="AN392" s="1"/>
      <c r="AO392" s="1"/>
      <c r="AP392" s="1"/>
      <c r="AQ392" s="1"/>
      <c r="AR392" s="1"/>
      <c r="AS392" s="1" t="b">
        <v>1</v>
      </c>
      <c r="AT392" s="1"/>
      <c r="AU392" s="1"/>
      <c r="AV392" s="1"/>
      <c r="AW392" s="1"/>
      <c r="AX392" s="1"/>
      <c r="AY392" s="1"/>
      <c r="AZ392" s="1"/>
    </row>
    <row r="393" spans="1:52" ht="15" customHeight="1" x14ac:dyDescent="0.35">
      <c r="A393" s="1" t="s">
        <v>1547</v>
      </c>
      <c r="B393" s="1" t="s">
        <v>126</v>
      </c>
      <c r="C393" s="1" t="s">
        <v>640</v>
      </c>
      <c r="D393" s="1" t="s">
        <v>1544</v>
      </c>
      <c r="E393" s="1" t="s">
        <v>1326</v>
      </c>
      <c r="F393" s="9" t="s">
        <v>1548</v>
      </c>
      <c r="G393" s="1" t="s">
        <v>38</v>
      </c>
      <c r="H3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393" s="11">
        <f>0</f>
        <v>0</v>
      </c>
      <c r="J393" s="1">
        <f>0</f>
        <v>0</v>
      </c>
      <c r="K393" s="1"/>
      <c r="L393" s="1">
        <v>0</v>
      </c>
      <c r="M393" s="1">
        <f>0</f>
        <v>0</v>
      </c>
      <c r="N393" s="1">
        <f>0</f>
        <v>0</v>
      </c>
      <c r="O393" s="1">
        <f>0</f>
        <v>0</v>
      </c>
      <c r="P393" s="1"/>
      <c r="Q393" s="1">
        <v>0</v>
      </c>
      <c r="R393" s="1">
        <v>0</v>
      </c>
      <c r="S393" s="1">
        <f>0</f>
        <v>0</v>
      </c>
      <c r="T393" s="1">
        <f>0</f>
        <v>0</v>
      </c>
      <c r="U393" s="1"/>
      <c r="V393" s="1">
        <v>0</v>
      </c>
      <c r="W393" s="1">
        <v>0</v>
      </c>
      <c r="X393" s="1">
        <f>0</f>
        <v>0</v>
      </c>
      <c r="Y393" s="1">
        <f>0</f>
        <v>0</v>
      </c>
      <c r="Z393" s="1">
        <f>0</f>
        <v>0</v>
      </c>
      <c r="AA393" s="1"/>
      <c r="AB393" s="5"/>
      <c r="AC393" s="5"/>
      <c r="AD393" s="1">
        <f>0</f>
        <v>0</v>
      </c>
      <c r="AE393" s="1">
        <f>0</f>
        <v>0</v>
      </c>
      <c r="AF393" s="1">
        <f>0</f>
        <v>0</v>
      </c>
      <c r="AG393" s="1">
        <f>0</f>
        <v>0</v>
      </c>
      <c r="AH393" s="1">
        <f>0</f>
        <v>0</v>
      </c>
      <c r="AI393" s="1">
        <f>0</f>
        <v>0</v>
      </c>
      <c r="AJ393" s="1"/>
      <c r="AK393" s="1"/>
      <c r="AL393" s="1"/>
      <c r="AM393" s="1"/>
      <c r="AN393" s="1"/>
      <c r="AO393" s="1"/>
      <c r="AP393" s="1"/>
      <c r="AQ393" s="1"/>
      <c r="AR393" s="1"/>
      <c r="AS393" s="1" t="b">
        <v>1</v>
      </c>
      <c r="AT393" s="1"/>
      <c r="AU393" s="1"/>
      <c r="AV393" s="1"/>
      <c r="AW393" s="1"/>
      <c r="AX393" s="1"/>
      <c r="AY393" s="1"/>
      <c r="AZ393" s="1"/>
    </row>
    <row r="394" spans="1:52" ht="15" customHeight="1" x14ac:dyDescent="0.35">
      <c r="A394" s="1" t="s">
        <v>1549</v>
      </c>
      <c r="B394" s="1" t="s">
        <v>1550</v>
      </c>
      <c r="C394" s="1" t="s">
        <v>821</v>
      </c>
      <c r="D394" s="1" t="s">
        <v>1551</v>
      </c>
      <c r="E394" s="1" t="s">
        <v>1326</v>
      </c>
      <c r="F394" s="9" t="s">
        <v>1552</v>
      </c>
      <c r="G394" s="1" t="s">
        <v>38</v>
      </c>
      <c r="H3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4" s="11" t="e">
        <f>ABS(NETWORKDAYS.INTL("7/26/24", "08/05/24", 1, {"01/01/2024","01/15/2024","02/19/2024","05/27/2024","07/04/2024","09/02/2024","10/14/2024","11/11/2024","11/28/2024","12/25/2024","12/25/2024","12/26/2024","12/27/2024","12/28/2024","12/29/2024","12/30/2024","31/25/2024","01/01/2024","01/02/2024","01/03/2024","01/04/2024","01/05/2024"}))</f>
        <v>#VALUE!</v>
      </c>
      <c r="J394" s="1">
        <f>0</f>
        <v>0</v>
      </c>
      <c r="K394" s="1"/>
      <c r="L394" s="1">
        <v>0</v>
      </c>
      <c r="M394" s="1">
        <f>0</f>
        <v>0</v>
      </c>
      <c r="N394" s="1">
        <f>0</f>
        <v>0</v>
      </c>
      <c r="O394" s="1">
        <f>0</f>
        <v>0</v>
      </c>
      <c r="P394" s="1"/>
      <c r="Q394" s="1">
        <v>0</v>
      </c>
      <c r="R394" s="1">
        <v>0</v>
      </c>
      <c r="S394" s="1">
        <f>0</f>
        <v>0</v>
      </c>
      <c r="T394" s="1">
        <f>0</f>
        <v>0</v>
      </c>
      <c r="U394" s="1"/>
      <c r="V394" s="1">
        <v>0</v>
      </c>
      <c r="W394" s="1">
        <v>0</v>
      </c>
      <c r="X394" s="1">
        <f>0</f>
        <v>0</v>
      </c>
      <c r="Y394" s="1">
        <f>0</f>
        <v>0</v>
      </c>
      <c r="Z394" s="1">
        <f>0</f>
        <v>0</v>
      </c>
      <c r="AA394" s="1"/>
      <c r="AB394" s="5"/>
      <c r="AC394" s="5"/>
      <c r="AD394" s="1">
        <f>0</f>
        <v>0</v>
      </c>
      <c r="AE394" s="1">
        <f>0</f>
        <v>0</v>
      </c>
      <c r="AF394" s="1">
        <f>0</f>
        <v>0</v>
      </c>
      <c r="AG394" s="1">
        <f>0</f>
        <v>0</v>
      </c>
      <c r="AH394" s="1">
        <f>0</f>
        <v>0</v>
      </c>
      <c r="AI394" s="1">
        <f>0</f>
        <v>0</v>
      </c>
      <c r="AJ394" s="1"/>
      <c r="AK394" s="1"/>
      <c r="AL394" s="1"/>
      <c r="AM394" s="1"/>
      <c r="AN394" s="1"/>
      <c r="AO394" s="1"/>
      <c r="AP394" s="1"/>
      <c r="AQ394" s="1"/>
      <c r="AR394" s="1"/>
      <c r="AS394" s="1" t="b">
        <v>1</v>
      </c>
      <c r="AT394" s="1"/>
      <c r="AU394" s="1"/>
      <c r="AV394" s="1"/>
      <c r="AW394" s="1"/>
      <c r="AX394" s="1"/>
      <c r="AY394" s="1"/>
      <c r="AZ394" s="1"/>
    </row>
    <row r="395" spans="1:52" ht="15" customHeight="1" x14ac:dyDescent="0.35">
      <c r="A395" s="1" t="s">
        <v>1553</v>
      </c>
      <c r="B395" s="1" t="s">
        <v>127</v>
      </c>
      <c r="C395" s="1" t="s">
        <v>680</v>
      </c>
      <c r="D395" s="1" t="s">
        <v>1554</v>
      </c>
      <c r="E395" s="1" t="s">
        <v>1326</v>
      </c>
      <c r="F395" s="9" t="s">
        <v>1555</v>
      </c>
      <c r="G395" s="1" t="s">
        <v>38</v>
      </c>
      <c r="H3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5" s="11">
        <f>0</f>
        <v>0</v>
      </c>
      <c r="J395" s="1">
        <f>0</f>
        <v>0</v>
      </c>
      <c r="K395" s="1"/>
      <c r="L395" s="1">
        <v>0</v>
      </c>
      <c r="M395" s="1">
        <f>0</f>
        <v>0</v>
      </c>
      <c r="N395" s="1">
        <f>0</f>
        <v>0</v>
      </c>
      <c r="O395" s="1">
        <f>0</f>
        <v>0</v>
      </c>
      <c r="P395" s="1"/>
      <c r="Q395" s="1">
        <v>0</v>
      </c>
      <c r="R395" s="1">
        <v>0</v>
      </c>
      <c r="S395" s="1">
        <f>0</f>
        <v>0</v>
      </c>
      <c r="T395" s="1">
        <f>0</f>
        <v>0</v>
      </c>
      <c r="U395" s="1"/>
      <c r="V395" s="1">
        <v>0</v>
      </c>
      <c r="W395" s="1">
        <v>0</v>
      </c>
      <c r="X395" s="1">
        <f>0</f>
        <v>0</v>
      </c>
      <c r="Y395" s="1">
        <f>0</f>
        <v>0</v>
      </c>
      <c r="Z395" s="1">
        <f>0</f>
        <v>0</v>
      </c>
      <c r="AA395" s="1"/>
      <c r="AB395" s="5"/>
      <c r="AC395" s="5"/>
      <c r="AD395" s="1">
        <f>0</f>
        <v>0</v>
      </c>
      <c r="AE395" s="1">
        <f>0</f>
        <v>0</v>
      </c>
      <c r="AF395" s="1">
        <f>0</f>
        <v>0</v>
      </c>
      <c r="AG395" s="1">
        <f>0</f>
        <v>0</v>
      </c>
      <c r="AH395" s="1">
        <f>0</f>
        <v>0</v>
      </c>
      <c r="AI395" s="1">
        <f>0</f>
        <v>0</v>
      </c>
      <c r="AJ395" s="1"/>
      <c r="AK395" s="1"/>
      <c r="AL395" s="1"/>
      <c r="AM395" s="1"/>
      <c r="AN395" s="1"/>
      <c r="AO395" s="1"/>
      <c r="AP395" s="1"/>
      <c r="AQ395" s="1"/>
      <c r="AR395" s="1"/>
      <c r="AS395" s="1" t="b">
        <v>1</v>
      </c>
      <c r="AT395" s="1"/>
      <c r="AU395" s="1"/>
      <c r="AV395" s="1"/>
      <c r="AW395" s="1"/>
      <c r="AX395" s="1"/>
      <c r="AY395" s="1"/>
      <c r="AZ395" s="1"/>
    </row>
    <row r="396" spans="1:52" ht="15" customHeight="1" x14ac:dyDescent="0.35">
      <c r="A396" s="1" t="s">
        <v>1556</v>
      </c>
      <c r="B396" s="1" t="s">
        <v>128</v>
      </c>
      <c r="C396" s="1" t="s">
        <v>821</v>
      </c>
      <c r="D396" s="1" t="s">
        <v>1557</v>
      </c>
      <c r="E396" s="1" t="s">
        <v>1326</v>
      </c>
      <c r="F396" s="9" t="s">
        <v>1558</v>
      </c>
      <c r="G396" s="1" t="s">
        <v>38</v>
      </c>
      <c r="H3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6" s="11" t="e">
        <f>ABS(NETWORKDAYS.INTL("07/23/2024", "08/05/24", 1, {"01/01/2024","01/15/2024","02/19/2024","05/27/2024","07/04/2024","09/02/2024","10/14/2024","11/11/2024","11/28/2024","12/25/2024","12/25/2024","12/26/2024","12/27/2024","12/28/2024","12/29/2024","12/30/2024","31/25/2024","01/01/2024","01/02/2024","01/03/2024","01/04/2024","01/05/2024"}))</f>
        <v>#VALUE!</v>
      </c>
      <c r="J396" s="1">
        <f>0</f>
        <v>0</v>
      </c>
      <c r="K396" s="1"/>
      <c r="L396" s="1">
        <v>0</v>
      </c>
      <c r="M396" s="1">
        <f>0</f>
        <v>0</v>
      </c>
      <c r="N396" s="1">
        <f>0</f>
        <v>0</v>
      </c>
      <c r="O396" s="1">
        <f>0</f>
        <v>0</v>
      </c>
      <c r="P396" s="1"/>
      <c r="Q396" s="1">
        <v>0</v>
      </c>
      <c r="R396" s="1">
        <v>0</v>
      </c>
      <c r="S396" s="1">
        <f>0</f>
        <v>0</v>
      </c>
      <c r="T396" s="1">
        <f>0</f>
        <v>0</v>
      </c>
      <c r="U396" s="1"/>
      <c r="V396" s="1">
        <v>0</v>
      </c>
      <c r="W396" s="1">
        <v>0</v>
      </c>
      <c r="X396" s="1">
        <f>0</f>
        <v>0</v>
      </c>
      <c r="Y396" s="1">
        <f>0</f>
        <v>0</v>
      </c>
      <c r="Z396" s="1">
        <f>0</f>
        <v>0</v>
      </c>
      <c r="AA396" s="1"/>
      <c r="AB396" s="5"/>
      <c r="AC396" s="5"/>
      <c r="AD396" s="1">
        <f>0</f>
        <v>0</v>
      </c>
      <c r="AE396" s="1">
        <f>0</f>
        <v>0</v>
      </c>
      <c r="AF396" s="1">
        <f>0</f>
        <v>0</v>
      </c>
      <c r="AG396" s="1">
        <f>0</f>
        <v>0</v>
      </c>
      <c r="AH396" s="1">
        <f>0</f>
        <v>0</v>
      </c>
      <c r="AI396" s="1">
        <f>0</f>
        <v>0</v>
      </c>
      <c r="AJ396" s="1"/>
      <c r="AK396" s="1"/>
      <c r="AL396" s="1"/>
      <c r="AM396" s="1"/>
      <c r="AN396" s="1"/>
      <c r="AO396" s="1"/>
      <c r="AP396" s="1"/>
      <c r="AQ396" s="1"/>
      <c r="AR396" s="1"/>
      <c r="AS396" s="1" t="b">
        <v>1</v>
      </c>
      <c r="AT396" s="1"/>
      <c r="AU396" s="1"/>
      <c r="AV396" s="1"/>
      <c r="AW396" s="1"/>
      <c r="AX396" s="1"/>
      <c r="AY396" s="1"/>
      <c r="AZ396" s="1"/>
    </row>
    <row r="397" spans="1:52" ht="15" customHeight="1" x14ac:dyDescent="0.35">
      <c r="A397" s="1" t="s">
        <v>1559</v>
      </c>
      <c r="B397" s="1" t="s">
        <v>129</v>
      </c>
      <c r="C397" s="1" t="s">
        <v>816</v>
      </c>
      <c r="D397" s="1" t="s">
        <v>1560</v>
      </c>
      <c r="E397" s="1" t="s">
        <v>1326</v>
      </c>
      <c r="F397" s="9" t="s">
        <v>1561</v>
      </c>
      <c r="G397" s="1" t="s">
        <v>38</v>
      </c>
      <c r="H3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7" s="11" t="e">
        <f>ABS(NETWORKDAYS.INTL("07/01/2024", "7/26/2024", 1, {"01/01/2024","01/15/2024","02/19/2024","05/27/2024","07/04/2024","09/02/2024","10/14/2024","11/11/2024","11/28/2024","12/25/2024","12/25/2024","12/26/2024","12/27/2024","12/28/2024","12/29/2024","12/30/2024","31/25/2024","01/01/2024","01/02/2024","01/03/2024","01/04/2024","01/05/2024"}))</f>
        <v>#VALUE!</v>
      </c>
      <c r="J397" s="1" t="e">
        <f>ABS(NETWORKDAYS.INTL("07/01/2024", "07/17/2024", 1, {"01/01/2024","01/15/2024","02/19/2024","05/27/2024","07/04/2024","09/02/2024","10/14/2024","11/11/2024","11/28/2024","12/25/2024","12/25/2024","12/26/2024","12/27/2024","12/28/2024","12/29/2024","12/30/2024","31/25/2024","01/01/2024","01/02/2024","01/03/2024","01/04/2024","01/05/2024"}))</f>
        <v>#VALUE!</v>
      </c>
      <c r="K397" s="1"/>
      <c r="L397" s="1">
        <v>0</v>
      </c>
      <c r="M397" s="1">
        <f>0</f>
        <v>0</v>
      </c>
      <c r="N397" s="1">
        <f>0</f>
        <v>0</v>
      </c>
      <c r="O397" s="1">
        <f>0</f>
        <v>0</v>
      </c>
      <c r="P397" s="1"/>
      <c r="Q397" s="1">
        <v>0</v>
      </c>
      <c r="R397" s="1">
        <v>0</v>
      </c>
      <c r="S397" s="1">
        <f>0</f>
        <v>0</v>
      </c>
      <c r="T397" s="1">
        <f>0</f>
        <v>0</v>
      </c>
      <c r="U397" s="1"/>
      <c r="V397" s="1">
        <v>0</v>
      </c>
      <c r="W397" s="1">
        <v>0</v>
      </c>
      <c r="X397" s="1">
        <f>0</f>
        <v>0</v>
      </c>
      <c r="Y397" s="1">
        <f>0</f>
        <v>0</v>
      </c>
      <c r="Z397" s="1">
        <f>0</f>
        <v>0</v>
      </c>
      <c r="AA397" s="1"/>
      <c r="AB397" s="5"/>
      <c r="AC397" s="5"/>
      <c r="AD397" s="1">
        <f>0</f>
        <v>0</v>
      </c>
      <c r="AE397" s="1">
        <f>0</f>
        <v>0</v>
      </c>
      <c r="AF397" s="1">
        <f>0</f>
        <v>0</v>
      </c>
      <c r="AG397" s="1">
        <f>0</f>
        <v>0</v>
      </c>
      <c r="AH397" s="1">
        <f>0</f>
        <v>0</v>
      </c>
      <c r="AI397" s="1">
        <f>0</f>
        <v>0</v>
      </c>
      <c r="AJ397" s="1"/>
      <c r="AK397" s="1"/>
      <c r="AL397" s="1"/>
      <c r="AM397" s="1"/>
      <c r="AN397" s="1"/>
      <c r="AO397" s="1"/>
      <c r="AP397" s="1"/>
      <c r="AQ397" s="1"/>
      <c r="AR397" s="1"/>
      <c r="AS397" s="1" t="b">
        <v>1</v>
      </c>
      <c r="AT397" s="1"/>
      <c r="AU397" s="1"/>
      <c r="AV397" s="1"/>
      <c r="AW397" s="1"/>
      <c r="AX397" s="1"/>
      <c r="AY397" s="1"/>
      <c r="AZ397" s="1"/>
    </row>
    <row r="398" spans="1:52" ht="15" customHeight="1" x14ac:dyDescent="0.35">
      <c r="A398" s="1" t="s">
        <v>1562</v>
      </c>
      <c r="B398" s="1" t="s">
        <v>130</v>
      </c>
      <c r="C398" s="1" t="s">
        <v>680</v>
      </c>
      <c r="D398" s="1" t="s">
        <v>1554</v>
      </c>
      <c r="E398" s="1" t="s">
        <v>1326</v>
      </c>
      <c r="F398" s="9" t="s">
        <v>1563</v>
      </c>
      <c r="G398" s="1" t="s">
        <v>38</v>
      </c>
      <c r="H3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8" s="11">
        <f>0</f>
        <v>0</v>
      </c>
      <c r="J398" s="1">
        <f>0</f>
        <v>0</v>
      </c>
      <c r="K398" s="1"/>
      <c r="L398" s="1">
        <v>0</v>
      </c>
      <c r="M398" s="1">
        <f>0</f>
        <v>0</v>
      </c>
      <c r="N398" s="1">
        <f>0</f>
        <v>0</v>
      </c>
      <c r="O398" s="1">
        <f>0</f>
        <v>0</v>
      </c>
      <c r="P398" s="1"/>
      <c r="Q398" s="1">
        <v>0</v>
      </c>
      <c r="R398" s="1">
        <v>0</v>
      </c>
      <c r="S398" s="1">
        <f>0</f>
        <v>0</v>
      </c>
      <c r="T398" s="1">
        <f>0</f>
        <v>0</v>
      </c>
      <c r="U398" s="1"/>
      <c r="V398" s="1">
        <v>0</v>
      </c>
      <c r="W398" s="1">
        <v>0</v>
      </c>
      <c r="X398" s="1">
        <f>0</f>
        <v>0</v>
      </c>
      <c r="Y398" s="1">
        <f>0</f>
        <v>0</v>
      </c>
      <c r="Z398" s="1">
        <f>0</f>
        <v>0</v>
      </c>
      <c r="AA398" s="1"/>
      <c r="AB398" s="5"/>
      <c r="AC398" s="5"/>
      <c r="AD398" s="1">
        <f>0</f>
        <v>0</v>
      </c>
      <c r="AE398" s="1">
        <f>0</f>
        <v>0</v>
      </c>
      <c r="AF398" s="1">
        <f>0</f>
        <v>0</v>
      </c>
      <c r="AG398" s="1">
        <f>0</f>
        <v>0</v>
      </c>
      <c r="AH398" s="1">
        <f>0</f>
        <v>0</v>
      </c>
      <c r="AI398" s="1">
        <f>0</f>
        <v>0</v>
      </c>
      <c r="AJ398" s="1"/>
      <c r="AK398" s="1"/>
      <c r="AL398" s="1"/>
      <c r="AM398" s="1"/>
      <c r="AN398" s="1"/>
      <c r="AO398" s="1"/>
      <c r="AP398" s="1"/>
      <c r="AQ398" s="1"/>
      <c r="AR398" s="1"/>
      <c r="AS398" s="1" t="b">
        <v>1</v>
      </c>
      <c r="AT398" s="1"/>
      <c r="AU398" s="1"/>
      <c r="AV398" s="1"/>
      <c r="AW398" s="1"/>
      <c r="AX398" s="1"/>
      <c r="AY398" s="1"/>
      <c r="AZ398" s="1"/>
    </row>
    <row r="399" spans="1:52" ht="15" customHeight="1" x14ac:dyDescent="0.35">
      <c r="A399" s="1" t="s">
        <v>1564</v>
      </c>
      <c r="B399" s="1" t="s">
        <v>131</v>
      </c>
      <c r="C399" s="1" t="s">
        <v>816</v>
      </c>
      <c r="D399" s="1"/>
      <c r="E399" s="1" t="s">
        <v>1537</v>
      </c>
      <c r="F399" s="9" t="s">
        <v>1565</v>
      </c>
      <c r="G399" s="1" t="s">
        <v>38</v>
      </c>
      <c r="H3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399" s="11" t="e">
        <f>ABS(NETWORKDAYS.INTL("07/01/2024", "07/17/2024", 1, {"01/01/2024","01/15/2024","02/19/2024","05/27/2024","07/04/2024","09/02/2024","10/14/2024","11/11/2024","11/28/2024","12/25/2024","12/25/2024","12/26/2024","12/27/2024","12/28/2024","12/29/2024","12/30/2024","31/25/2024","01/01/2024","01/02/2024","01/03/2024","01/04/2024","01/05/2024"}))</f>
        <v>#VALUE!</v>
      </c>
      <c r="J399" s="1" t="e">
        <f>ABS(NETWORKDAYS.INTL("07/01/2024", "07/17/2024", 1, {"01/01/2024","01/15/2024","02/19/2024","05/27/2024","07/04/2024","09/02/2024","10/14/2024","11/11/2024","11/28/2024","12/25/2024","12/25/2024","12/26/2024","12/27/2024","12/28/2024","12/29/2024","12/30/2024","31/25/2024","01/01/2024","01/02/2024","01/03/2024","01/04/2024","01/05/2024"}))</f>
        <v>#VALUE!</v>
      </c>
      <c r="K399" s="1"/>
      <c r="L399" s="1">
        <v>0</v>
      </c>
      <c r="M399" s="1">
        <f>0</f>
        <v>0</v>
      </c>
      <c r="N399" s="1">
        <f>0</f>
        <v>0</v>
      </c>
      <c r="O399" s="1">
        <f>0</f>
        <v>0</v>
      </c>
      <c r="P399" s="1"/>
      <c r="Q399" s="1">
        <v>0</v>
      </c>
      <c r="R399" s="1">
        <v>0</v>
      </c>
      <c r="S399" s="1">
        <f>0</f>
        <v>0</v>
      </c>
      <c r="T399" s="1">
        <f>0</f>
        <v>0</v>
      </c>
      <c r="U399" s="1"/>
      <c r="V399" s="1">
        <v>0</v>
      </c>
      <c r="W399" s="1">
        <v>0</v>
      </c>
      <c r="X399" s="1">
        <f>0</f>
        <v>0</v>
      </c>
      <c r="Y399" s="1">
        <f>0</f>
        <v>0</v>
      </c>
      <c r="Z399" s="1">
        <f>0</f>
        <v>0</v>
      </c>
      <c r="AA399" s="1"/>
      <c r="AB399" s="5"/>
      <c r="AC399" s="5"/>
      <c r="AD399" s="1">
        <f>0</f>
        <v>0</v>
      </c>
      <c r="AE399" s="1">
        <f>0</f>
        <v>0</v>
      </c>
      <c r="AF399" s="1">
        <f>0</f>
        <v>0</v>
      </c>
      <c r="AG399" s="1">
        <f>0</f>
        <v>0</v>
      </c>
      <c r="AH399" s="1">
        <f>0</f>
        <v>0</v>
      </c>
      <c r="AI399" s="1">
        <f>0</f>
        <v>0</v>
      </c>
      <c r="AJ399" s="1"/>
      <c r="AK399" s="1"/>
      <c r="AL399" s="1"/>
      <c r="AM399" s="1"/>
      <c r="AN399" s="1"/>
      <c r="AO399" s="1"/>
      <c r="AP399" s="1"/>
      <c r="AQ399" s="1"/>
      <c r="AR399" s="1"/>
      <c r="AS399" s="1" t="b">
        <v>1</v>
      </c>
      <c r="AT399" s="1"/>
      <c r="AU399" s="1"/>
      <c r="AV399" s="1"/>
      <c r="AW399" s="1"/>
      <c r="AX399" s="1"/>
      <c r="AY399" s="1"/>
      <c r="AZ399" s="1"/>
    </row>
    <row r="400" spans="1:52" ht="15" customHeight="1" x14ac:dyDescent="0.35">
      <c r="A400" s="1" t="s">
        <v>1566</v>
      </c>
      <c r="B400" s="1" t="s">
        <v>132</v>
      </c>
      <c r="C400" s="1" t="s">
        <v>1149</v>
      </c>
      <c r="D400" s="1"/>
      <c r="E400" s="1" t="s">
        <v>1326</v>
      </c>
      <c r="F400" s="9" t="s">
        <v>1567</v>
      </c>
      <c r="G400" s="1" t="s">
        <v>38</v>
      </c>
      <c r="H4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0" s="11">
        <f>0</f>
        <v>0</v>
      </c>
      <c r="J400" s="1">
        <f>0</f>
        <v>0</v>
      </c>
      <c r="K400" s="1"/>
      <c r="L400" s="1">
        <v>0</v>
      </c>
      <c r="M400" s="1">
        <f>0</f>
        <v>0</v>
      </c>
      <c r="N400" s="1">
        <f>0</f>
        <v>0</v>
      </c>
      <c r="O400" s="1">
        <f>0</f>
        <v>0</v>
      </c>
      <c r="P400" s="1"/>
      <c r="Q400" s="1">
        <v>0</v>
      </c>
      <c r="R400" s="1">
        <v>0</v>
      </c>
      <c r="S400" s="1">
        <f>0</f>
        <v>0</v>
      </c>
      <c r="T400" s="1">
        <f>0</f>
        <v>0</v>
      </c>
      <c r="U400" s="1"/>
      <c r="V400" s="1">
        <v>0</v>
      </c>
      <c r="W400" s="1">
        <v>0</v>
      </c>
      <c r="X400" s="1">
        <f>0</f>
        <v>0</v>
      </c>
      <c r="Y400" s="1">
        <f>0</f>
        <v>0</v>
      </c>
      <c r="Z400" s="1">
        <f>0</f>
        <v>0</v>
      </c>
      <c r="AA400" s="1"/>
      <c r="AB400" s="5"/>
      <c r="AC400" s="5"/>
      <c r="AD400" s="1">
        <f>0</f>
        <v>0</v>
      </c>
      <c r="AE400" s="1">
        <f>0</f>
        <v>0</v>
      </c>
      <c r="AF400" s="1">
        <f>0</f>
        <v>0</v>
      </c>
      <c r="AG400" s="1">
        <f>0</f>
        <v>0</v>
      </c>
      <c r="AH400" s="1">
        <f>0</f>
        <v>0</v>
      </c>
      <c r="AI400" s="1">
        <f>0</f>
        <v>0</v>
      </c>
      <c r="AJ400" s="1"/>
      <c r="AK400" s="1"/>
      <c r="AL400" s="1"/>
      <c r="AM400" s="1"/>
      <c r="AN400" s="1"/>
      <c r="AO400" s="1"/>
      <c r="AP400" s="1"/>
      <c r="AQ400" s="1"/>
      <c r="AR400" s="1"/>
      <c r="AS400" s="1" t="b">
        <v>1</v>
      </c>
      <c r="AT400" s="1"/>
      <c r="AU400" s="1"/>
      <c r="AV400" s="1"/>
      <c r="AW400" s="1"/>
      <c r="AX400" s="1"/>
      <c r="AY400" s="1"/>
      <c r="AZ400" s="1"/>
    </row>
    <row r="401" spans="1:52" ht="15" customHeight="1" x14ac:dyDescent="0.35">
      <c r="A401" s="1" t="s">
        <v>1568</v>
      </c>
      <c r="B401" s="1" t="s">
        <v>133</v>
      </c>
      <c r="C401" s="1" t="s">
        <v>1149</v>
      </c>
      <c r="D401" s="1"/>
      <c r="E401" s="1" t="s">
        <v>1326</v>
      </c>
      <c r="F401" s="9" t="s">
        <v>1569</v>
      </c>
      <c r="G401" s="1" t="s">
        <v>38</v>
      </c>
      <c r="H4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1" s="11">
        <f>0</f>
        <v>0</v>
      </c>
      <c r="J401" s="1">
        <f>0</f>
        <v>0</v>
      </c>
      <c r="K401" s="1"/>
      <c r="L401" s="1">
        <v>0</v>
      </c>
      <c r="M401" s="1">
        <f>0</f>
        <v>0</v>
      </c>
      <c r="N401" s="1">
        <f>0</f>
        <v>0</v>
      </c>
      <c r="O401" s="1">
        <f>0</f>
        <v>0</v>
      </c>
      <c r="P401" s="1"/>
      <c r="Q401" s="1">
        <v>0</v>
      </c>
      <c r="R401" s="1">
        <v>0</v>
      </c>
      <c r="S401" s="1">
        <f>0</f>
        <v>0</v>
      </c>
      <c r="T401" s="1">
        <f>0</f>
        <v>0</v>
      </c>
      <c r="U401" s="1"/>
      <c r="V401" s="1">
        <v>0</v>
      </c>
      <c r="W401" s="1">
        <v>0</v>
      </c>
      <c r="X401" s="1">
        <f>0</f>
        <v>0</v>
      </c>
      <c r="Y401" s="1">
        <f>0</f>
        <v>0</v>
      </c>
      <c r="Z401" s="1">
        <f>0</f>
        <v>0</v>
      </c>
      <c r="AA401" s="1"/>
      <c r="AB401" s="5"/>
      <c r="AC401" s="5"/>
      <c r="AD401" s="1">
        <f>0</f>
        <v>0</v>
      </c>
      <c r="AE401" s="1">
        <f>0</f>
        <v>0</v>
      </c>
      <c r="AF401" s="1">
        <f>0</f>
        <v>0</v>
      </c>
      <c r="AG401" s="1">
        <f>0</f>
        <v>0</v>
      </c>
      <c r="AH401" s="1">
        <f>0</f>
        <v>0</v>
      </c>
      <c r="AI401" s="1">
        <f>0</f>
        <v>0</v>
      </c>
      <c r="AJ401" s="1"/>
      <c r="AK401" s="1"/>
      <c r="AL401" s="1"/>
      <c r="AM401" s="1"/>
      <c r="AN401" s="1"/>
      <c r="AO401" s="1"/>
      <c r="AP401" s="1"/>
      <c r="AQ401" s="1"/>
      <c r="AR401" s="1"/>
      <c r="AS401" s="1" t="b">
        <v>1</v>
      </c>
      <c r="AT401" s="1"/>
      <c r="AU401" s="1"/>
      <c r="AV401" s="1"/>
      <c r="AW401" s="1"/>
      <c r="AX401" s="1"/>
      <c r="AY401" s="1"/>
      <c r="AZ401" s="1"/>
    </row>
    <row r="402" spans="1:52" ht="15" customHeight="1" x14ac:dyDescent="0.35">
      <c r="A402" s="1" t="s">
        <v>1570</v>
      </c>
      <c r="B402" s="1" t="s">
        <v>134</v>
      </c>
      <c r="C402" s="1" t="s">
        <v>640</v>
      </c>
      <c r="D402" s="1" t="s">
        <v>1571</v>
      </c>
      <c r="E402" s="1" t="s">
        <v>1326</v>
      </c>
      <c r="F402" s="9" t="s">
        <v>1572</v>
      </c>
      <c r="G402" s="1" t="s">
        <v>38</v>
      </c>
      <c r="H4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2" s="11">
        <f>0</f>
        <v>0</v>
      </c>
      <c r="J402" s="1">
        <f>0</f>
        <v>0</v>
      </c>
      <c r="K402" s="1"/>
      <c r="L402" s="1">
        <v>0</v>
      </c>
      <c r="M402" s="1">
        <f>0</f>
        <v>0</v>
      </c>
      <c r="N402" s="1">
        <f>0</f>
        <v>0</v>
      </c>
      <c r="O402" s="1">
        <f>0</f>
        <v>0</v>
      </c>
      <c r="P402" s="1"/>
      <c r="Q402" s="1">
        <v>0</v>
      </c>
      <c r="R402" s="1">
        <v>0</v>
      </c>
      <c r="S402" s="1">
        <f>0</f>
        <v>0</v>
      </c>
      <c r="T402" s="1">
        <f>0</f>
        <v>0</v>
      </c>
      <c r="U402" s="1"/>
      <c r="V402" s="1">
        <v>0</v>
      </c>
      <c r="W402" s="1">
        <v>0</v>
      </c>
      <c r="X402" s="1">
        <f>0</f>
        <v>0</v>
      </c>
      <c r="Y402" s="1">
        <f>0</f>
        <v>0</v>
      </c>
      <c r="Z402" s="1">
        <f>0</f>
        <v>0</v>
      </c>
      <c r="AA402" s="1"/>
      <c r="AB402" s="5"/>
      <c r="AC402" s="5"/>
      <c r="AD402" s="1">
        <f>0</f>
        <v>0</v>
      </c>
      <c r="AE402" s="1">
        <f>0</f>
        <v>0</v>
      </c>
      <c r="AF402" s="1">
        <f>0</f>
        <v>0</v>
      </c>
      <c r="AG402" s="1">
        <f>0</f>
        <v>0</v>
      </c>
      <c r="AH402" s="1">
        <f>0</f>
        <v>0</v>
      </c>
      <c r="AI402" s="1">
        <f>0</f>
        <v>0</v>
      </c>
      <c r="AJ402" s="1"/>
      <c r="AK402" s="1"/>
      <c r="AL402" s="1"/>
      <c r="AM402" s="1"/>
      <c r="AN402" s="1"/>
      <c r="AO402" s="1"/>
      <c r="AP402" s="1"/>
      <c r="AQ402" s="1"/>
      <c r="AR402" s="1"/>
      <c r="AS402" s="1" t="b">
        <v>1</v>
      </c>
      <c r="AT402" s="1"/>
      <c r="AU402" s="1"/>
      <c r="AV402" s="1"/>
      <c r="AW402" s="1"/>
      <c r="AX402" s="1"/>
      <c r="AY402" s="1"/>
      <c r="AZ402" s="1"/>
    </row>
    <row r="403" spans="1:52" ht="15" customHeight="1" x14ac:dyDescent="0.35">
      <c r="A403" s="1" t="s">
        <v>1573</v>
      </c>
      <c r="B403" s="1" t="s">
        <v>135</v>
      </c>
      <c r="C403" s="1" t="s">
        <v>1149</v>
      </c>
      <c r="D403" s="1" t="s">
        <v>1530</v>
      </c>
      <c r="E403" s="1" t="s">
        <v>1326</v>
      </c>
      <c r="F403" s="9" t="s">
        <v>1574</v>
      </c>
      <c r="G403" s="1" t="s">
        <v>38</v>
      </c>
      <c r="H4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3" s="11" t="e">
        <f>ABS(NETWORKDAYS.INTL("07/23/2024", "07/24/2024", 1, {"01/01/2024","01/15/2024","02/19/2024","05/27/2024","07/04/2024","09/02/2024","10/14/2024","11/11/2024","11/28/2024","12/25/2024","12/25/2024","12/26/2024","12/27/2024","12/28/2024","12/29/2024","12/30/2024","31/25/2024","01/01/2024","01/02/2024","01/03/2024","01/04/2024","01/05/2024"}))</f>
        <v>#VALUE!</v>
      </c>
      <c r="J403" s="1">
        <f>0</f>
        <v>0</v>
      </c>
      <c r="K403" s="1"/>
      <c r="L403" s="1">
        <v>0</v>
      </c>
      <c r="M403" s="1">
        <f>0</f>
        <v>0</v>
      </c>
      <c r="N403" s="1">
        <f>0</f>
        <v>0</v>
      </c>
      <c r="O403" s="1">
        <f>0</f>
        <v>0</v>
      </c>
      <c r="P403" s="1"/>
      <c r="Q403" s="1">
        <v>0</v>
      </c>
      <c r="R403" s="1">
        <v>0</v>
      </c>
      <c r="S403" s="1">
        <f>0</f>
        <v>0</v>
      </c>
      <c r="T403" s="1">
        <f>0</f>
        <v>0</v>
      </c>
      <c r="U403" s="1"/>
      <c r="V403" s="1">
        <v>0</v>
      </c>
      <c r="W403" s="1">
        <v>0</v>
      </c>
      <c r="X403" s="1">
        <f>0</f>
        <v>0</v>
      </c>
      <c r="Y403" s="1">
        <f>0</f>
        <v>0</v>
      </c>
      <c r="Z403" s="1">
        <f>0</f>
        <v>0</v>
      </c>
      <c r="AA403" s="1"/>
      <c r="AB403" s="5"/>
      <c r="AC403" s="5"/>
      <c r="AD403" s="1">
        <f>0</f>
        <v>0</v>
      </c>
      <c r="AE403" s="1">
        <f>0</f>
        <v>0</v>
      </c>
      <c r="AF403" s="1">
        <f>0</f>
        <v>0</v>
      </c>
      <c r="AG403" s="1">
        <f>0</f>
        <v>0</v>
      </c>
      <c r="AH403" s="1">
        <f>0</f>
        <v>0</v>
      </c>
      <c r="AI403" s="1">
        <f>0</f>
        <v>0</v>
      </c>
      <c r="AJ403" s="1"/>
      <c r="AK403" s="1"/>
      <c r="AL403" s="1"/>
      <c r="AM403" s="1"/>
      <c r="AN403" s="1"/>
      <c r="AO403" s="1"/>
      <c r="AP403" s="1"/>
      <c r="AQ403" s="1"/>
      <c r="AR403" s="1"/>
      <c r="AS403" s="1" t="b">
        <v>1</v>
      </c>
      <c r="AT403" s="1"/>
      <c r="AU403" s="1"/>
      <c r="AV403" s="1"/>
      <c r="AW403" s="1"/>
      <c r="AX403" s="1"/>
      <c r="AY403" s="1"/>
      <c r="AZ403" s="1"/>
    </row>
    <row r="404" spans="1:52" ht="15" customHeight="1" x14ac:dyDescent="0.35">
      <c r="A404" s="1" t="s">
        <v>1575</v>
      </c>
      <c r="B404" s="1" t="s">
        <v>136</v>
      </c>
      <c r="C404" s="1" t="s">
        <v>640</v>
      </c>
      <c r="D404" s="1"/>
      <c r="E404" s="1" t="s">
        <v>1326</v>
      </c>
      <c r="F404" s="9" t="s">
        <v>1576</v>
      </c>
      <c r="G404" s="1" t="s">
        <v>38</v>
      </c>
      <c r="H4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4" s="11">
        <f>0</f>
        <v>0</v>
      </c>
      <c r="J404" s="1">
        <f>0</f>
        <v>0</v>
      </c>
      <c r="K404" s="1"/>
      <c r="L404" s="1">
        <v>0</v>
      </c>
      <c r="M404" s="1">
        <f>0</f>
        <v>0</v>
      </c>
      <c r="N404" s="1">
        <f>0</f>
        <v>0</v>
      </c>
      <c r="O404" s="1">
        <f>0</f>
        <v>0</v>
      </c>
      <c r="P404" s="1"/>
      <c r="Q404" s="1">
        <v>0</v>
      </c>
      <c r="R404" s="1">
        <v>0</v>
      </c>
      <c r="S404" s="1">
        <f>0</f>
        <v>0</v>
      </c>
      <c r="T404" s="1">
        <f>0</f>
        <v>0</v>
      </c>
      <c r="U404" s="1"/>
      <c r="V404" s="1">
        <v>0</v>
      </c>
      <c r="W404" s="1">
        <v>0</v>
      </c>
      <c r="X404" s="1">
        <f>0</f>
        <v>0</v>
      </c>
      <c r="Y404" s="1">
        <f>0</f>
        <v>0</v>
      </c>
      <c r="Z404" s="1">
        <f>0</f>
        <v>0</v>
      </c>
      <c r="AA404" s="1"/>
      <c r="AB404" s="5"/>
      <c r="AC404" s="5"/>
      <c r="AD404" s="1">
        <f>0</f>
        <v>0</v>
      </c>
      <c r="AE404" s="1">
        <f>0</f>
        <v>0</v>
      </c>
      <c r="AF404" s="1">
        <f>0</f>
        <v>0</v>
      </c>
      <c r="AG404" s="1">
        <f>0</f>
        <v>0</v>
      </c>
      <c r="AH404" s="1">
        <f>0</f>
        <v>0</v>
      </c>
      <c r="AI404" s="1">
        <f>0</f>
        <v>0</v>
      </c>
      <c r="AJ404" s="1"/>
      <c r="AK404" s="1"/>
      <c r="AL404" s="1"/>
      <c r="AM404" s="1"/>
      <c r="AN404" s="1"/>
      <c r="AO404" s="1"/>
      <c r="AP404" s="1"/>
      <c r="AQ404" s="1"/>
      <c r="AR404" s="1"/>
      <c r="AS404" s="1" t="b">
        <v>1</v>
      </c>
      <c r="AT404" s="1"/>
      <c r="AU404" s="1"/>
      <c r="AV404" s="1"/>
      <c r="AW404" s="1"/>
      <c r="AX404" s="1"/>
      <c r="AY404" s="1"/>
      <c r="AZ404" s="1"/>
    </row>
    <row r="405" spans="1:52" ht="15" customHeight="1" x14ac:dyDescent="0.35">
      <c r="A405" s="1" t="s">
        <v>1577</v>
      </c>
      <c r="B405" s="1" t="s">
        <v>137</v>
      </c>
      <c r="C405" s="1" t="s">
        <v>640</v>
      </c>
      <c r="D405" s="1"/>
      <c r="E405" s="1" t="s">
        <v>1326</v>
      </c>
      <c r="F405" s="9" t="s">
        <v>1578</v>
      </c>
      <c r="G405" s="1" t="s">
        <v>38</v>
      </c>
      <c r="H4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05" s="11">
        <f>0</f>
        <v>0</v>
      </c>
      <c r="J405" s="1">
        <f>0</f>
        <v>0</v>
      </c>
      <c r="K405" s="1"/>
      <c r="L405" s="1">
        <v>0</v>
      </c>
      <c r="M405" s="1">
        <f>0</f>
        <v>0</v>
      </c>
      <c r="N405" s="1">
        <f>0</f>
        <v>0</v>
      </c>
      <c r="O405" s="1">
        <f>0</f>
        <v>0</v>
      </c>
      <c r="P405" s="1"/>
      <c r="Q405" s="1">
        <v>0</v>
      </c>
      <c r="R405" s="1">
        <v>0</v>
      </c>
      <c r="S405" s="1">
        <f>0</f>
        <v>0</v>
      </c>
      <c r="T405" s="1">
        <f>0</f>
        <v>0</v>
      </c>
      <c r="U405" s="1"/>
      <c r="V405" s="1">
        <v>0</v>
      </c>
      <c r="W405" s="1">
        <v>0</v>
      </c>
      <c r="X405" s="1">
        <f>0</f>
        <v>0</v>
      </c>
      <c r="Y405" s="1">
        <f>0</f>
        <v>0</v>
      </c>
      <c r="Z405" s="1">
        <f>0</f>
        <v>0</v>
      </c>
      <c r="AA405" s="1"/>
      <c r="AB405" s="5"/>
      <c r="AC405" s="5"/>
      <c r="AD405" s="1">
        <f>0</f>
        <v>0</v>
      </c>
      <c r="AE405" s="1">
        <f>0</f>
        <v>0</v>
      </c>
      <c r="AF405" s="1">
        <f>0</f>
        <v>0</v>
      </c>
      <c r="AG405" s="1">
        <f>0</f>
        <v>0</v>
      </c>
      <c r="AH405" s="1">
        <f>0</f>
        <v>0</v>
      </c>
      <c r="AI405" s="1">
        <f>0</f>
        <v>0</v>
      </c>
      <c r="AJ405" s="1"/>
      <c r="AK405" s="1"/>
      <c r="AL405" s="1"/>
      <c r="AM405" s="1"/>
      <c r="AN405" s="1"/>
      <c r="AO405" s="1"/>
      <c r="AP405" s="1"/>
      <c r="AQ405" s="1"/>
      <c r="AR405" s="1"/>
      <c r="AS405" s="1" t="b">
        <v>1</v>
      </c>
      <c r="AT405" s="1"/>
      <c r="AU405" s="1"/>
      <c r="AV405" s="1"/>
      <c r="AW405" s="1"/>
      <c r="AX405" s="1"/>
      <c r="AY405" s="1"/>
      <c r="AZ405" s="1"/>
    </row>
    <row r="406" spans="1:52" ht="15" customHeight="1" x14ac:dyDescent="0.35">
      <c r="A406" s="1" t="s">
        <v>1579</v>
      </c>
      <c r="B406" s="1" t="s">
        <v>138</v>
      </c>
      <c r="C406" s="1" t="s">
        <v>816</v>
      </c>
      <c r="D406" s="1" t="s">
        <v>1580</v>
      </c>
      <c r="E406" s="1" t="s">
        <v>1537</v>
      </c>
      <c r="F406" s="9" t="s">
        <v>1581</v>
      </c>
      <c r="G406" s="1" t="s">
        <v>38</v>
      </c>
      <c r="H4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6" s="11" t="e">
        <f>ABS(NETWORKDAYS.INTL("05/13/24", "05/17/24", 1, {"01/01/2024","01/15/2024","02/19/2024","05/27/2024","07/04/2024","09/02/2024","10/14/2024","11/11/2024","11/28/2024","12/25/2024","12/25/2024","12/26/2024","12/27/2024","12/28/2024","12/29/2024","12/30/2024","31/25/2024","01/01/2024","01/02/2024","01/03/2024","01/04/2024","01/05/2024"}))</f>
        <v>#VALUE!</v>
      </c>
      <c r="J406" s="1">
        <f>0</f>
        <v>0</v>
      </c>
      <c r="K406" s="1"/>
      <c r="L406" s="1">
        <v>0</v>
      </c>
      <c r="M406" s="1">
        <f>0</f>
        <v>0</v>
      </c>
      <c r="N406" s="1">
        <f>0</f>
        <v>0</v>
      </c>
      <c r="O406" s="1">
        <f>0</f>
        <v>0</v>
      </c>
      <c r="P406" s="1"/>
      <c r="Q406" s="1">
        <v>0</v>
      </c>
      <c r="R406" s="1">
        <v>0</v>
      </c>
      <c r="S406" s="1">
        <f>0</f>
        <v>0</v>
      </c>
      <c r="T406" s="1">
        <f>0</f>
        <v>0</v>
      </c>
      <c r="U406" s="1"/>
      <c r="V406" s="1">
        <v>0</v>
      </c>
      <c r="W406" s="1">
        <v>0</v>
      </c>
      <c r="X406" s="1">
        <f>0</f>
        <v>0</v>
      </c>
      <c r="Y406" s="1">
        <f>0</f>
        <v>0</v>
      </c>
      <c r="Z406" s="1">
        <f>0</f>
        <v>0</v>
      </c>
      <c r="AA406" s="1"/>
      <c r="AB406" s="5"/>
      <c r="AC406" s="5"/>
      <c r="AD406" s="1">
        <f>0</f>
        <v>0</v>
      </c>
      <c r="AE406" s="1">
        <f>0</f>
        <v>0</v>
      </c>
      <c r="AF406" s="1">
        <f>0</f>
        <v>0</v>
      </c>
      <c r="AG406" s="1">
        <f>0</f>
        <v>0</v>
      </c>
      <c r="AH406" s="1">
        <f>0</f>
        <v>0</v>
      </c>
      <c r="AI406" s="1">
        <f>0</f>
        <v>0</v>
      </c>
      <c r="AJ406" s="1"/>
      <c r="AK406" s="1"/>
      <c r="AL406" s="1"/>
      <c r="AM406" s="1"/>
      <c r="AN406" s="1"/>
      <c r="AO406" s="1"/>
      <c r="AP406" s="1"/>
      <c r="AQ406" s="1"/>
      <c r="AR406" s="1"/>
      <c r="AS406" s="1" t="b">
        <v>1</v>
      </c>
      <c r="AT406" s="1"/>
      <c r="AU406" s="1"/>
      <c r="AV406" s="1"/>
      <c r="AW406" s="1"/>
      <c r="AX406" s="1"/>
      <c r="AY406" s="1"/>
      <c r="AZ406" s="1"/>
    </row>
    <row r="407" spans="1:52" ht="15" customHeight="1" x14ac:dyDescent="0.35">
      <c r="A407" s="1" t="s">
        <v>1582</v>
      </c>
      <c r="B407" s="1" t="s">
        <v>139</v>
      </c>
      <c r="C407" s="1" t="s">
        <v>1329</v>
      </c>
      <c r="D407" s="1" t="s">
        <v>826</v>
      </c>
      <c r="E407" s="1" t="s">
        <v>1340</v>
      </c>
      <c r="F407" s="9" t="s">
        <v>1583</v>
      </c>
      <c r="G407" s="1" t="s">
        <v>38</v>
      </c>
      <c r="H4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7" s="11" t="e">
        <f>ABS(NETWORKDAYS.INTL("06/03/24", "06/04/24", 1, {"01/01/2024","01/15/2024","02/19/2024","05/27/2024","07/04/2024","09/02/2024","10/14/2024","11/11/2024","11/28/2024","12/25/2024","12/25/2024","12/26/2024","12/27/2024","12/28/2024","12/29/2024","12/30/2024","31/25/2024","01/01/2024","01/02/2024","01/03/2024","01/04/2024","01/05/2024"}))</f>
        <v>#VALUE!</v>
      </c>
      <c r="J407" s="1">
        <f>0</f>
        <v>0</v>
      </c>
      <c r="K407" s="1"/>
      <c r="L407" s="1">
        <v>0</v>
      </c>
      <c r="M407" s="1">
        <f>0</f>
        <v>0</v>
      </c>
      <c r="N407" s="1">
        <f>0</f>
        <v>0</v>
      </c>
      <c r="O407" s="1">
        <f>0</f>
        <v>0</v>
      </c>
      <c r="P407" s="1"/>
      <c r="Q407" s="1">
        <v>0</v>
      </c>
      <c r="R407" s="1">
        <v>0</v>
      </c>
      <c r="S407" s="1">
        <f>0</f>
        <v>0</v>
      </c>
      <c r="T407" s="1">
        <f>0</f>
        <v>0</v>
      </c>
      <c r="U407" s="1"/>
      <c r="V407" s="1">
        <v>0</v>
      </c>
      <c r="W407" s="1">
        <v>0</v>
      </c>
      <c r="X407" s="1">
        <f>0</f>
        <v>0</v>
      </c>
      <c r="Y407" s="1">
        <f>0</f>
        <v>0</v>
      </c>
      <c r="Z407" s="1">
        <f>0</f>
        <v>0</v>
      </c>
      <c r="AA407" s="1"/>
      <c r="AB407" s="5"/>
      <c r="AC407" s="5"/>
      <c r="AD407" s="1">
        <f>0</f>
        <v>0</v>
      </c>
      <c r="AE407" s="1">
        <f>0</f>
        <v>0</v>
      </c>
      <c r="AF407" s="1">
        <f>0</f>
        <v>0</v>
      </c>
      <c r="AG407" s="1">
        <f>0</f>
        <v>0</v>
      </c>
      <c r="AH407" s="1">
        <f>0</f>
        <v>0</v>
      </c>
      <c r="AI407" s="1">
        <f>0</f>
        <v>0</v>
      </c>
      <c r="AJ407" s="1"/>
      <c r="AK407" s="1"/>
      <c r="AL407" s="1" t="b">
        <v>1</v>
      </c>
      <c r="AM407" s="1"/>
      <c r="AN407" s="1"/>
      <c r="AO407" s="1"/>
      <c r="AP407" s="1"/>
      <c r="AQ407" s="1"/>
      <c r="AR407" s="1"/>
      <c r="AS407" s="1" t="b">
        <v>1</v>
      </c>
      <c r="AT407" s="1"/>
      <c r="AU407" s="1"/>
      <c r="AV407" s="1"/>
      <c r="AW407" s="1"/>
      <c r="AX407" s="1"/>
      <c r="AY407" s="1"/>
      <c r="AZ407" s="1"/>
    </row>
    <row r="408" spans="1:52" ht="15" customHeight="1" x14ac:dyDescent="0.35">
      <c r="A408" s="1" t="s">
        <v>1584</v>
      </c>
      <c r="B408" s="1" t="s">
        <v>140</v>
      </c>
      <c r="C408" s="1" t="s">
        <v>1149</v>
      </c>
      <c r="D408" s="1" t="s">
        <v>1557</v>
      </c>
      <c r="E408" s="1" t="s">
        <v>1537</v>
      </c>
      <c r="F408" s="9" t="s">
        <v>1585</v>
      </c>
      <c r="G408" s="1" t="s">
        <v>38</v>
      </c>
      <c r="H4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08" s="11">
        <f>0</f>
        <v>0</v>
      </c>
      <c r="J408" s="1" t="e">
        <f>ABS(NETWORKDAYS.INTL("6/28/2024", "7/18/2024", 1, {"01/01/2024","01/15/2024","02/19/2024","05/27/2024","07/04/2024","09/02/2024","10/14/2024","11/11/2024","11/28/2024","12/25/2024","12/25/2024","12/26/2024","12/27/2024","12/28/2024","12/29/2024","12/30/2024","31/25/2024","01/01/2024","01/02/2024","01/03/2024","01/04/2024","01/05/2024"}))</f>
        <v>#VALUE!</v>
      </c>
      <c r="K408" s="1"/>
      <c r="L408" s="1">
        <v>0</v>
      </c>
      <c r="M408" s="1">
        <f>0</f>
        <v>0</v>
      </c>
      <c r="N408" s="1">
        <f>0</f>
        <v>0</v>
      </c>
      <c r="O408" s="1">
        <f>0</f>
        <v>0</v>
      </c>
      <c r="P408" s="1"/>
      <c r="Q408" s="1">
        <v>0</v>
      </c>
      <c r="R408" s="1">
        <v>0</v>
      </c>
      <c r="S408" s="1">
        <f>0</f>
        <v>0</v>
      </c>
      <c r="T408" s="1">
        <f>0</f>
        <v>0</v>
      </c>
      <c r="U408" s="1"/>
      <c r="V408" s="1">
        <v>0</v>
      </c>
      <c r="W408" s="1">
        <v>0</v>
      </c>
      <c r="X408" s="1">
        <f>0</f>
        <v>0</v>
      </c>
      <c r="Y408" s="1">
        <f>0</f>
        <v>0</v>
      </c>
      <c r="Z408" s="1">
        <f>0</f>
        <v>0</v>
      </c>
      <c r="AA408" s="1"/>
      <c r="AB408" s="5"/>
      <c r="AC408" s="5"/>
      <c r="AD408" s="1">
        <f>0</f>
        <v>0</v>
      </c>
      <c r="AE408" s="1">
        <f>0</f>
        <v>0</v>
      </c>
      <c r="AF408" s="1">
        <f>0</f>
        <v>0</v>
      </c>
      <c r="AG408" s="1">
        <f>0</f>
        <v>0</v>
      </c>
      <c r="AH408" s="1">
        <f>0</f>
        <v>0</v>
      </c>
      <c r="AI408" s="1">
        <f>0</f>
        <v>0</v>
      </c>
      <c r="AJ408" s="1"/>
      <c r="AK408" s="1"/>
      <c r="AL408" s="1"/>
      <c r="AM408" s="1"/>
      <c r="AN408" s="1"/>
      <c r="AO408" s="1"/>
      <c r="AP408" s="1"/>
      <c r="AQ408" s="1"/>
      <c r="AR408" s="1"/>
      <c r="AS408" s="1" t="b">
        <v>1</v>
      </c>
      <c r="AT408" s="1"/>
      <c r="AU408" s="1"/>
      <c r="AV408" s="1"/>
      <c r="AW408" s="1"/>
      <c r="AX408" s="1"/>
      <c r="AY408" s="1"/>
      <c r="AZ408" s="1"/>
    </row>
    <row r="409" spans="1:52" ht="15" customHeight="1" x14ac:dyDescent="0.35">
      <c r="A409" s="1" t="s">
        <v>1586</v>
      </c>
      <c r="B409" s="1" t="s">
        <v>141</v>
      </c>
      <c r="C409" s="1" t="s">
        <v>680</v>
      </c>
      <c r="D409" s="1" t="s">
        <v>1557</v>
      </c>
      <c r="E409" s="1" t="s">
        <v>1326</v>
      </c>
      <c r="F409" s="9" t="s">
        <v>1587</v>
      </c>
      <c r="G409" s="1" t="s">
        <v>38</v>
      </c>
      <c r="H4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09" s="11">
        <f>0</f>
        <v>0</v>
      </c>
      <c r="J409" s="1" t="e">
        <f>ABS(NETWORKDAYS.INTL("6/27/2024", "08/05/24", 1, {"01/01/2024","01/15/2024","02/19/2024","05/27/2024","07/04/2024","09/02/2024","10/14/2024","11/11/2024","11/28/2024","12/25/2024","12/25/2024","12/26/2024","12/27/2024","12/28/2024","12/29/2024","12/30/2024","31/25/2024","01/01/2024","01/02/2024","01/03/2024","01/04/2024","01/05/2024"}))</f>
        <v>#VALUE!</v>
      </c>
      <c r="K409" s="1"/>
      <c r="L409" s="1">
        <v>0</v>
      </c>
      <c r="M409" s="1">
        <f>0</f>
        <v>0</v>
      </c>
      <c r="N409" s="1">
        <f>0</f>
        <v>0</v>
      </c>
      <c r="O409" s="1">
        <f>0</f>
        <v>0</v>
      </c>
      <c r="P409" s="1"/>
      <c r="Q409" s="1">
        <v>0</v>
      </c>
      <c r="R409" s="1">
        <v>0</v>
      </c>
      <c r="S409" s="1">
        <f>0</f>
        <v>0</v>
      </c>
      <c r="T409" s="1">
        <f>0</f>
        <v>0</v>
      </c>
      <c r="U409" s="1"/>
      <c r="V409" s="1">
        <v>0</v>
      </c>
      <c r="W409" s="1">
        <v>0</v>
      </c>
      <c r="X409" s="1">
        <f>0</f>
        <v>0</v>
      </c>
      <c r="Y409" s="1">
        <f>0</f>
        <v>0</v>
      </c>
      <c r="Z409" s="1">
        <f>0</f>
        <v>0</v>
      </c>
      <c r="AA409" s="1"/>
      <c r="AB409" s="5"/>
      <c r="AC409" s="5"/>
      <c r="AD409" s="1">
        <f>0</f>
        <v>0</v>
      </c>
      <c r="AE409" s="1">
        <f>0</f>
        <v>0</v>
      </c>
      <c r="AF409" s="1">
        <f>0</f>
        <v>0</v>
      </c>
      <c r="AG409" s="1">
        <f>0</f>
        <v>0</v>
      </c>
      <c r="AH409" s="1">
        <f>0</f>
        <v>0</v>
      </c>
      <c r="AI409" s="1">
        <f>0</f>
        <v>0</v>
      </c>
      <c r="AJ409" s="1"/>
      <c r="AK409" s="1"/>
      <c r="AL409" s="1"/>
      <c r="AM409" s="1"/>
      <c r="AN409" s="1"/>
      <c r="AO409" s="1"/>
      <c r="AP409" s="1"/>
      <c r="AQ409" s="1"/>
      <c r="AR409" s="1"/>
      <c r="AS409" s="1" t="b">
        <v>1</v>
      </c>
      <c r="AT409" s="1"/>
      <c r="AU409" s="1"/>
      <c r="AV409" s="1"/>
      <c r="AW409" s="1"/>
      <c r="AX409" s="1"/>
      <c r="AY409" s="1"/>
      <c r="AZ409" s="1"/>
    </row>
    <row r="410" spans="1:52" ht="15" customHeight="1" x14ac:dyDescent="0.35">
      <c r="A410" s="1" t="s">
        <v>1588</v>
      </c>
      <c r="B410" s="1" t="s">
        <v>142</v>
      </c>
      <c r="C410" s="1" t="s">
        <v>640</v>
      </c>
      <c r="D410" s="1"/>
      <c r="E410" s="1" t="s">
        <v>1545</v>
      </c>
      <c r="F410" s="9" t="s">
        <v>1589</v>
      </c>
      <c r="G410" s="1" t="s">
        <v>38</v>
      </c>
      <c r="H4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0" s="11">
        <f>0</f>
        <v>0</v>
      </c>
      <c r="J410" s="1">
        <f>0</f>
        <v>0</v>
      </c>
      <c r="K410" s="1"/>
      <c r="L410" s="1">
        <v>0</v>
      </c>
      <c r="M410" s="1">
        <f>0</f>
        <v>0</v>
      </c>
      <c r="N410" s="1">
        <f>0</f>
        <v>0</v>
      </c>
      <c r="O410" s="1">
        <f>0</f>
        <v>0</v>
      </c>
      <c r="P410" s="1"/>
      <c r="Q410" s="1">
        <v>0</v>
      </c>
      <c r="R410" s="1">
        <v>0</v>
      </c>
      <c r="S410" s="1">
        <f>0</f>
        <v>0</v>
      </c>
      <c r="T410" s="1">
        <f>0</f>
        <v>0</v>
      </c>
      <c r="U410" s="1"/>
      <c r="V410" s="1">
        <v>0</v>
      </c>
      <c r="W410" s="1">
        <v>0</v>
      </c>
      <c r="X410" s="1">
        <f>0</f>
        <v>0</v>
      </c>
      <c r="Y410" s="1">
        <f>0</f>
        <v>0</v>
      </c>
      <c r="Z410" s="1">
        <f>0</f>
        <v>0</v>
      </c>
      <c r="AA410" s="1"/>
      <c r="AB410" s="5"/>
      <c r="AC410" s="5"/>
      <c r="AD410" s="1">
        <f>0</f>
        <v>0</v>
      </c>
      <c r="AE410" s="1">
        <f>0</f>
        <v>0</v>
      </c>
      <c r="AF410" s="1">
        <f>0</f>
        <v>0</v>
      </c>
      <c r="AG410" s="1">
        <f>0</f>
        <v>0</v>
      </c>
      <c r="AH410" s="1">
        <f>0</f>
        <v>0</v>
      </c>
      <c r="AI410" s="1">
        <f>0</f>
        <v>0</v>
      </c>
      <c r="AJ410" s="1"/>
      <c r="AK410" s="1"/>
      <c r="AL410" s="1"/>
      <c r="AM410" s="1"/>
      <c r="AN410" s="1"/>
      <c r="AO410" s="1"/>
      <c r="AP410" s="1"/>
      <c r="AQ410" s="1"/>
      <c r="AR410" s="1"/>
      <c r="AS410" s="1" t="b">
        <v>1</v>
      </c>
      <c r="AT410" s="1"/>
      <c r="AU410" s="1"/>
      <c r="AV410" s="1"/>
      <c r="AW410" s="1"/>
      <c r="AX410" s="1"/>
      <c r="AY410" s="1"/>
      <c r="AZ410" s="1"/>
    </row>
    <row r="411" spans="1:52" ht="15" customHeight="1" x14ac:dyDescent="0.35">
      <c r="A411" s="1" t="s">
        <v>1590</v>
      </c>
      <c r="B411" s="1" t="s">
        <v>143</v>
      </c>
      <c r="C411" s="1" t="s">
        <v>821</v>
      </c>
      <c r="D411" s="1" t="s">
        <v>1591</v>
      </c>
      <c r="E411" s="1" t="s">
        <v>1326</v>
      </c>
      <c r="F411" s="9" t="s">
        <v>1592</v>
      </c>
      <c r="G411" s="1" t="s">
        <v>38</v>
      </c>
      <c r="H4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11" s="11" t="e">
        <f>ABS(NETWORKDAYS.INTL("7/29/2024", "08/05/24", 1, {"01/01/2024","01/15/2024","02/19/2024","05/27/2024","07/04/2024","09/02/2024","10/14/2024","11/11/2024","11/28/2024","12/25/2024","12/25/2024","12/26/2024","12/27/2024","12/28/2024","12/29/2024","12/30/2024","31/25/2024","01/01/2024","01/02/2024","01/03/2024","01/04/2024","01/05/2024"}))</f>
        <v>#VALUE!</v>
      </c>
      <c r="J411" s="1">
        <f>0</f>
        <v>0</v>
      </c>
      <c r="K411" s="1"/>
      <c r="L411" s="1">
        <v>0</v>
      </c>
      <c r="M411" s="1">
        <f>0</f>
        <v>0</v>
      </c>
      <c r="N411" s="1">
        <f>0</f>
        <v>0</v>
      </c>
      <c r="O411" s="1">
        <f>0</f>
        <v>0</v>
      </c>
      <c r="P411" s="1"/>
      <c r="Q411" s="1">
        <v>0</v>
      </c>
      <c r="R411" s="1">
        <v>0</v>
      </c>
      <c r="S411" s="1">
        <f>0</f>
        <v>0</v>
      </c>
      <c r="T411" s="1">
        <f>0</f>
        <v>0</v>
      </c>
      <c r="U411" s="1"/>
      <c r="V411" s="1">
        <v>0</v>
      </c>
      <c r="W411" s="1">
        <v>0</v>
      </c>
      <c r="X411" s="1">
        <f>0</f>
        <v>0</v>
      </c>
      <c r="Y411" s="1">
        <f>0</f>
        <v>0</v>
      </c>
      <c r="Z411" s="1">
        <f>0</f>
        <v>0</v>
      </c>
      <c r="AA411" s="1"/>
      <c r="AB411" s="5"/>
      <c r="AC411" s="5"/>
      <c r="AD411" s="1">
        <f>0</f>
        <v>0</v>
      </c>
      <c r="AE411" s="1">
        <f>0</f>
        <v>0</v>
      </c>
      <c r="AF411" s="1">
        <f>0</f>
        <v>0</v>
      </c>
      <c r="AG411" s="1">
        <f>0</f>
        <v>0</v>
      </c>
      <c r="AH411" s="1">
        <f>0</f>
        <v>0</v>
      </c>
      <c r="AI411" s="1">
        <f>0</f>
        <v>0</v>
      </c>
      <c r="AJ411" s="1"/>
      <c r="AK411" s="1"/>
      <c r="AL411" s="1"/>
      <c r="AM411" s="1"/>
      <c r="AN411" s="1"/>
      <c r="AO411" s="1"/>
      <c r="AP411" s="1"/>
      <c r="AQ411" s="1"/>
      <c r="AR411" s="1"/>
      <c r="AS411" s="1" t="b">
        <v>1</v>
      </c>
      <c r="AT411" s="1"/>
      <c r="AU411" s="1"/>
      <c r="AV411" s="1"/>
      <c r="AW411" s="1"/>
      <c r="AX411" s="1"/>
      <c r="AY411" s="1"/>
      <c r="AZ411" s="1"/>
    </row>
    <row r="412" spans="1:52" ht="15" customHeight="1" x14ac:dyDescent="0.35">
      <c r="A412" s="1" t="s">
        <v>1593</v>
      </c>
      <c r="B412" s="1" t="s">
        <v>144</v>
      </c>
      <c r="C412" s="1" t="s">
        <v>1149</v>
      </c>
      <c r="D412" s="1" t="s">
        <v>1554</v>
      </c>
      <c r="E412" s="1" t="s">
        <v>1537</v>
      </c>
      <c r="F412" s="9" t="s">
        <v>1594</v>
      </c>
      <c r="G412" s="1" t="s">
        <v>38</v>
      </c>
      <c r="H4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12" s="11" t="e">
        <f>ABS(NETWORKDAYS.INTL("07/02/2024", "07/03/2024", 1, {"01/01/2024","01/15/2024","02/19/2024","05/27/2024","07/04/2024","09/02/2024","10/14/2024","11/11/2024","11/28/2024","12/25/2024","12/25/2024","12/26/2024","12/27/2024","12/28/2024","12/29/2024","12/30/2024","31/25/2024","01/01/2024","01/02/2024","01/03/2024","01/04/2024","01/05/2024"}))</f>
        <v>#VALUE!</v>
      </c>
      <c r="J412" s="1">
        <f>0</f>
        <v>0</v>
      </c>
      <c r="K412" s="1"/>
      <c r="L412" s="1">
        <v>0</v>
      </c>
      <c r="M412" s="1">
        <f>0</f>
        <v>0</v>
      </c>
      <c r="N412" s="1">
        <f>0</f>
        <v>0</v>
      </c>
      <c r="O412" s="1">
        <f>0</f>
        <v>0</v>
      </c>
      <c r="P412" s="1"/>
      <c r="Q412" s="1">
        <v>0</v>
      </c>
      <c r="R412" s="1">
        <v>0</v>
      </c>
      <c r="S412" s="1">
        <f>0</f>
        <v>0</v>
      </c>
      <c r="T412" s="1">
        <f>0</f>
        <v>0</v>
      </c>
      <c r="U412" s="1"/>
      <c r="V412" s="1">
        <v>0</v>
      </c>
      <c r="W412" s="1">
        <v>0</v>
      </c>
      <c r="X412" s="1">
        <f>0</f>
        <v>0</v>
      </c>
      <c r="Y412" s="1">
        <f>0</f>
        <v>0</v>
      </c>
      <c r="Z412" s="1">
        <f>0</f>
        <v>0</v>
      </c>
      <c r="AA412" s="1"/>
      <c r="AB412" s="5"/>
      <c r="AC412" s="5"/>
      <c r="AD412" s="1">
        <f>0</f>
        <v>0</v>
      </c>
      <c r="AE412" s="1">
        <f>0</f>
        <v>0</v>
      </c>
      <c r="AF412" s="1">
        <f>0</f>
        <v>0</v>
      </c>
      <c r="AG412" s="1">
        <f>0</f>
        <v>0</v>
      </c>
      <c r="AH412" s="1">
        <f>0</f>
        <v>0</v>
      </c>
      <c r="AI412" s="1">
        <f>0</f>
        <v>0</v>
      </c>
      <c r="AJ412" s="1"/>
      <c r="AK412" s="1"/>
      <c r="AL412" s="1"/>
      <c r="AM412" s="1"/>
      <c r="AN412" s="1"/>
      <c r="AO412" s="1"/>
      <c r="AP412" s="1"/>
      <c r="AQ412" s="1"/>
      <c r="AR412" s="1"/>
      <c r="AS412" s="1" t="b">
        <v>1</v>
      </c>
      <c r="AT412" s="1"/>
      <c r="AU412" s="1"/>
      <c r="AV412" s="1"/>
      <c r="AW412" s="1"/>
      <c r="AX412" s="1"/>
      <c r="AY412" s="1"/>
      <c r="AZ412" s="1"/>
    </row>
    <row r="413" spans="1:52" ht="15" customHeight="1" x14ac:dyDescent="0.35">
      <c r="A413" s="1" t="s">
        <v>1595</v>
      </c>
      <c r="B413" s="1" t="s">
        <v>145</v>
      </c>
      <c r="C413" s="1" t="s">
        <v>640</v>
      </c>
      <c r="D413" s="1" t="s">
        <v>1533</v>
      </c>
      <c r="E413" s="1" t="s">
        <v>1326</v>
      </c>
      <c r="F413" s="9" t="s">
        <v>1596</v>
      </c>
      <c r="G413" s="1" t="s">
        <v>38</v>
      </c>
      <c r="H4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3" s="11">
        <f>0</f>
        <v>0</v>
      </c>
      <c r="J413" s="1">
        <f>0</f>
        <v>0</v>
      </c>
      <c r="K413" s="1"/>
      <c r="L413" s="1">
        <v>0</v>
      </c>
      <c r="M413" s="1">
        <f>0</f>
        <v>0</v>
      </c>
      <c r="N413" s="1">
        <f>0</f>
        <v>0</v>
      </c>
      <c r="O413" s="1">
        <f>0</f>
        <v>0</v>
      </c>
      <c r="P413" s="1"/>
      <c r="Q413" s="1">
        <v>0</v>
      </c>
      <c r="R413" s="1">
        <v>0</v>
      </c>
      <c r="S413" s="1">
        <f>0</f>
        <v>0</v>
      </c>
      <c r="T413" s="1">
        <f>0</f>
        <v>0</v>
      </c>
      <c r="U413" s="1"/>
      <c r="V413" s="1">
        <v>0</v>
      </c>
      <c r="W413" s="1">
        <v>0</v>
      </c>
      <c r="X413" s="1">
        <f>0</f>
        <v>0</v>
      </c>
      <c r="Y413" s="1">
        <f>0</f>
        <v>0</v>
      </c>
      <c r="Z413" s="1">
        <f>0</f>
        <v>0</v>
      </c>
      <c r="AA413" s="1"/>
      <c r="AB413" s="5"/>
      <c r="AC413" s="5"/>
      <c r="AD413" s="1">
        <f>0</f>
        <v>0</v>
      </c>
      <c r="AE413" s="1">
        <f>0</f>
        <v>0</v>
      </c>
      <c r="AF413" s="1">
        <f>0</f>
        <v>0</v>
      </c>
      <c r="AG413" s="1">
        <f>0</f>
        <v>0</v>
      </c>
      <c r="AH413" s="1">
        <f>0</f>
        <v>0</v>
      </c>
      <c r="AI413" s="1">
        <f>0</f>
        <v>0</v>
      </c>
      <c r="AJ413" s="1"/>
      <c r="AK413" s="1"/>
      <c r="AL413" s="1"/>
      <c r="AM413" s="1"/>
      <c r="AN413" s="1"/>
      <c r="AO413" s="1"/>
      <c r="AP413" s="1"/>
      <c r="AQ413" s="1"/>
      <c r="AR413" s="1"/>
      <c r="AS413" s="1" t="b">
        <v>1</v>
      </c>
      <c r="AT413" s="1"/>
      <c r="AU413" s="1"/>
      <c r="AV413" s="1"/>
      <c r="AW413" s="1"/>
      <c r="AX413" s="1"/>
      <c r="AY413" s="1"/>
      <c r="AZ413" s="1"/>
    </row>
    <row r="414" spans="1:52" ht="15" customHeight="1" x14ac:dyDescent="0.35">
      <c r="A414" s="1" t="s">
        <v>1597</v>
      </c>
      <c r="B414" s="1" t="s">
        <v>146</v>
      </c>
      <c r="C414" s="1" t="s">
        <v>640</v>
      </c>
      <c r="D414" s="1" t="s">
        <v>1533</v>
      </c>
      <c r="E414" s="1" t="s">
        <v>1326</v>
      </c>
      <c r="F414" s="9" t="s">
        <v>1598</v>
      </c>
      <c r="G414" s="1" t="s">
        <v>38</v>
      </c>
      <c r="H4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4" s="11">
        <f>0</f>
        <v>0</v>
      </c>
      <c r="J414" s="1">
        <f>0</f>
        <v>0</v>
      </c>
      <c r="K414" s="1"/>
      <c r="L414" s="1">
        <v>0</v>
      </c>
      <c r="M414" s="1">
        <f>0</f>
        <v>0</v>
      </c>
      <c r="N414" s="1">
        <f>0</f>
        <v>0</v>
      </c>
      <c r="O414" s="1">
        <f>0</f>
        <v>0</v>
      </c>
      <c r="P414" s="1"/>
      <c r="Q414" s="1">
        <v>0</v>
      </c>
      <c r="R414" s="1">
        <v>0</v>
      </c>
      <c r="S414" s="1">
        <f>0</f>
        <v>0</v>
      </c>
      <c r="T414" s="1">
        <f>0</f>
        <v>0</v>
      </c>
      <c r="U414" s="1"/>
      <c r="V414" s="1">
        <v>0</v>
      </c>
      <c r="W414" s="1">
        <v>0</v>
      </c>
      <c r="X414" s="1">
        <f>0</f>
        <v>0</v>
      </c>
      <c r="Y414" s="1">
        <f>0</f>
        <v>0</v>
      </c>
      <c r="Z414" s="1">
        <f>0</f>
        <v>0</v>
      </c>
      <c r="AA414" s="1"/>
      <c r="AB414" s="5"/>
      <c r="AC414" s="5"/>
      <c r="AD414" s="1">
        <f>0</f>
        <v>0</v>
      </c>
      <c r="AE414" s="1">
        <f>0</f>
        <v>0</v>
      </c>
      <c r="AF414" s="1">
        <f>0</f>
        <v>0</v>
      </c>
      <c r="AG414" s="1">
        <f>0</f>
        <v>0</v>
      </c>
      <c r="AH414" s="1">
        <f>0</f>
        <v>0</v>
      </c>
      <c r="AI414" s="1">
        <f>0</f>
        <v>0</v>
      </c>
      <c r="AJ414" s="1"/>
      <c r="AK414" s="1"/>
      <c r="AL414" s="1"/>
      <c r="AM414" s="1"/>
      <c r="AN414" s="1"/>
      <c r="AO414" s="1"/>
      <c r="AP414" s="1"/>
      <c r="AQ414" s="1"/>
      <c r="AR414" s="1"/>
      <c r="AS414" s="1" t="b">
        <v>1</v>
      </c>
      <c r="AT414" s="1"/>
      <c r="AU414" s="1"/>
      <c r="AV414" s="1"/>
      <c r="AW414" s="1"/>
      <c r="AX414" s="1"/>
      <c r="AY414" s="1"/>
      <c r="AZ414" s="1"/>
    </row>
    <row r="415" spans="1:52" ht="15" customHeight="1" x14ac:dyDescent="0.35">
      <c r="A415" s="1" t="s">
        <v>1599</v>
      </c>
      <c r="B415" s="1" t="s">
        <v>147</v>
      </c>
      <c r="C415" s="1" t="s">
        <v>640</v>
      </c>
      <c r="D415" s="1"/>
      <c r="E415" s="1" t="s">
        <v>1326</v>
      </c>
      <c r="F415" s="9" t="s">
        <v>1600</v>
      </c>
      <c r="G415" s="1" t="s">
        <v>38</v>
      </c>
      <c r="H4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5" s="11">
        <f>0</f>
        <v>0</v>
      </c>
      <c r="J415" s="1">
        <f>0</f>
        <v>0</v>
      </c>
      <c r="K415" s="1"/>
      <c r="L415" s="1">
        <v>0</v>
      </c>
      <c r="M415" s="1">
        <f>0</f>
        <v>0</v>
      </c>
      <c r="N415" s="1">
        <f>0</f>
        <v>0</v>
      </c>
      <c r="O415" s="1">
        <f>0</f>
        <v>0</v>
      </c>
      <c r="P415" s="1"/>
      <c r="Q415" s="1">
        <v>0</v>
      </c>
      <c r="R415" s="1">
        <v>0</v>
      </c>
      <c r="S415" s="1">
        <f>0</f>
        <v>0</v>
      </c>
      <c r="T415" s="1">
        <f>0</f>
        <v>0</v>
      </c>
      <c r="U415" s="1"/>
      <c r="V415" s="1">
        <v>0</v>
      </c>
      <c r="W415" s="1">
        <v>0</v>
      </c>
      <c r="X415" s="1">
        <f>0</f>
        <v>0</v>
      </c>
      <c r="Y415" s="1">
        <f>0</f>
        <v>0</v>
      </c>
      <c r="Z415" s="1">
        <f>0</f>
        <v>0</v>
      </c>
      <c r="AA415" s="1"/>
      <c r="AB415" s="5"/>
      <c r="AC415" s="5"/>
      <c r="AD415" s="1">
        <f>0</f>
        <v>0</v>
      </c>
      <c r="AE415" s="1">
        <f>0</f>
        <v>0</v>
      </c>
      <c r="AF415" s="1">
        <f>0</f>
        <v>0</v>
      </c>
      <c r="AG415" s="1">
        <f>0</f>
        <v>0</v>
      </c>
      <c r="AH415" s="1">
        <f>0</f>
        <v>0</v>
      </c>
      <c r="AI415" s="1">
        <f>0</f>
        <v>0</v>
      </c>
      <c r="AJ415" s="1"/>
      <c r="AK415" s="1"/>
      <c r="AL415" s="1"/>
      <c r="AM415" s="1"/>
      <c r="AN415" s="1"/>
      <c r="AO415" s="1"/>
      <c r="AP415" s="1"/>
      <c r="AQ415" s="1"/>
      <c r="AR415" s="1"/>
      <c r="AS415" s="1" t="b">
        <v>1</v>
      </c>
      <c r="AT415" s="1"/>
      <c r="AU415" s="1"/>
      <c r="AV415" s="1"/>
      <c r="AW415" s="1"/>
      <c r="AX415" s="1"/>
      <c r="AY415" s="1"/>
      <c r="AZ415" s="1"/>
    </row>
    <row r="416" spans="1:52" ht="15" customHeight="1" x14ac:dyDescent="0.35">
      <c r="A416" s="1" t="s">
        <v>1601</v>
      </c>
      <c r="B416" s="1" t="s">
        <v>148</v>
      </c>
      <c r="C416" s="1" t="s">
        <v>640</v>
      </c>
      <c r="D416" s="1" t="s">
        <v>1533</v>
      </c>
      <c r="E416" s="1" t="s">
        <v>1326</v>
      </c>
      <c r="F416" s="9" t="s">
        <v>1602</v>
      </c>
      <c r="G416" s="1" t="s">
        <v>38</v>
      </c>
      <c r="H4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6" s="11">
        <f>0</f>
        <v>0</v>
      </c>
      <c r="J416" s="1">
        <f>0</f>
        <v>0</v>
      </c>
      <c r="K416" s="1"/>
      <c r="L416" s="1">
        <v>0</v>
      </c>
      <c r="M416" s="1">
        <f>0</f>
        <v>0</v>
      </c>
      <c r="N416" s="1">
        <f>0</f>
        <v>0</v>
      </c>
      <c r="O416" s="1">
        <f>0</f>
        <v>0</v>
      </c>
      <c r="P416" s="1"/>
      <c r="Q416" s="1">
        <v>0</v>
      </c>
      <c r="R416" s="1">
        <v>0</v>
      </c>
      <c r="S416" s="1">
        <f>0</f>
        <v>0</v>
      </c>
      <c r="T416" s="1">
        <f>0</f>
        <v>0</v>
      </c>
      <c r="U416" s="1"/>
      <c r="V416" s="1">
        <v>0</v>
      </c>
      <c r="W416" s="1">
        <v>0</v>
      </c>
      <c r="X416" s="1">
        <f>0</f>
        <v>0</v>
      </c>
      <c r="Y416" s="1">
        <f>0</f>
        <v>0</v>
      </c>
      <c r="Z416" s="1">
        <f>0</f>
        <v>0</v>
      </c>
      <c r="AA416" s="1"/>
      <c r="AB416" s="5"/>
      <c r="AC416" s="5"/>
      <c r="AD416" s="1">
        <f>0</f>
        <v>0</v>
      </c>
      <c r="AE416" s="1">
        <f>0</f>
        <v>0</v>
      </c>
      <c r="AF416" s="1">
        <f>0</f>
        <v>0</v>
      </c>
      <c r="AG416" s="1">
        <f>0</f>
        <v>0</v>
      </c>
      <c r="AH416" s="1">
        <f>0</f>
        <v>0</v>
      </c>
      <c r="AI416" s="1">
        <f>0</f>
        <v>0</v>
      </c>
      <c r="AJ416" s="1"/>
      <c r="AK416" s="1"/>
      <c r="AL416" s="1"/>
      <c r="AM416" s="1"/>
      <c r="AN416" s="1"/>
      <c r="AO416" s="1"/>
      <c r="AP416" s="1"/>
      <c r="AQ416" s="1"/>
      <c r="AR416" s="1"/>
      <c r="AS416" s="1" t="b">
        <v>1</v>
      </c>
      <c r="AT416" s="1"/>
      <c r="AU416" s="1"/>
      <c r="AV416" s="1"/>
      <c r="AW416" s="1"/>
      <c r="AX416" s="1"/>
      <c r="AY416" s="1"/>
      <c r="AZ416" s="1"/>
    </row>
    <row r="417" spans="1:52" ht="15" customHeight="1" x14ac:dyDescent="0.35">
      <c r="A417" s="1" t="s">
        <v>1603</v>
      </c>
      <c r="B417" s="1" t="s">
        <v>149</v>
      </c>
      <c r="C417" s="1" t="s">
        <v>640</v>
      </c>
      <c r="D417" s="1"/>
      <c r="E417" s="1" t="s">
        <v>1326</v>
      </c>
      <c r="F417" s="9" t="s">
        <v>1604</v>
      </c>
      <c r="G417" s="1" t="s">
        <v>38</v>
      </c>
      <c r="H4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7" s="11">
        <f>0</f>
        <v>0</v>
      </c>
      <c r="J417" s="1">
        <f>0</f>
        <v>0</v>
      </c>
      <c r="K417" s="1"/>
      <c r="L417" s="1">
        <v>0</v>
      </c>
      <c r="M417" s="1">
        <f>0</f>
        <v>0</v>
      </c>
      <c r="N417" s="1">
        <f>0</f>
        <v>0</v>
      </c>
      <c r="O417" s="1">
        <f>0</f>
        <v>0</v>
      </c>
      <c r="P417" s="1"/>
      <c r="Q417" s="1">
        <v>0</v>
      </c>
      <c r="R417" s="1">
        <v>0</v>
      </c>
      <c r="S417" s="1">
        <f>0</f>
        <v>0</v>
      </c>
      <c r="T417" s="1">
        <f>0</f>
        <v>0</v>
      </c>
      <c r="U417" s="1"/>
      <c r="V417" s="1">
        <v>0</v>
      </c>
      <c r="W417" s="1">
        <v>0</v>
      </c>
      <c r="X417" s="1">
        <f>0</f>
        <v>0</v>
      </c>
      <c r="Y417" s="1">
        <f>0</f>
        <v>0</v>
      </c>
      <c r="Z417" s="1">
        <f>0</f>
        <v>0</v>
      </c>
      <c r="AA417" s="1"/>
      <c r="AB417" s="5"/>
      <c r="AC417" s="5"/>
      <c r="AD417" s="1">
        <f>0</f>
        <v>0</v>
      </c>
      <c r="AE417" s="1">
        <f>0</f>
        <v>0</v>
      </c>
      <c r="AF417" s="1">
        <f>0</f>
        <v>0</v>
      </c>
      <c r="AG417" s="1">
        <f>0</f>
        <v>0</v>
      </c>
      <c r="AH417" s="1">
        <f>0</f>
        <v>0</v>
      </c>
      <c r="AI417" s="1">
        <f>0</f>
        <v>0</v>
      </c>
      <c r="AJ417" s="1"/>
      <c r="AK417" s="1"/>
      <c r="AL417" s="1"/>
      <c r="AM417" s="1"/>
      <c r="AN417" s="1"/>
      <c r="AO417" s="1"/>
      <c r="AP417" s="1"/>
      <c r="AQ417" s="1"/>
      <c r="AR417" s="1"/>
      <c r="AS417" s="1" t="b">
        <v>1</v>
      </c>
      <c r="AT417" s="1"/>
      <c r="AU417" s="1"/>
      <c r="AV417" s="1"/>
      <c r="AW417" s="1"/>
      <c r="AX417" s="1"/>
      <c r="AY417" s="1"/>
      <c r="AZ417" s="1"/>
    </row>
    <row r="418" spans="1:52" ht="15" customHeight="1" x14ac:dyDescent="0.35">
      <c r="A418" s="1" t="s">
        <v>1605</v>
      </c>
      <c r="B418" s="1" t="s">
        <v>150</v>
      </c>
      <c r="C418" s="1" t="s">
        <v>640</v>
      </c>
      <c r="D418" s="1" t="s">
        <v>1533</v>
      </c>
      <c r="E418" s="1" t="s">
        <v>1326</v>
      </c>
      <c r="F418" s="9" t="s">
        <v>1606</v>
      </c>
      <c r="G418" s="1" t="s">
        <v>38</v>
      </c>
      <c r="H4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8" s="11">
        <f>0</f>
        <v>0</v>
      </c>
      <c r="J418" s="1">
        <f>0</f>
        <v>0</v>
      </c>
      <c r="K418" s="1"/>
      <c r="L418" s="1">
        <v>0</v>
      </c>
      <c r="M418" s="1">
        <f>0</f>
        <v>0</v>
      </c>
      <c r="N418" s="1">
        <f>0</f>
        <v>0</v>
      </c>
      <c r="O418" s="1">
        <f>0</f>
        <v>0</v>
      </c>
      <c r="P418" s="1"/>
      <c r="Q418" s="1">
        <v>0</v>
      </c>
      <c r="R418" s="1">
        <v>0</v>
      </c>
      <c r="S418" s="1">
        <f>0</f>
        <v>0</v>
      </c>
      <c r="T418" s="1">
        <f>0</f>
        <v>0</v>
      </c>
      <c r="U418" s="1"/>
      <c r="V418" s="1">
        <v>0</v>
      </c>
      <c r="W418" s="1">
        <v>0</v>
      </c>
      <c r="X418" s="1">
        <f>0</f>
        <v>0</v>
      </c>
      <c r="Y418" s="1">
        <f>0</f>
        <v>0</v>
      </c>
      <c r="Z418" s="1">
        <f>0</f>
        <v>0</v>
      </c>
      <c r="AA418" s="1"/>
      <c r="AB418" s="5"/>
      <c r="AC418" s="5"/>
      <c r="AD418" s="1">
        <f>0</f>
        <v>0</v>
      </c>
      <c r="AE418" s="1">
        <f>0</f>
        <v>0</v>
      </c>
      <c r="AF418" s="1">
        <f>0</f>
        <v>0</v>
      </c>
      <c r="AG418" s="1">
        <f>0</f>
        <v>0</v>
      </c>
      <c r="AH418" s="1">
        <f>0</f>
        <v>0</v>
      </c>
      <c r="AI418" s="1">
        <f>0</f>
        <v>0</v>
      </c>
      <c r="AJ418" s="1"/>
      <c r="AK418" s="1"/>
      <c r="AL418" s="1"/>
      <c r="AM418" s="1"/>
      <c r="AN418" s="1"/>
      <c r="AO418" s="1"/>
      <c r="AP418" s="1"/>
      <c r="AQ418" s="1"/>
      <c r="AR418" s="1"/>
      <c r="AS418" s="1" t="b">
        <v>1</v>
      </c>
      <c r="AT418" s="1"/>
      <c r="AU418" s="1"/>
      <c r="AV418" s="1"/>
      <c r="AW418" s="1"/>
      <c r="AX418" s="1"/>
      <c r="AY418" s="1"/>
      <c r="AZ418" s="1"/>
    </row>
    <row r="419" spans="1:52" ht="15" customHeight="1" x14ac:dyDescent="0.35">
      <c r="A419" s="1" t="s">
        <v>1607</v>
      </c>
      <c r="B419" s="1" t="s">
        <v>151</v>
      </c>
      <c r="C419" s="1" t="s">
        <v>640</v>
      </c>
      <c r="D419" s="1"/>
      <c r="E419" s="1" t="s">
        <v>1326</v>
      </c>
      <c r="F419" s="9" t="s">
        <v>1608</v>
      </c>
      <c r="G419" s="1" t="s">
        <v>38</v>
      </c>
      <c r="H4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19" s="11">
        <f>0</f>
        <v>0</v>
      </c>
      <c r="J419" s="1">
        <f>0</f>
        <v>0</v>
      </c>
      <c r="K419" s="1"/>
      <c r="L419" s="1">
        <v>0</v>
      </c>
      <c r="M419" s="1">
        <f>0</f>
        <v>0</v>
      </c>
      <c r="N419" s="1">
        <f>0</f>
        <v>0</v>
      </c>
      <c r="O419" s="1">
        <f>0</f>
        <v>0</v>
      </c>
      <c r="P419" s="1"/>
      <c r="Q419" s="1">
        <v>0</v>
      </c>
      <c r="R419" s="1">
        <v>0</v>
      </c>
      <c r="S419" s="1">
        <f>0</f>
        <v>0</v>
      </c>
      <c r="T419" s="1">
        <f>0</f>
        <v>0</v>
      </c>
      <c r="U419" s="1"/>
      <c r="V419" s="1">
        <v>0</v>
      </c>
      <c r="W419" s="1">
        <v>0</v>
      </c>
      <c r="X419" s="1">
        <f>0</f>
        <v>0</v>
      </c>
      <c r="Y419" s="1">
        <f>0</f>
        <v>0</v>
      </c>
      <c r="Z419" s="1">
        <f>0</f>
        <v>0</v>
      </c>
      <c r="AA419" s="1"/>
      <c r="AB419" s="5"/>
      <c r="AC419" s="5"/>
      <c r="AD419" s="1">
        <f>0</f>
        <v>0</v>
      </c>
      <c r="AE419" s="1">
        <f>0</f>
        <v>0</v>
      </c>
      <c r="AF419" s="1">
        <f>0</f>
        <v>0</v>
      </c>
      <c r="AG419" s="1">
        <f>0</f>
        <v>0</v>
      </c>
      <c r="AH419" s="1">
        <f>0</f>
        <v>0</v>
      </c>
      <c r="AI419" s="1">
        <f>0</f>
        <v>0</v>
      </c>
      <c r="AJ419" s="1"/>
      <c r="AK419" s="1"/>
      <c r="AL419" s="1"/>
      <c r="AM419" s="1"/>
      <c r="AN419" s="1"/>
      <c r="AO419" s="1"/>
      <c r="AP419" s="1"/>
      <c r="AQ419" s="1"/>
      <c r="AR419" s="1"/>
      <c r="AS419" s="1" t="b">
        <v>1</v>
      </c>
      <c r="AT419" s="1"/>
      <c r="AU419" s="1"/>
      <c r="AV419" s="1"/>
      <c r="AW419" s="1"/>
      <c r="AX419" s="1"/>
      <c r="AY419" s="1"/>
      <c r="AZ419" s="1"/>
    </row>
    <row r="420" spans="1:52" ht="15" customHeight="1" x14ac:dyDescent="0.35">
      <c r="A420" s="1" t="s">
        <v>1609</v>
      </c>
      <c r="B420" s="1" t="s">
        <v>152</v>
      </c>
      <c r="C420" s="1" t="s">
        <v>1329</v>
      </c>
      <c r="D420" s="1" t="s">
        <v>1339</v>
      </c>
      <c r="E420" s="1" t="s">
        <v>1340</v>
      </c>
      <c r="F420" s="9" t="s">
        <v>1610</v>
      </c>
      <c r="G420" s="1" t="s">
        <v>38</v>
      </c>
      <c r="H4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0" s="11" t="e">
        <f>ABS(NETWORKDAYS.INTL("05/29/24", "06/02/24", 1, {"01/01/2024","01/15/2024","02/19/2024","05/27/2024","07/04/2024","09/02/2024","10/14/2024","11/11/2024","11/28/2024","12/25/2024","12/25/2024","12/26/2024","12/27/2024","12/28/2024","12/29/2024","12/30/2024","31/25/2024","01/01/2024","01/02/2024","01/03/2024","01/04/2024","01/05/2024"}))</f>
        <v>#VALUE!</v>
      </c>
      <c r="J420" s="1">
        <f>0</f>
        <v>0</v>
      </c>
      <c r="K420" s="1"/>
      <c r="L420" s="1">
        <v>0</v>
      </c>
      <c r="M420" s="1">
        <f>0</f>
        <v>0</v>
      </c>
      <c r="N420" s="1">
        <f>0</f>
        <v>0</v>
      </c>
      <c r="O420" s="1">
        <f>0</f>
        <v>0</v>
      </c>
      <c r="P420" s="1"/>
      <c r="Q420" s="1">
        <v>0</v>
      </c>
      <c r="R420" s="1">
        <v>0</v>
      </c>
      <c r="S420" s="1">
        <f>0</f>
        <v>0</v>
      </c>
      <c r="T420" s="1">
        <f>0</f>
        <v>0</v>
      </c>
      <c r="U420" s="1"/>
      <c r="V420" s="1">
        <v>0</v>
      </c>
      <c r="W420" s="1">
        <v>0</v>
      </c>
      <c r="X420" s="1">
        <f>0</f>
        <v>0</v>
      </c>
      <c r="Y420" s="1">
        <f>0</f>
        <v>0</v>
      </c>
      <c r="Z420" s="1">
        <f>0</f>
        <v>0</v>
      </c>
      <c r="AA420" s="1"/>
      <c r="AB420" s="5"/>
      <c r="AC420" s="5"/>
      <c r="AD420" s="1">
        <f>0</f>
        <v>0</v>
      </c>
      <c r="AE420" s="1">
        <f>0</f>
        <v>0</v>
      </c>
      <c r="AF420" s="1">
        <f>0</f>
        <v>0</v>
      </c>
      <c r="AG420" s="1">
        <f>0</f>
        <v>0</v>
      </c>
      <c r="AH420" s="1">
        <f>0</f>
        <v>0</v>
      </c>
      <c r="AI420" s="1">
        <f>0</f>
        <v>0</v>
      </c>
      <c r="AJ420" s="1"/>
      <c r="AK420" s="1"/>
      <c r="AL420" s="1" t="b">
        <v>1</v>
      </c>
      <c r="AM420" s="1"/>
      <c r="AN420" s="1"/>
      <c r="AO420" s="1"/>
      <c r="AP420" s="1"/>
      <c r="AQ420" s="1"/>
      <c r="AR420" s="1"/>
      <c r="AS420" s="1" t="b">
        <v>1</v>
      </c>
      <c r="AT420" s="1"/>
      <c r="AU420" s="1"/>
      <c r="AV420" s="1"/>
      <c r="AW420" s="1"/>
      <c r="AX420" s="1"/>
      <c r="AY420" s="1"/>
      <c r="AZ420" s="1"/>
    </row>
    <row r="421" spans="1:52" ht="15" customHeight="1" x14ac:dyDescent="0.35">
      <c r="A421" s="1" t="s">
        <v>1611</v>
      </c>
      <c r="B421" s="1" t="s">
        <v>153</v>
      </c>
      <c r="C421" s="1" t="s">
        <v>640</v>
      </c>
      <c r="D421" s="1"/>
      <c r="E421" s="1" t="s">
        <v>1326</v>
      </c>
      <c r="F421" s="9" t="s">
        <v>1612</v>
      </c>
      <c r="G421" s="1" t="s">
        <v>38</v>
      </c>
      <c r="H4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21" s="11">
        <f>0</f>
        <v>0</v>
      </c>
      <c r="J421" s="1">
        <f>0</f>
        <v>0</v>
      </c>
      <c r="K421" s="1"/>
      <c r="L421" s="1">
        <v>0</v>
      </c>
      <c r="M421" s="1">
        <f>0</f>
        <v>0</v>
      </c>
      <c r="N421" s="1">
        <f>0</f>
        <v>0</v>
      </c>
      <c r="O421" s="1">
        <f>0</f>
        <v>0</v>
      </c>
      <c r="P421" s="1"/>
      <c r="Q421" s="1">
        <v>0</v>
      </c>
      <c r="R421" s="1">
        <v>0</v>
      </c>
      <c r="S421" s="1">
        <f>0</f>
        <v>0</v>
      </c>
      <c r="T421" s="1">
        <f>0</f>
        <v>0</v>
      </c>
      <c r="U421" s="1"/>
      <c r="V421" s="1">
        <v>0</v>
      </c>
      <c r="W421" s="1">
        <v>0</v>
      </c>
      <c r="X421" s="1">
        <f>0</f>
        <v>0</v>
      </c>
      <c r="Y421" s="1">
        <f>0</f>
        <v>0</v>
      </c>
      <c r="Z421" s="1">
        <f>0</f>
        <v>0</v>
      </c>
      <c r="AA421" s="1"/>
      <c r="AB421" s="5"/>
      <c r="AC421" s="5"/>
      <c r="AD421" s="1">
        <f>0</f>
        <v>0</v>
      </c>
      <c r="AE421" s="1">
        <f>0</f>
        <v>0</v>
      </c>
      <c r="AF421" s="1">
        <f>0</f>
        <v>0</v>
      </c>
      <c r="AG421" s="1">
        <f>0</f>
        <v>0</v>
      </c>
      <c r="AH421" s="1">
        <f>0</f>
        <v>0</v>
      </c>
      <c r="AI421" s="1">
        <f>0</f>
        <v>0</v>
      </c>
      <c r="AJ421" s="1"/>
      <c r="AK421" s="1"/>
      <c r="AL421" s="1"/>
      <c r="AM421" s="1"/>
      <c r="AN421" s="1"/>
      <c r="AO421" s="1"/>
      <c r="AP421" s="1"/>
      <c r="AQ421" s="1"/>
      <c r="AR421" s="1"/>
      <c r="AS421" s="1" t="b">
        <v>1</v>
      </c>
      <c r="AT421" s="1"/>
      <c r="AU421" s="1"/>
      <c r="AV421" s="1"/>
      <c r="AW421" s="1"/>
      <c r="AX421" s="1"/>
      <c r="AY421" s="1"/>
      <c r="AZ421" s="1"/>
    </row>
    <row r="422" spans="1:52" ht="15" customHeight="1" x14ac:dyDescent="0.35">
      <c r="A422" s="1" t="s">
        <v>1613</v>
      </c>
      <c r="B422" s="1" t="s">
        <v>154</v>
      </c>
      <c r="C422" s="1" t="s">
        <v>680</v>
      </c>
      <c r="D422" s="1" t="s">
        <v>1544</v>
      </c>
      <c r="E422" s="1" t="s">
        <v>1545</v>
      </c>
      <c r="F422" s="9" t="s">
        <v>1614</v>
      </c>
      <c r="G422" s="1" t="s">
        <v>38</v>
      </c>
      <c r="H4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2" s="11">
        <f>0</f>
        <v>0</v>
      </c>
      <c r="J422" s="1">
        <f>0</f>
        <v>0</v>
      </c>
      <c r="K422" s="1"/>
      <c r="L422" s="1">
        <v>0</v>
      </c>
      <c r="M422" s="1">
        <f>0</f>
        <v>0</v>
      </c>
      <c r="N422" s="1">
        <f>0</f>
        <v>0</v>
      </c>
      <c r="O422" s="1">
        <f>0</f>
        <v>0</v>
      </c>
      <c r="P422" s="1"/>
      <c r="Q422" s="1">
        <v>0</v>
      </c>
      <c r="R422" s="1">
        <v>0</v>
      </c>
      <c r="S422" s="1">
        <f>0</f>
        <v>0</v>
      </c>
      <c r="T422" s="1">
        <f>0</f>
        <v>0</v>
      </c>
      <c r="U422" s="1"/>
      <c r="V422" s="1">
        <v>0</v>
      </c>
      <c r="W422" s="1">
        <v>0</v>
      </c>
      <c r="X422" s="1">
        <f>0</f>
        <v>0</v>
      </c>
      <c r="Y422" s="1">
        <f>0</f>
        <v>0</v>
      </c>
      <c r="Z422" s="1">
        <f>0</f>
        <v>0</v>
      </c>
      <c r="AA422" s="1"/>
      <c r="AB422" s="5"/>
      <c r="AC422" s="5"/>
      <c r="AD422" s="1">
        <f>0</f>
        <v>0</v>
      </c>
      <c r="AE422" s="1">
        <f>0</f>
        <v>0</v>
      </c>
      <c r="AF422" s="1">
        <f>0</f>
        <v>0</v>
      </c>
      <c r="AG422" s="1">
        <f>0</f>
        <v>0</v>
      </c>
      <c r="AH422" s="1">
        <f>0</f>
        <v>0</v>
      </c>
      <c r="AI422" s="1">
        <f>0</f>
        <v>0</v>
      </c>
      <c r="AJ422" s="1"/>
      <c r="AK422" s="1"/>
      <c r="AL422" s="1"/>
      <c r="AM422" s="1"/>
      <c r="AN422" s="1"/>
      <c r="AO422" s="1"/>
      <c r="AP422" s="1"/>
      <c r="AQ422" s="1"/>
      <c r="AR422" s="1"/>
      <c r="AS422" s="1" t="b">
        <v>1</v>
      </c>
      <c r="AT422" s="1"/>
      <c r="AU422" s="1"/>
      <c r="AV422" s="1"/>
      <c r="AW422" s="1"/>
      <c r="AX422" s="1"/>
      <c r="AY422" s="1"/>
      <c r="AZ422" s="1"/>
    </row>
    <row r="423" spans="1:52" ht="15" customHeight="1" x14ac:dyDescent="0.35">
      <c r="A423" s="1" t="s">
        <v>1615</v>
      </c>
      <c r="B423" s="1" t="s">
        <v>155</v>
      </c>
      <c r="C423" s="1" t="s">
        <v>680</v>
      </c>
      <c r="D423" s="1" t="s">
        <v>1544</v>
      </c>
      <c r="E423" s="1" t="s">
        <v>1545</v>
      </c>
      <c r="F423" s="9" t="s">
        <v>1616</v>
      </c>
      <c r="G423" s="1" t="s">
        <v>38</v>
      </c>
      <c r="H4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3" s="11">
        <f>0</f>
        <v>0</v>
      </c>
      <c r="J423" s="1">
        <f>0</f>
        <v>0</v>
      </c>
      <c r="K423" s="1"/>
      <c r="L423" s="1">
        <v>0</v>
      </c>
      <c r="M423" s="1">
        <f>0</f>
        <v>0</v>
      </c>
      <c r="N423" s="1">
        <f>0</f>
        <v>0</v>
      </c>
      <c r="O423" s="1">
        <f>0</f>
        <v>0</v>
      </c>
      <c r="P423" s="1"/>
      <c r="Q423" s="1">
        <v>0</v>
      </c>
      <c r="R423" s="1">
        <v>0</v>
      </c>
      <c r="S423" s="1">
        <f>0</f>
        <v>0</v>
      </c>
      <c r="T423" s="1">
        <f>0</f>
        <v>0</v>
      </c>
      <c r="U423" s="1"/>
      <c r="V423" s="1">
        <v>0</v>
      </c>
      <c r="W423" s="1">
        <v>0</v>
      </c>
      <c r="X423" s="1">
        <f>0</f>
        <v>0</v>
      </c>
      <c r="Y423" s="1">
        <f>0</f>
        <v>0</v>
      </c>
      <c r="Z423" s="1">
        <f>0</f>
        <v>0</v>
      </c>
      <c r="AA423" s="1"/>
      <c r="AB423" s="5"/>
      <c r="AC423" s="5"/>
      <c r="AD423" s="1">
        <f>0</f>
        <v>0</v>
      </c>
      <c r="AE423" s="1">
        <f>0</f>
        <v>0</v>
      </c>
      <c r="AF423" s="1">
        <f>0</f>
        <v>0</v>
      </c>
      <c r="AG423" s="1">
        <f>0</f>
        <v>0</v>
      </c>
      <c r="AH423" s="1">
        <f>0</f>
        <v>0</v>
      </c>
      <c r="AI423" s="1">
        <f>0</f>
        <v>0</v>
      </c>
      <c r="AJ423" s="1"/>
      <c r="AK423" s="1"/>
      <c r="AL423" s="1"/>
      <c r="AM423" s="1"/>
      <c r="AN423" s="1"/>
      <c r="AO423" s="1"/>
      <c r="AP423" s="1"/>
      <c r="AQ423" s="1"/>
      <c r="AR423" s="1"/>
      <c r="AS423" s="1" t="b">
        <v>1</v>
      </c>
      <c r="AT423" s="1"/>
      <c r="AU423" s="1"/>
      <c r="AV423" s="1"/>
      <c r="AW423" s="1"/>
      <c r="AX423" s="1"/>
      <c r="AY423" s="1"/>
      <c r="AZ423" s="1"/>
    </row>
    <row r="424" spans="1:52" ht="15" customHeight="1" x14ac:dyDescent="0.35">
      <c r="A424" s="1" t="s">
        <v>1617</v>
      </c>
      <c r="B424" s="1" t="s">
        <v>156</v>
      </c>
      <c r="C424" s="1" t="s">
        <v>1149</v>
      </c>
      <c r="D424" s="1" t="s">
        <v>1536</v>
      </c>
      <c r="E424" s="1" t="s">
        <v>1537</v>
      </c>
      <c r="F424" s="9" t="s">
        <v>1618</v>
      </c>
      <c r="G424" s="1" t="s">
        <v>38</v>
      </c>
      <c r="H4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4" s="11">
        <f>0</f>
        <v>0</v>
      </c>
      <c r="J424" s="1">
        <f>0</f>
        <v>0</v>
      </c>
      <c r="K424" s="1"/>
      <c r="L424" s="1">
        <v>0</v>
      </c>
      <c r="M424" s="1">
        <f>0</f>
        <v>0</v>
      </c>
      <c r="N424" s="1">
        <f>0</f>
        <v>0</v>
      </c>
      <c r="O424" s="1">
        <f>0</f>
        <v>0</v>
      </c>
      <c r="P424" s="1"/>
      <c r="Q424" s="1">
        <v>0</v>
      </c>
      <c r="R424" s="1">
        <v>0</v>
      </c>
      <c r="S424" s="1">
        <f>0</f>
        <v>0</v>
      </c>
      <c r="T424" s="1">
        <f>0</f>
        <v>0</v>
      </c>
      <c r="U424" s="1"/>
      <c r="V424" s="1">
        <v>0</v>
      </c>
      <c r="W424" s="1">
        <v>0</v>
      </c>
      <c r="X424" s="1">
        <f>0</f>
        <v>0</v>
      </c>
      <c r="Y424" s="1">
        <f>0</f>
        <v>0</v>
      </c>
      <c r="Z424" s="1">
        <f>0</f>
        <v>0</v>
      </c>
      <c r="AA424" s="1"/>
      <c r="AB424" s="5"/>
      <c r="AC424" s="5"/>
      <c r="AD424" s="1">
        <f>0</f>
        <v>0</v>
      </c>
      <c r="AE424" s="1">
        <f>0</f>
        <v>0</v>
      </c>
      <c r="AF424" s="1">
        <f>0</f>
        <v>0</v>
      </c>
      <c r="AG424" s="1">
        <f>0</f>
        <v>0</v>
      </c>
      <c r="AH424" s="1">
        <f>0</f>
        <v>0</v>
      </c>
      <c r="AI424" s="1">
        <f>0</f>
        <v>0</v>
      </c>
      <c r="AJ424" s="1"/>
      <c r="AK424" s="1"/>
      <c r="AL424" s="1"/>
      <c r="AM424" s="1"/>
      <c r="AN424" s="1"/>
      <c r="AO424" s="1"/>
      <c r="AP424" s="1"/>
      <c r="AQ424" s="1"/>
      <c r="AR424" s="1"/>
      <c r="AS424" s="1" t="b">
        <v>1</v>
      </c>
      <c r="AT424" s="1"/>
      <c r="AU424" s="1"/>
      <c r="AV424" s="1"/>
      <c r="AW424" s="1"/>
      <c r="AX424" s="1"/>
      <c r="AY424" s="1"/>
      <c r="AZ424" s="1"/>
    </row>
    <row r="425" spans="1:52" ht="15" customHeight="1" x14ac:dyDescent="0.35">
      <c r="A425" s="1" t="s">
        <v>1619</v>
      </c>
      <c r="B425" s="1" t="s">
        <v>157</v>
      </c>
      <c r="C425" s="1" t="s">
        <v>816</v>
      </c>
      <c r="D425" s="1" t="s">
        <v>1551</v>
      </c>
      <c r="E425" s="1" t="s">
        <v>1537</v>
      </c>
      <c r="F425" s="9" t="s">
        <v>1620</v>
      </c>
      <c r="G425" s="1" t="s">
        <v>38</v>
      </c>
      <c r="H4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5" s="11" t="e">
        <f>ABS(NETWORKDAYS.INTL("07/04/24", "07/12/24", 1, {"01/01/2024","01/15/2024","02/19/2024","05/27/2024","07/04/2024","09/02/2024","10/14/2024","11/11/2024","11/28/2024","12/25/2024","12/25/2024","12/26/2024","12/27/2024","12/28/2024","12/29/2024","12/30/2024","31/25/2024","01/01/2024","01/02/2024","01/03/2024","01/04/2024","01/05/2024"}))</f>
        <v>#VALUE!</v>
      </c>
      <c r="J425" s="1">
        <f>0</f>
        <v>0</v>
      </c>
      <c r="K425" s="1"/>
      <c r="L425" s="1">
        <v>0</v>
      </c>
      <c r="M425" s="1">
        <f>0</f>
        <v>0</v>
      </c>
      <c r="N425" s="1">
        <f>0</f>
        <v>0</v>
      </c>
      <c r="O425" s="1">
        <f>0</f>
        <v>0</v>
      </c>
      <c r="P425" s="1"/>
      <c r="Q425" s="1">
        <v>0</v>
      </c>
      <c r="R425" s="1">
        <v>0</v>
      </c>
      <c r="S425" s="1">
        <f>0</f>
        <v>0</v>
      </c>
      <c r="T425" s="1">
        <f>0</f>
        <v>0</v>
      </c>
      <c r="U425" s="1"/>
      <c r="V425" s="1">
        <v>0</v>
      </c>
      <c r="W425" s="1">
        <v>0</v>
      </c>
      <c r="X425" s="1">
        <f>0</f>
        <v>0</v>
      </c>
      <c r="Y425" s="1">
        <f>0</f>
        <v>0</v>
      </c>
      <c r="Z425" s="1">
        <f>0</f>
        <v>0</v>
      </c>
      <c r="AA425" s="1"/>
      <c r="AB425" s="5"/>
      <c r="AC425" s="5"/>
      <c r="AD425" s="1">
        <f>0</f>
        <v>0</v>
      </c>
      <c r="AE425" s="1">
        <f>0</f>
        <v>0</v>
      </c>
      <c r="AF425" s="1">
        <f>0</f>
        <v>0</v>
      </c>
      <c r="AG425" s="1">
        <f>0</f>
        <v>0</v>
      </c>
      <c r="AH425" s="1">
        <f>0</f>
        <v>0</v>
      </c>
      <c r="AI425" s="1">
        <f>0</f>
        <v>0</v>
      </c>
      <c r="AJ425" s="1"/>
      <c r="AK425" s="1"/>
      <c r="AL425" s="1"/>
      <c r="AM425" s="1"/>
      <c r="AN425" s="1"/>
      <c r="AO425" s="1"/>
      <c r="AP425" s="1"/>
      <c r="AQ425" s="1"/>
      <c r="AR425" s="1"/>
      <c r="AS425" s="1" t="b">
        <v>1</v>
      </c>
      <c r="AT425" s="1"/>
      <c r="AU425" s="1"/>
      <c r="AV425" s="1"/>
      <c r="AW425" s="1"/>
      <c r="AX425" s="1"/>
      <c r="AY425" s="1"/>
      <c r="AZ425" s="1"/>
    </row>
    <row r="426" spans="1:52" ht="15" customHeight="1" x14ac:dyDescent="0.35">
      <c r="A426" s="1" t="s">
        <v>1621</v>
      </c>
      <c r="B426" s="1" t="s">
        <v>158</v>
      </c>
      <c r="C426" s="1" t="s">
        <v>1149</v>
      </c>
      <c r="D426" s="1" t="s">
        <v>1557</v>
      </c>
      <c r="E426" s="1" t="s">
        <v>1527</v>
      </c>
      <c r="F426" s="9" t="s">
        <v>1622</v>
      </c>
      <c r="G426" s="1" t="s">
        <v>38</v>
      </c>
      <c r="H4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6" s="11" t="e">
        <f>ABS(NETWORKDAYS.INTL("06/25/2024", "07/01/2024", 1, {"01/01/2024","01/15/2024","02/19/2024","05/27/2024","07/04/2024","09/02/2024","10/14/2024","11/11/2024","11/28/2024","12/25/2024","12/25/2024","12/26/2024","12/27/2024","12/28/2024","12/29/2024","12/30/2024","31/25/2024","01/01/2024","01/02/2024","01/03/2024","01/04/2024","01/05/2024"}))</f>
        <v>#VALUE!</v>
      </c>
      <c r="J426" s="1">
        <f>0</f>
        <v>0</v>
      </c>
      <c r="K426" s="1"/>
      <c r="L426" s="1">
        <v>0</v>
      </c>
      <c r="M426" s="1">
        <f>0</f>
        <v>0</v>
      </c>
      <c r="N426" s="1">
        <f>0</f>
        <v>0</v>
      </c>
      <c r="O426" s="1">
        <f>0</f>
        <v>0</v>
      </c>
      <c r="P426" s="1"/>
      <c r="Q426" s="1">
        <v>0</v>
      </c>
      <c r="R426" s="1">
        <v>0</v>
      </c>
      <c r="S426" s="1">
        <f>0</f>
        <v>0</v>
      </c>
      <c r="T426" s="1">
        <f>0</f>
        <v>0</v>
      </c>
      <c r="U426" s="1"/>
      <c r="V426" s="1">
        <v>0</v>
      </c>
      <c r="W426" s="1">
        <v>0</v>
      </c>
      <c r="X426" s="1">
        <f>0</f>
        <v>0</v>
      </c>
      <c r="Y426" s="1">
        <f>0</f>
        <v>0</v>
      </c>
      <c r="Z426" s="1">
        <f>0</f>
        <v>0</v>
      </c>
      <c r="AA426" s="1"/>
      <c r="AB426" s="5"/>
      <c r="AC426" s="5"/>
      <c r="AD426" s="1">
        <f>0</f>
        <v>0</v>
      </c>
      <c r="AE426" s="1">
        <f>0</f>
        <v>0</v>
      </c>
      <c r="AF426" s="1">
        <f>0</f>
        <v>0</v>
      </c>
      <c r="AG426" s="1">
        <f>0</f>
        <v>0</v>
      </c>
      <c r="AH426" s="1">
        <f>0</f>
        <v>0</v>
      </c>
      <c r="AI426" s="1">
        <f>0</f>
        <v>0</v>
      </c>
      <c r="AJ426" s="1"/>
      <c r="AK426" s="1"/>
      <c r="AL426" s="1"/>
      <c r="AM426" s="1"/>
      <c r="AN426" s="1"/>
      <c r="AO426" s="1"/>
      <c r="AP426" s="1"/>
      <c r="AQ426" s="1"/>
      <c r="AR426" s="1"/>
      <c r="AS426" s="1" t="b">
        <v>1</v>
      </c>
      <c r="AT426" s="1"/>
      <c r="AU426" s="1"/>
      <c r="AV426" s="1"/>
      <c r="AW426" s="1"/>
      <c r="AX426" s="1"/>
      <c r="AY426" s="1"/>
      <c r="AZ426" s="1"/>
    </row>
    <row r="427" spans="1:52" ht="15" customHeight="1" x14ac:dyDescent="0.35">
      <c r="A427" s="1" t="s">
        <v>1623</v>
      </c>
      <c r="B427" s="1" t="s">
        <v>159</v>
      </c>
      <c r="C427" s="1" t="s">
        <v>1149</v>
      </c>
      <c r="D427" s="1" t="s">
        <v>1523</v>
      </c>
      <c r="E427" s="1" t="s">
        <v>1537</v>
      </c>
      <c r="F427" s="9" t="s">
        <v>1624</v>
      </c>
      <c r="G427" s="1" t="s">
        <v>38</v>
      </c>
      <c r="H4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7" s="11">
        <f>0</f>
        <v>0</v>
      </c>
      <c r="J427" s="1">
        <f>0</f>
        <v>0</v>
      </c>
      <c r="K427" s="1"/>
      <c r="L427" s="1">
        <v>0</v>
      </c>
      <c r="M427" s="1">
        <f>0</f>
        <v>0</v>
      </c>
      <c r="N427" s="1">
        <f>0</f>
        <v>0</v>
      </c>
      <c r="O427" s="1">
        <f>0</f>
        <v>0</v>
      </c>
      <c r="P427" s="1"/>
      <c r="Q427" s="1">
        <v>0</v>
      </c>
      <c r="R427" s="1">
        <v>0</v>
      </c>
      <c r="S427" s="1">
        <f>0</f>
        <v>0</v>
      </c>
      <c r="T427" s="1">
        <f>0</f>
        <v>0</v>
      </c>
      <c r="U427" s="1"/>
      <c r="V427" s="1">
        <v>0</v>
      </c>
      <c r="W427" s="1">
        <v>0</v>
      </c>
      <c r="X427" s="1">
        <f>0</f>
        <v>0</v>
      </c>
      <c r="Y427" s="1">
        <f>0</f>
        <v>0</v>
      </c>
      <c r="Z427" s="1">
        <f>0</f>
        <v>0</v>
      </c>
      <c r="AA427" s="1"/>
      <c r="AB427" s="5"/>
      <c r="AC427" s="5"/>
      <c r="AD427" s="1">
        <f>0</f>
        <v>0</v>
      </c>
      <c r="AE427" s="1">
        <f>0</f>
        <v>0</v>
      </c>
      <c r="AF427" s="1">
        <f>0</f>
        <v>0</v>
      </c>
      <c r="AG427" s="1">
        <f>0</f>
        <v>0</v>
      </c>
      <c r="AH427" s="1">
        <f>0</f>
        <v>0</v>
      </c>
      <c r="AI427" s="1">
        <f>0</f>
        <v>0</v>
      </c>
      <c r="AJ427" s="1"/>
      <c r="AK427" s="1"/>
      <c r="AL427" s="1"/>
      <c r="AM427" s="1"/>
      <c r="AN427" s="1"/>
      <c r="AO427" s="1"/>
      <c r="AP427" s="1"/>
      <c r="AQ427" s="1"/>
      <c r="AR427" s="1"/>
      <c r="AS427" s="1" t="b">
        <v>1</v>
      </c>
      <c r="AT427" s="1"/>
      <c r="AU427" s="1"/>
      <c r="AV427" s="1"/>
      <c r="AW427" s="1"/>
      <c r="AX427" s="1"/>
      <c r="AY427" s="1"/>
      <c r="AZ427" s="1"/>
    </row>
    <row r="428" spans="1:52" ht="15" customHeight="1" x14ac:dyDescent="0.35">
      <c r="A428" s="1" t="s">
        <v>1625</v>
      </c>
      <c r="B428" s="1" t="s">
        <v>160</v>
      </c>
      <c r="C428" s="1" t="s">
        <v>1149</v>
      </c>
      <c r="D428" s="1" t="s">
        <v>1560</v>
      </c>
      <c r="E428" s="1" t="s">
        <v>1527</v>
      </c>
      <c r="F428" s="9" t="s">
        <v>1626</v>
      </c>
      <c r="G428" s="1" t="s">
        <v>38</v>
      </c>
      <c r="H4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28" s="11" t="e">
        <f>ABS(NETWORKDAYS.INTL("07/08/2024", "07/10/2024", 1, {"01/01/2024","01/15/2024","02/19/2024","05/27/2024","07/04/2024","09/02/2024","10/14/2024","11/11/2024","11/28/2024","12/25/2024","12/25/2024","12/26/2024","12/27/2024","12/28/2024","12/29/2024","12/30/2024","31/25/2024","01/01/2024","01/02/2024","01/03/2024","01/04/2024","01/05/2024"}))</f>
        <v>#VALUE!</v>
      </c>
      <c r="J428" s="1">
        <f>0</f>
        <v>0</v>
      </c>
      <c r="K428" s="1"/>
      <c r="L428" s="1">
        <v>0</v>
      </c>
      <c r="M428" s="1">
        <f>0</f>
        <v>0</v>
      </c>
      <c r="N428" s="1">
        <f>0</f>
        <v>0</v>
      </c>
      <c r="O428" s="1">
        <f>0</f>
        <v>0</v>
      </c>
      <c r="P428" s="1"/>
      <c r="Q428" s="1">
        <v>0</v>
      </c>
      <c r="R428" s="1">
        <v>0</v>
      </c>
      <c r="S428" s="1">
        <f>0</f>
        <v>0</v>
      </c>
      <c r="T428" s="1">
        <f>0</f>
        <v>0</v>
      </c>
      <c r="U428" s="1"/>
      <c r="V428" s="1">
        <v>0</v>
      </c>
      <c r="W428" s="1">
        <v>0</v>
      </c>
      <c r="X428" s="1">
        <f>0</f>
        <v>0</v>
      </c>
      <c r="Y428" s="1">
        <f>0</f>
        <v>0</v>
      </c>
      <c r="Z428" s="1">
        <f>0</f>
        <v>0</v>
      </c>
      <c r="AA428" s="1"/>
      <c r="AB428" s="5"/>
      <c r="AC428" s="5"/>
      <c r="AD428" s="1">
        <f>0</f>
        <v>0</v>
      </c>
      <c r="AE428" s="1">
        <f>0</f>
        <v>0</v>
      </c>
      <c r="AF428" s="1">
        <f>0</f>
        <v>0</v>
      </c>
      <c r="AG428" s="1">
        <f>0</f>
        <v>0</v>
      </c>
      <c r="AH428" s="1">
        <f>0</f>
        <v>0</v>
      </c>
      <c r="AI428" s="1">
        <f>0</f>
        <v>0</v>
      </c>
      <c r="AJ428" s="1"/>
      <c r="AK428" s="1"/>
      <c r="AL428" s="1"/>
      <c r="AM428" s="1"/>
      <c r="AN428" s="1"/>
      <c r="AO428" s="1"/>
      <c r="AP428" s="1"/>
      <c r="AQ428" s="1"/>
      <c r="AR428" s="1"/>
      <c r="AS428" s="1" t="b">
        <v>1</v>
      </c>
      <c r="AT428" s="1"/>
      <c r="AU428" s="1"/>
      <c r="AV428" s="1"/>
      <c r="AW428" s="1"/>
      <c r="AX428" s="1"/>
      <c r="AY428" s="1"/>
      <c r="AZ428" s="1"/>
    </row>
    <row r="429" spans="1:52" ht="15" customHeight="1" x14ac:dyDescent="0.35">
      <c r="A429" s="1" t="s">
        <v>1627</v>
      </c>
      <c r="B429" s="1" t="s">
        <v>161</v>
      </c>
      <c r="C429" s="1" t="s">
        <v>816</v>
      </c>
      <c r="D429" s="1" t="s">
        <v>1628</v>
      </c>
      <c r="E429" s="1" t="s">
        <v>1537</v>
      </c>
      <c r="F429" s="9" t="s">
        <v>1629</v>
      </c>
      <c r="G429" s="1" t="s">
        <v>38</v>
      </c>
      <c r="H4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29" s="11" t="e">
        <f>ABS(NETWORKDAYS.INTL("07/10/2024", "07/16/2024", 1, {"01/01/2024","01/15/2024","02/19/2024","05/27/2024","07/04/2024","09/02/2024","10/14/2024","11/11/2024","11/28/2024","12/25/2024","12/25/2024","12/26/2024","12/27/2024","12/28/2024","12/29/2024","12/30/2024","31/25/2024","01/01/2024","01/02/2024","01/03/2024","01/04/2024","01/05/2024"}))</f>
        <v>#VALUE!</v>
      </c>
      <c r="J429" s="1">
        <f>0</f>
        <v>0</v>
      </c>
      <c r="K429" s="1"/>
      <c r="L429" s="1">
        <v>0</v>
      </c>
      <c r="M429" s="1">
        <f>0</f>
        <v>0</v>
      </c>
      <c r="N429" s="1">
        <f>0</f>
        <v>0</v>
      </c>
      <c r="O429" s="1">
        <f>0</f>
        <v>0</v>
      </c>
      <c r="P429" s="1"/>
      <c r="Q429" s="1">
        <v>0</v>
      </c>
      <c r="R429" s="1">
        <v>0</v>
      </c>
      <c r="S429" s="1">
        <f>0</f>
        <v>0</v>
      </c>
      <c r="T429" s="1">
        <f>0</f>
        <v>0</v>
      </c>
      <c r="U429" s="1"/>
      <c r="V429" s="1">
        <v>0</v>
      </c>
      <c r="W429" s="1">
        <v>0</v>
      </c>
      <c r="X429" s="1">
        <f>0</f>
        <v>0</v>
      </c>
      <c r="Y429" s="1">
        <f>0</f>
        <v>0</v>
      </c>
      <c r="Z429" s="1">
        <f>0</f>
        <v>0</v>
      </c>
      <c r="AA429" s="1"/>
      <c r="AB429" s="5"/>
      <c r="AC429" s="5"/>
      <c r="AD429" s="1">
        <f>0</f>
        <v>0</v>
      </c>
      <c r="AE429" s="1">
        <f>0</f>
        <v>0</v>
      </c>
      <c r="AF429" s="1">
        <f>0</f>
        <v>0</v>
      </c>
      <c r="AG429" s="1">
        <f>0</f>
        <v>0</v>
      </c>
      <c r="AH429" s="1">
        <f>0</f>
        <v>0</v>
      </c>
      <c r="AI429" s="1">
        <f>0</f>
        <v>0</v>
      </c>
      <c r="AJ429" s="1"/>
      <c r="AK429" s="1"/>
      <c r="AL429" s="1"/>
      <c r="AM429" s="1"/>
      <c r="AN429" s="1"/>
      <c r="AO429" s="1"/>
      <c r="AP429" s="1"/>
      <c r="AQ429" s="1"/>
      <c r="AR429" s="1"/>
      <c r="AS429" s="1" t="b">
        <v>1</v>
      </c>
      <c r="AT429" s="1"/>
      <c r="AU429" s="1"/>
      <c r="AV429" s="1"/>
      <c r="AW429" s="1"/>
      <c r="AX429" s="1"/>
      <c r="AY429" s="1"/>
      <c r="AZ429" s="1"/>
    </row>
    <row r="430" spans="1:52" ht="15" customHeight="1" x14ac:dyDescent="0.35">
      <c r="A430" s="1" t="s">
        <v>1630</v>
      </c>
      <c r="B430" s="1" t="s">
        <v>162</v>
      </c>
      <c r="C430" s="1" t="s">
        <v>640</v>
      </c>
      <c r="D430" s="1" t="s">
        <v>1571</v>
      </c>
      <c r="E430" s="1" t="s">
        <v>1326</v>
      </c>
      <c r="F430" s="9" t="s">
        <v>1631</v>
      </c>
      <c r="G430" s="1" t="s">
        <v>38</v>
      </c>
      <c r="H4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30" s="11">
        <f>0</f>
        <v>0</v>
      </c>
      <c r="J430" s="1">
        <f>0</f>
        <v>0</v>
      </c>
      <c r="K430" s="1"/>
      <c r="L430" s="1">
        <v>0</v>
      </c>
      <c r="M430" s="1">
        <f>0</f>
        <v>0</v>
      </c>
      <c r="N430" s="1">
        <f>0</f>
        <v>0</v>
      </c>
      <c r="O430" s="1">
        <f>0</f>
        <v>0</v>
      </c>
      <c r="P430" s="1"/>
      <c r="Q430" s="1">
        <v>0</v>
      </c>
      <c r="R430" s="1">
        <v>0</v>
      </c>
      <c r="S430" s="1">
        <f>0</f>
        <v>0</v>
      </c>
      <c r="T430" s="1">
        <f>0</f>
        <v>0</v>
      </c>
      <c r="U430" s="1"/>
      <c r="V430" s="1">
        <v>0</v>
      </c>
      <c r="W430" s="1">
        <v>0</v>
      </c>
      <c r="X430" s="1">
        <f>0</f>
        <v>0</v>
      </c>
      <c r="Y430" s="1">
        <f>0</f>
        <v>0</v>
      </c>
      <c r="Z430" s="1">
        <f>0</f>
        <v>0</v>
      </c>
      <c r="AA430" s="1"/>
      <c r="AB430" s="5"/>
      <c r="AC430" s="5"/>
      <c r="AD430" s="1">
        <f>0</f>
        <v>0</v>
      </c>
      <c r="AE430" s="1">
        <f>0</f>
        <v>0</v>
      </c>
      <c r="AF430" s="1">
        <f>0</f>
        <v>0</v>
      </c>
      <c r="AG430" s="1">
        <f>0</f>
        <v>0</v>
      </c>
      <c r="AH430" s="1">
        <f>0</f>
        <v>0</v>
      </c>
      <c r="AI430" s="1">
        <f>0</f>
        <v>0</v>
      </c>
      <c r="AJ430" s="1"/>
      <c r="AK430" s="1"/>
      <c r="AL430" s="1"/>
      <c r="AM430" s="1"/>
      <c r="AN430" s="1"/>
      <c r="AO430" s="1"/>
      <c r="AP430" s="1"/>
      <c r="AQ430" s="1"/>
      <c r="AR430" s="1"/>
      <c r="AS430" s="1" t="b">
        <v>1</v>
      </c>
      <c r="AT430" s="1"/>
      <c r="AU430" s="1"/>
      <c r="AV430" s="1"/>
      <c r="AW430" s="1"/>
      <c r="AX430" s="1"/>
      <c r="AY430" s="1"/>
      <c r="AZ430" s="1"/>
    </row>
    <row r="431" spans="1:52" ht="15" customHeight="1" x14ac:dyDescent="0.35">
      <c r="A431" s="1" t="s">
        <v>1632</v>
      </c>
      <c r="B431" s="1" t="s">
        <v>163</v>
      </c>
      <c r="C431" s="1" t="s">
        <v>1149</v>
      </c>
      <c r="D431" s="1" t="s">
        <v>1554</v>
      </c>
      <c r="E431" s="1" t="s">
        <v>1537</v>
      </c>
      <c r="F431" s="9" t="s">
        <v>1633</v>
      </c>
      <c r="G431" s="1" t="s">
        <v>38</v>
      </c>
      <c r="H4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1" s="11" t="e">
        <f>ABS(NETWORKDAYS.INTL("7/10/2024", "7/17/2024", 1, {"01/01/2024","01/15/2024","02/19/2024","05/27/2024","07/04/2024","09/02/2024","10/14/2024","11/11/2024","11/28/2024","12/25/2024","12/25/2024","12/26/2024","12/27/2024","12/28/2024","12/29/2024","12/30/2024","31/25/2024","01/01/2024","01/02/2024","01/03/2024","01/04/2024","01/05/2024"}))</f>
        <v>#VALUE!</v>
      </c>
      <c r="J431" s="1">
        <f>0</f>
        <v>0</v>
      </c>
      <c r="K431" s="1"/>
      <c r="L431" s="1">
        <v>0</v>
      </c>
      <c r="M431" s="1">
        <f>0</f>
        <v>0</v>
      </c>
      <c r="N431" s="1">
        <f>0</f>
        <v>0</v>
      </c>
      <c r="O431" s="1">
        <f>0</f>
        <v>0</v>
      </c>
      <c r="P431" s="1"/>
      <c r="Q431" s="1">
        <v>0</v>
      </c>
      <c r="R431" s="1">
        <v>0</v>
      </c>
      <c r="S431" s="1">
        <f>0</f>
        <v>0</v>
      </c>
      <c r="T431" s="1">
        <f>0</f>
        <v>0</v>
      </c>
      <c r="U431" s="1"/>
      <c r="V431" s="1">
        <v>0</v>
      </c>
      <c r="W431" s="1">
        <v>0</v>
      </c>
      <c r="X431" s="1">
        <f>0</f>
        <v>0</v>
      </c>
      <c r="Y431" s="1">
        <f>0</f>
        <v>0</v>
      </c>
      <c r="Z431" s="1">
        <f>0</f>
        <v>0</v>
      </c>
      <c r="AA431" s="1"/>
      <c r="AB431" s="5"/>
      <c r="AC431" s="5"/>
      <c r="AD431" s="1">
        <f>0</f>
        <v>0</v>
      </c>
      <c r="AE431" s="1">
        <f>0</f>
        <v>0</v>
      </c>
      <c r="AF431" s="1">
        <f>0</f>
        <v>0</v>
      </c>
      <c r="AG431" s="1">
        <f>0</f>
        <v>0</v>
      </c>
      <c r="AH431" s="1">
        <f>0</f>
        <v>0</v>
      </c>
      <c r="AI431" s="1">
        <f>0</f>
        <v>0</v>
      </c>
      <c r="AJ431" s="1"/>
      <c r="AK431" s="1"/>
      <c r="AL431" s="1"/>
      <c r="AM431" s="1"/>
      <c r="AN431" s="1"/>
      <c r="AO431" s="1"/>
      <c r="AP431" s="1"/>
      <c r="AQ431" s="1"/>
      <c r="AR431" s="1"/>
      <c r="AS431" s="1" t="b">
        <v>1</v>
      </c>
      <c r="AT431" s="1"/>
      <c r="AU431" s="1"/>
      <c r="AV431" s="1"/>
      <c r="AW431" s="1"/>
      <c r="AX431" s="1"/>
      <c r="AY431" s="1"/>
      <c r="AZ431" s="1"/>
    </row>
    <row r="432" spans="1:52" ht="15" customHeight="1" x14ac:dyDescent="0.35">
      <c r="A432" s="1" t="s">
        <v>1634</v>
      </c>
      <c r="B432" s="1" t="s">
        <v>164</v>
      </c>
      <c r="C432" s="1" t="s">
        <v>1149</v>
      </c>
      <c r="D432" s="1" t="s">
        <v>1571</v>
      </c>
      <c r="E432" s="1" t="s">
        <v>1537</v>
      </c>
      <c r="F432" s="9" t="s">
        <v>1635</v>
      </c>
      <c r="G432" s="1" t="s">
        <v>38</v>
      </c>
      <c r="H4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2" s="11">
        <f>0</f>
        <v>0</v>
      </c>
      <c r="J432" s="1">
        <f>0</f>
        <v>0</v>
      </c>
      <c r="K432" s="1"/>
      <c r="L432" s="1">
        <v>0</v>
      </c>
      <c r="M432" s="1">
        <f>0</f>
        <v>0</v>
      </c>
      <c r="N432" s="1">
        <f>0</f>
        <v>0</v>
      </c>
      <c r="O432" s="1">
        <f>0</f>
        <v>0</v>
      </c>
      <c r="P432" s="1"/>
      <c r="Q432" s="1">
        <v>0</v>
      </c>
      <c r="R432" s="1">
        <v>0</v>
      </c>
      <c r="S432" s="1">
        <f>0</f>
        <v>0</v>
      </c>
      <c r="T432" s="1">
        <f>0</f>
        <v>0</v>
      </c>
      <c r="U432" s="1"/>
      <c r="V432" s="1">
        <v>0</v>
      </c>
      <c r="W432" s="1">
        <v>0</v>
      </c>
      <c r="X432" s="1">
        <f>0</f>
        <v>0</v>
      </c>
      <c r="Y432" s="1">
        <f>0</f>
        <v>0</v>
      </c>
      <c r="Z432" s="1">
        <f>0</f>
        <v>0</v>
      </c>
      <c r="AA432" s="1"/>
      <c r="AB432" s="5"/>
      <c r="AC432" s="5"/>
      <c r="AD432" s="1">
        <f>0</f>
        <v>0</v>
      </c>
      <c r="AE432" s="1">
        <f>0</f>
        <v>0</v>
      </c>
      <c r="AF432" s="1">
        <f>0</f>
        <v>0</v>
      </c>
      <c r="AG432" s="1">
        <f>0</f>
        <v>0</v>
      </c>
      <c r="AH432" s="1">
        <f>0</f>
        <v>0</v>
      </c>
      <c r="AI432" s="1">
        <f>0</f>
        <v>0</v>
      </c>
      <c r="AJ432" s="1"/>
      <c r="AK432" s="1"/>
      <c r="AL432" s="1"/>
      <c r="AM432" s="1"/>
      <c r="AN432" s="1"/>
      <c r="AO432" s="1"/>
      <c r="AP432" s="1"/>
      <c r="AQ432" s="1"/>
      <c r="AR432" s="1"/>
      <c r="AS432" s="1" t="b">
        <v>1</v>
      </c>
      <c r="AT432" s="1"/>
      <c r="AU432" s="1"/>
      <c r="AV432" s="1"/>
      <c r="AW432" s="1"/>
      <c r="AX432" s="1"/>
      <c r="AY432" s="1"/>
      <c r="AZ432" s="1"/>
    </row>
    <row r="433" spans="1:52" ht="15" customHeight="1" x14ac:dyDescent="0.35">
      <c r="A433" s="1" t="s">
        <v>1636</v>
      </c>
      <c r="B433" s="1" t="s">
        <v>165</v>
      </c>
      <c r="C433" s="1" t="s">
        <v>1149</v>
      </c>
      <c r="D433" s="1" t="s">
        <v>1571</v>
      </c>
      <c r="E433" s="1" t="s">
        <v>1326</v>
      </c>
      <c r="F433" s="9" t="s">
        <v>1637</v>
      </c>
      <c r="G433" s="1" t="s">
        <v>38</v>
      </c>
      <c r="H4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3" s="11">
        <f>0</f>
        <v>0</v>
      </c>
      <c r="J433" s="1">
        <f>0</f>
        <v>0</v>
      </c>
      <c r="K433" s="1"/>
      <c r="L433" s="1">
        <v>0</v>
      </c>
      <c r="M433" s="1">
        <f>0</f>
        <v>0</v>
      </c>
      <c r="N433" s="1">
        <f>0</f>
        <v>0</v>
      </c>
      <c r="O433" s="1">
        <f>0</f>
        <v>0</v>
      </c>
      <c r="P433" s="1"/>
      <c r="Q433" s="1">
        <v>0</v>
      </c>
      <c r="R433" s="1">
        <v>0</v>
      </c>
      <c r="S433" s="1">
        <f>0</f>
        <v>0</v>
      </c>
      <c r="T433" s="1">
        <f>0</f>
        <v>0</v>
      </c>
      <c r="U433" s="1"/>
      <c r="V433" s="1">
        <v>0</v>
      </c>
      <c r="W433" s="1">
        <v>0</v>
      </c>
      <c r="X433" s="1">
        <f>0</f>
        <v>0</v>
      </c>
      <c r="Y433" s="1">
        <f>0</f>
        <v>0</v>
      </c>
      <c r="Z433" s="1">
        <f>0</f>
        <v>0</v>
      </c>
      <c r="AA433" s="1"/>
      <c r="AB433" s="5"/>
      <c r="AC433" s="5"/>
      <c r="AD433" s="1">
        <f>0</f>
        <v>0</v>
      </c>
      <c r="AE433" s="1">
        <f>0</f>
        <v>0</v>
      </c>
      <c r="AF433" s="1">
        <f>0</f>
        <v>0</v>
      </c>
      <c r="AG433" s="1">
        <f>0</f>
        <v>0</v>
      </c>
      <c r="AH433" s="1">
        <f>0</f>
        <v>0</v>
      </c>
      <c r="AI433" s="1">
        <f>0</f>
        <v>0</v>
      </c>
      <c r="AJ433" s="1"/>
      <c r="AK433" s="1"/>
      <c r="AL433" s="1"/>
      <c r="AM433" s="1"/>
      <c r="AN433" s="1"/>
      <c r="AO433" s="1"/>
      <c r="AP433" s="1"/>
      <c r="AQ433" s="1"/>
      <c r="AR433" s="1"/>
      <c r="AS433" s="1" t="b">
        <v>1</v>
      </c>
      <c r="AT433" s="1"/>
      <c r="AU433" s="1"/>
      <c r="AV433" s="1"/>
      <c r="AW433" s="1"/>
      <c r="AX433" s="1"/>
      <c r="AY433" s="1"/>
      <c r="AZ433" s="1"/>
    </row>
    <row r="434" spans="1:52" ht="15" customHeight="1" x14ac:dyDescent="0.35">
      <c r="A434" s="1" t="s">
        <v>1638</v>
      </c>
      <c r="B434" s="1" t="s">
        <v>166</v>
      </c>
      <c r="C434" s="1" t="s">
        <v>821</v>
      </c>
      <c r="D434" s="1" t="s">
        <v>1628</v>
      </c>
      <c r="E434" s="1" t="s">
        <v>1326</v>
      </c>
      <c r="F434" s="9" t="s">
        <v>1639</v>
      </c>
      <c r="G434" s="1" t="s">
        <v>38</v>
      </c>
      <c r="H4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4" s="11" t="e">
        <f>ABS(NETWORKDAYS.INTL("07/15/2024", "08/05/24", 1, {"01/01/2024","01/15/2024","02/19/2024","05/27/2024","07/04/2024","09/02/2024","10/14/2024","11/11/2024","11/28/2024","12/25/2024","12/25/2024","12/26/2024","12/27/2024","12/28/2024","12/29/2024","12/30/2024","31/25/2024","01/01/2024","01/02/2024","01/03/2024","01/04/2024","01/05/2024"}))</f>
        <v>#VALUE!</v>
      </c>
      <c r="J434" s="1" t="e">
        <f>ABS(NETWORKDAYS.INTL("07/16/2024", "08/05/24", 1, {"01/01/2024","01/15/2024","02/19/2024","05/27/2024","07/04/2024","09/02/2024","10/14/2024","11/11/2024","11/28/2024","12/25/2024","12/25/2024","12/26/2024","12/27/2024","12/28/2024","12/29/2024","12/30/2024","31/25/2024","01/01/2024","01/02/2024","01/03/2024","01/04/2024","01/05/2024"}))</f>
        <v>#VALUE!</v>
      </c>
      <c r="K434" s="1"/>
      <c r="L434" s="1">
        <v>0</v>
      </c>
      <c r="M434" s="1">
        <f>0</f>
        <v>0</v>
      </c>
      <c r="N434" s="1">
        <f>0</f>
        <v>0</v>
      </c>
      <c r="O434" s="1">
        <f>0</f>
        <v>0</v>
      </c>
      <c r="P434" s="1"/>
      <c r="Q434" s="1">
        <v>0</v>
      </c>
      <c r="R434" s="1">
        <v>0</v>
      </c>
      <c r="S434" s="1">
        <f>0</f>
        <v>0</v>
      </c>
      <c r="T434" s="1">
        <f>0</f>
        <v>0</v>
      </c>
      <c r="U434" s="1"/>
      <c r="V434" s="1">
        <v>0</v>
      </c>
      <c r="W434" s="1">
        <v>0</v>
      </c>
      <c r="X434" s="1">
        <f>0</f>
        <v>0</v>
      </c>
      <c r="Y434" s="1">
        <f>0</f>
        <v>0</v>
      </c>
      <c r="Z434" s="1">
        <f>0</f>
        <v>0</v>
      </c>
      <c r="AA434" s="1"/>
      <c r="AB434" s="5"/>
      <c r="AC434" s="5"/>
      <c r="AD434" s="1">
        <f>0</f>
        <v>0</v>
      </c>
      <c r="AE434" s="1">
        <f>0</f>
        <v>0</v>
      </c>
      <c r="AF434" s="1">
        <f>0</f>
        <v>0</v>
      </c>
      <c r="AG434" s="1">
        <f>0</f>
        <v>0</v>
      </c>
      <c r="AH434" s="1">
        <f>0</f>
        <v>0</v>
      </c>
      <c r="AI434" s="1">
        <f>0</f>
        <v>0</v>
      </c>
      <c r="AJ434" s="1"/>
      <c r="AK434" s="1"/>
      <c r="AL434" s="1"/>
      <c r="AM434" s="1"/>
      <c r="AN434" s="1"/>
      <c r="AO434" s="1"/>
      <c r="AP434" s="1"/>
      <c r="AQ434" s="1"/>
      <c r="AR434" s="1"/>
      <c r="AS434" s="1" t="b">
        <v>1</v>
      </c>
      <c r="AT434" s="1"/>
      <c r="AU434" s="1"/>
      <c r="AV434" s="1"/>
      <c r="AW434" s="1"/>
      <c r="AX434" s="1"/>
      <c r="AY434" s="1"/>
      <c r="AZ434" s="1"/>
    </row>
    <row r="435" spans="1:52" ht="15" customHeight="1" x14ac:dyDescent="0.35">
      <c r="A435" s="1" t="s">
        <v>1640</v>
      </c>
      <c r="B435" s="1" t="s">
        <v>167</v>
      </c>
      <c r="C435" s="1" t="s">
        <v>1149</v>
      </c>
      <c r="D435" s="1" t="s">
        <v>1530</v>
      </c>
      <c r="E435" s="1" t="s">
        <v>1527</v>
      </c>
      <c r="F435" s="9" t="s">
        <v>1641</v>
      </c>
      <c r="G435" s="1" t="s">
        <v>38</v>
      </c>
      <c r="H4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5" s="11" t="e">
        <f>ABS(NETWORKDAYS.INTL("07/04/24", "07/08/24", 1, {"01/01/2024","01/15/2024","02/19/2024","05/27/2024","07/04/2024","09/02/2024","10/14/2024","11/11/2024","11/28/2024","12/25/2024","12/25/2024","12/26/2024","12/27/2024","12/28/2024","12/29/2024","12/30/2024","31/25/2024","01/01/2024","01/02/2024","01/03/2024","01/04/2024","01/05/2024"}))</f>
        <v>#VALUE!</v>
      </c>
      <c r="J435" s="1">
        <f>0</f>
        <v>0</v>
      </c>
      <c r="K435" s="1"/>
      <c r="L435" s="1">
        <v>0</v>
      </c>
      <c r="M435" s="1">
        <f>0</f>
        <v>0</v>
      </c>
      <c r="N435" s="1">
        <f>0</f>
        <v>0</v>
      </c>
      <c r="O435" s="1">
        <f>0</f>
        <v>0</v>
      </c>
      <c r="P435" s="1"/>
      <c r="Q435" s="1">
        <v>0</v>
      </c>
      <c r="R435" s="1">
        <v>0</v>
      </c>
      <c r="S435" s="1">
        <f>0</f>
        <v>0</v>
      </c>
      <c r="T435" s="1">
        <f>0</f>
        <v>0</v>
      </c>
      <c r="U435" s="1"/>
      <c r="V435" s="1">
        <v>0</v>
      </c>
      <c r="W435" s="1">
        <v>0</v>
      </c>
      <c r="X435" s="1">
        <f>0</f>
        <v>0</v>
      </c>
      <c r="Y435" s="1">
        <f>0</f>
        <v>0</v>
      </c>
      <c r="Z435" s="1">
        <f>0</f>
        <v>0</v>
      </c>
      <c r="AA435" s="1"/>
      <c r="AB435" s="5"/>
      <c r="AC435" s="5"/>
      <c r="AD435" s="1">
        <f>0</f>
        <v>0</v>
      </c>
      <c r="AE435" s="1">
        <f>0</f>
        <v>0</v>
      </c>
      <c r="AF435" s="1">
        <f>0</f>
        <v>0</v>
      </c>
      <c r="AG435" s="1">
        <f>0</f>
        <v>0</v>
      </c>
      <c r="AH435" s="1">
        <f>0</f>
        <v>0</v>
      </c>
      <c r="AI435" s="1">
        <f>0</f>
        <v>0</v>
      </c>
      <c r="AJ435" s="1"/>
      <c r="AK435" s="1"/>
      <c r="AL435" s="1"/>
      <c r="AM435" s="1"/>
      <c r="AN435" s="1"/>
      <c r="AO435" s="1"/>
      <c r="AP435" s="1"/>
      <c r="AQ435" s="1"/>
      <c r="AR435" s="1"/>
      <c r="AS435" s="1" t="b">
        <v>1</v>
      </c>
      <c r="AT435" s="1"/>
      <c r="AU435" s="1"/>
      <c r="AV435" s="1"/>
      <c r="AW435" s="1"/>
      <c r="AX435" s="1"/>
      <c r="AY435" s="1"/>
      <c r="AZ435" s="1"/>
    </row>
    <row r="436" spans="1:52" ht="15" customHeight="1" x14ac:dyDescent="0.35">
      <c r="A436" s="1" t="s">
        <v>1642</v>
      </c>
      <c r="B436" s="1" t="s">
        <v>168</v>
      </c>
      <c r="C436" s="1" t="s">
        <v>1149</v>
      </c>
      <c r="D436" s="1" t="s">
        <v>1530</v>
      </c>
      <c r="E436" s="1" t="s">
        <v>1527</v>
      </c>
      <c r="F436" s="9" t="s">
        <v>1643</v>
      </c>
      <c r="G436" s="1" t="s">
        <v>38</v>
      </c>
      <c r="H4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6" s="11" t="e">
        <f>ABS(NETWORKDAYS.INTL("07/02/24", "07/04/24", 1, {"01/01/2024","01/15/2024","02/19/2024","05/27/2024","07/04/2024","09/02/2024","10/14/2024","11/11/2024","11/28/2024","12/25/2024","12/25/2024","12/26/2024","12/27/2024","12/28/2024","12/29/2024","12/30/2024","31/25/2024","01/01/2024","01/02/2024","01/03/2024","01/04/2024","01/05/2024"}))</f>
        <v>#VALUE!</v>
      </c>
      <c r="J436" s="1">
        <f>0</f>
        <v>0</v>
      </c>
      <c r="K436" s="1"/>
      <c r="L436" s="1">
        <v>0</v>
      </c>
      <c r="M436" s="1">
        <f>0</f>
        <v>0</v>
      </c>
      <c r="N436" s="1">
        <f>0</f>
        <v>0</v>
      </c>
      <c r="O436" s="1">
        <f>0</f>
        <v>0</v>
      </c>
      <c r="P436" s="1"/>
      <c r="Q436" s="1">
        <v>0</v>
      </c>
      <c r="R436" s="1">
        <v>0</v>
      </c>
      <c r="S436" s="1">
        <f>0</f>
        <v>0</v>
      </c>
      <c r="T436" s="1">
        <f>0</f>
        <v>0</v>
      </c>
      <c r="U436" s="1"/>
      <c r="V436" s="1">
        <v>0</v>
      </c>
      <c r="W436" s="1">
        <v>0</v>
      </c>
      <c r="X436" s="1">
        <f>0</f>
        <v>0</v>
      </c>
      <c r="Y436" s="1">
        <f>0</f>
        <v>0</v>
      </c>
      <c r="Z436" s="1">
        <f>0</f>
        <v>0</v>
      </c>
      <c r="AA436" s="1"/>
      <c r="AB436" s="5"/>
      <c r="AC436" s="5"/>
      <c r="AD436" s="1">
        <f>0</f>
        <v>0</v>
      </c>
      <c r="AE436" s="1">
        <f>0</f>
        <v>0</v>
      </c>
      <c r="AF436" s="1">
        <f>0</f>
        <v>0</v>
      </c>
      <c r="AG436" s="1">
        <f>0</f>
        <v>0</v>
      </c>
      <c r="AH436" s="1">
        <f>0</f>
        <v>0</v>
      </c>
      <c r="AI436" s="1">
        <f>0</f>
        <v>0</v>
      </c>
      <c r="AJ436" s="1"/>
      <c r="AK436" s="1"/>
      <c r="AL436" s="1"/>
      <c r="AM436" s="1"/>
      <c r="AN436" s="1"/>
      <c r="AO436" s="1"/>
      <c r="AP436" s="1"/>
      <c r="AQ436" s="1"/>
      <c r="AR436" s="1"/>
      <c r="AS436" s="1" t="b">
        <v>1</v>
      </c>
      <c r="AT436" s="1"/>
      <c r="AU436" s="1"/>
      <c r="AV436" s="1"/>
      <c r="AW436" s="1"/>
      <c r="AX436" s="1"/>
      <c r="AY436" s="1"/>
      <c r="AZ436" s="1"/>
    </row>
    <row r="437" spans="1:52" ht="15" customHeight="1" x14ac:dyDescent="0.35">
      <c r="A437" s="1" t="s">
        <v>1644</v>
      </c>
      <c r="B437" s="1" t="s">
        <v>1645</v>
      </c>
      <c r="C437" s="1" t="s">
        <v>1149</v>
      </c>
      <c r="D437" s="1" t="s">
        <v>1523</v>
      </c>
      <c r="E437" s="1" t="s">
        <v>1326</v>
      </c>
      <c r="F437" s="9" t="s">
        <v>1646</v>
      </c>
      <c r="G437" s="1" t="s">
        <v>38</v>
      </c>
      <c r="H4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7" s="11" t="e">
        <f>ABS(NETWORKDAYS.INTL("07/16/24", "07/19/24", 1, {"01/01/2024","01/15/2024","02/19/2024","05/27/2024","07/04/2024","09/02/2024","10/14/2024","11/11/2024","11/28/2024","12/25/2024","12/25/2024","12/26/2024","12/27/2024","12/28/2024","12/29/2024","12/30/2024","31/25/2024","01/01/2024","01/02/2024","01/03/2024","01/04/2024","01/05/2024"}))</f>
        <v>#VALUE!</v>
      </c>
      <c r="J437" s="1" t="e">
        <f>ABS(NETWORKDAYS.INTL("07/17/24", "07/17/24", 1, {"01/01/2024","01/15/2024","02/19/2024","05/27/2024","07/04/2024","09/02/2024","10/14/2024","11/11/2024","11/28/2024","12/25/2024","12/25/2024","12/26/2024","12/27/2024","12/28/2024","12/29/2024","12/30/2024","31/25/2024","01/01/2024","01/02/2024","01/03/2024","01/04/2024","01/05/2024"}))</f>
        <v>#VALUE!</v>
      </c>
      <c r="K437" s="1"/>
      <c r="L437" s="1">
        <v>0</v>
      </c>
      <c r="M437" s="1">
        <f>0</f>
        <v>0</v>
      </c>
      <c r="N437" s="1">
        <f>0</f>
        <v>0</v>
      </c>
      <c r="O437" s="1">
        <f>0</f>
        <v>0</v>
      </c>
      <c r="P437" s="1"/>
      <c r="Q437" s="1">
        <v>0</v>
      </c>
      <c r="R437" s="1">
        <v>0</v>
      </c>
      <c r="S437" s="1">
        <f>0</f>
        <v>0</v>
      </c>
      <c r="T437" s="1">
        <f>0</f>
        <v>0</v>
      </c>
      <c r="U437" s="1"/>
      <c r="V437" s="1">
        <v>0</v>
      </c>
      <c r="W437" s="1">
        <v>0</v>
      </c>
      <c r="X437" s="1">
        <f>0</f>
        <v>0</v>
      </c>
      <c r="Y437" s="1">
        <f>0</f>
        <v>0</v>
      </c>
      <c r="Z437" s="1">
        <f>0</f>
        <v>0</v>
      </c>
      <c r="AA437" s="1"/>
      <c r="AB437" s="5"/>
      <c r="AC437" s="5"/>
      <c r="AD437" s="1">
        <f>0</f>
        <v>0</v>
      </c>
      <c r="AE437" s="1">
        <f>0</f>
        <v>0</v>
      </c>
      <c r="AF437" s="1">
        <f>0</f>
        <v>0</v>
      </c>
      <c r="AG437" s="1">
        <f>0</f>
        <v>0</v>
      </c>
      <c r="AH437" s="1">
        <f>0</f>
        <v>0</v>
      </c>
      <c r="AI437" s="1">
        <f>0</f>
        <v>0</v>
      </c>
      <c r="AJ437" s="1"/>
      <c r="AK437" s="1"/>
      <c r="AL437" s="1"/>
      <c r="AM437" s="1"/>
      <c r="AN437" s="1"/>
      <c r="AO437" s="1"/>
      <c r="AP437" s="1"/>
      <c r="AQ437" s="1"/>
      <c r="AR437" s="1"/>
      <c r="AS437" s="1" t="b">
        <v>1</v>
      </c>
      <c r="AT437" s="1"/>
      <c r="AU437" s="1"/>
      <c r="AV437" s="1"/>
      <c r="AW437" s="1"/>
      <c r="AX437" s="1"/>
      <c r="AY437" s="1"/>
      <c r="AZ437" s="1"/>
    </row>
    <row r="438" spans="1:52" ht="15" customHeight="1" x14ac:dyDescent="0.35">
      <c r="A438" s="1" t="s">
        <v>1647</v>
      </c>
      <c r="B438" s="1" t="s">
        <v>169</v>
      </c>
      <c r="C438" s="1" t="s">
        <v>1329</v>
      </c>
      <c r="D438" s="1" t="s">
        <v>1339</v>
      </c>
      <c r="E438" s="1" t="s">
        <v>1340</v>
      </c>
      <c r="F438" s="9" t="s">
        <v>1648</v>
      </c>
      <c r="G438" s="1" t="s">
        <v>38</v>
      </c>
      <c r="H4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38" s="11" t="e">
        <f>ABS(NETWORKDAYS.INTL("06/05/24", "06/07/24", 1, {"01/01/2024","01/15/2024","02/19/2024","05/27/2024","07/04/2024","09/02/2024","10/14/2024","11/11/2024","11/28/2024","12/25/2024","12/25/2024","12/26/2024","12/27/2024","12/28/2024","12/29/2024","12/30/2024","31/25/2024","01/01/2024","01/02/2024","01/03/2024","01/04/2024","01/05/2024"}))</f>
        <v>#VALUE!</v>
      </c>
      <c r="J438" s="1">
        <f>0</f>
        <v>0</v>
      </c>
      <c r="K438" s="1"/>
      <c r="L438" s="1">
        <v>0</v>
      </c>
      <c r="M438" s="1">
        <f>0</f>
        <v>0</v>
      </c>
      <c r="N438" s="1">
        <f>0</f>
        <v>0</v>
      </c>
      <c r="O438" s="1">
        <f>0</f>
        <v>0</v>
      </c>
      <c r="P438" s="1"/>
      <c r="Q438" s="1">
        <v>0</v>
      </c>
      <c r="R438" s="1">
        <v>0</v>
      </c>
      <c r="S438" s="1">
        <f>0</f>
        <v>0</v>
      </c>
      <c r="T438" s="1">
        <f>0</f>
        <v>0</v>
      </c>
      <c r="U438" s="1"/>
      <c r="V438" s="1">
        <v>0</v>
      </c>
      <c r="W438" s="1">
        <v>0</v>
      </c>
      <c r="X438" s="1">
        <f>0</f>
        <v>0</v>
      </c>
      <c r="Y438" s="1">
        <f>0</f>
        <v>0</v>
      </c>
      <c r="Z438" s="1">
        <f>0</f>
        <v>0</v>
      </c>
      <c r="AA438" s="1"/>
      <c r="AB438" s="5"/>
      <c r="AC438" s="5"/>
      <c r="AD438" s="1">
        <f>0</f>
        <v>0</v>
      </c>
      <c r="AE438" s="1">
        <f>0</f>
        <v>0</v>
      </c>
      <c r="AF438" s="1">
        <f>0</f>
        <v>0</v>
      </c>
      <c r="AG438" s="1">
        <f>0</f>
        <v>0</v>
      </c>
      <c r="AH438" s="1">
        <f>0</f>
        <v>0</v>
      </c>
      <c r="AI438" s="1">
        <f>0</f>
        <v>0</v>
      </c>
      <c r="AJ438" s="1"/>
      <c r="AK438" s="1"/>
      <c r="AL438" s="1" t="b">
        <v>1</v>
      </c>
      <c r="AM438" s="1"/>
      <c r="AN438" s="1"/>
      <c r="AO438" s="1"/>
      <c r="AP438" s="1"/>
      <c r="AQ438" s="1"/>
      <c r="AR438" s="1"/>
      <c r="AS438" s="1" t="b">
        <v>1</v>
      </c>
      <c r="AT438" s="1"/>
      <c r="AU438" s="1"/>
      <c r="AV438" s="1"/>
      <c r="AW438" s="1"/>
      <c r="AX438" s="1"/>
      <c r="AY438" s="1"/>
      <c r="AZ438" s="1"/>
    </row>
    <row r="439" spans="1:52" ht="15" customHeight="1" x14ac:dyDescent="0.35">
      <c r="A439" s="1" t="s">
        <v>1649</v>
      </c>
      <c r="B439" s="1" t="s">
        <v>170</v>
      </c>
      <c r="C439" s="1" t="s">
        <v>1149</v>
      </c>
      <c r="D439" s="1" t="s">
        <v>1557</v>
      </c>
      <c r="E439" s="1" t="s">
        <v>1527</v>
      </c>
      <c r="F439" s="9" t="s">
        <v>1650</v>
      </c>
      <c r="G439" s="1" t="s">
        <v>38</v>
      </c>
      <c r="H4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39" s="11">
        <f>0</f>
        <v>0</v>
      </c>
      <c r="J439" s="1">
        <f>0</f>
        <v>0</v>
      </c>
      <c r="K439" s="1"/>
      <c r="L439" s="1">
        <v>0</v>
      </c>
      <c r="M439" s="1">
        <f>0</f>
        <v>0</v>
      </c>
      <c r="N439" s="1">
        <f>0</f>
        <v>0</v>
      </c>
      <c r="O439" s="1">
        <f>0</f>
        <v>0</v>
      </c>
      <c r="P439" s="1"/>
      <c r="Q439" s="1">
        <v>0</v>
      </c>
      <c r="R439" s="1">
        <v>0</v>
      </c>
      <c r="S439" s="1">
        <f>0</f>
        <v>0</v>
      </c>
      <c r="T439" s="1">
        <f>0</f>
        <v>0</v>
      </c>
      <c r="U439" s="1"/>
      <c r="V439" s="1">
        <v>0</v>
      </c>
      <c r="W439" s="1">
        <v>0</v>
      </c>
      <c r="X439" s="1">
        <f>0</f>
        <v>0</v>
      </c>
      <c r="Y439" s="1">
        <f>0</f>
        <v>0</v>
      </c>
      <c r="Z439" s="1">
        <f>0</f>
        <v>0</v>
      </c>
      <c r="AA439" s="1"/>
      <c r="AB439" s="5"/>
      <c r="AC439" s="5"/>
      <c r="AD439" s="1">
        <f>0</f>
        <v>0</v>
      </c>
      <c r="AE439" s="1">
        <f>0</f>
        <v>0</v>
      </c>
      <c r="AF439" s="1">
        <f>0</f>
        <v>0</v>
      </c>
      <c r="AG439" s="1">
        <f>0</f>
        <v>0</v>
      </c>
      <c r="AH439" s="1">
        <f>0</f>
        <v>0</v>
      </c>
      <c r="AI439" s="1">
        <f>0</f>
        <v>0</v>
      </c>
      <c r="AJ439" s="1"/>
      <c r="AK439" s="1"/>
      <c r="AL439" s="1"/>
      <c r="AM439" s="1"/>
      <c r="AN439" s="1"/>
      <c r="AO439" s="1"/>
      <c r="AP439" s="1"/>
      <c r="AQ439" s="1"/>
      <c r="AR439" s="1"/>
      <c r="AS439" s="1" t="b">
        <v>1</v>
      </c>
      <c r="AT439" s="1"/>
      <c r="AU439" s="1"/>
      <c r="AV439" s="1"/>
      <c r="AW439" s="1"/>
      <c r="AX439" s="1"/>
      <c r="AY439" s="1"/>
      <c r="AZ439" s="1"/>
    </row>
    <row r="440" spans="1:52" ht="15" customHeight="1" x14ac:dyDescent="0.35">
      <c r="A440" s="1" t="s">
        <v>1651</v>
      </c>
      <c r="B440" s="1" t="s">
        <v>171</v>
      </c>
      <c r="C440" s="1" t="s">
        <v>1149</v>
      </c>
      <c r="D440" s="1" t="s">
        <v>1523</v>
      </c>
      <c r="E440" s="1" t="s">
        <v>1537</v>
      </c>
      <c r="F440" s="9" t="s">
        <v>1652</v>
      </c>
      <c r="G440" s="1" t="s">
        <v>38</v>
      </c>
      <c r="H4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0" s="11">
        <f>0</f>
        <v>0</v>
      </c>
      <c r="J440" s="1">
        <f>0</f>
        <v>0</v>
      </c>
      <c r="K440" s="1"/>
      <c r="L440" s="1">
        <v>0</v>
      </c>
      <c r="M440" s="1">
        <f>0</f>
        <v>0</v>
      </c>
      <c r="N440" s="1">
        <f>0</f>
        <v>0</v>
      </c>
      <c r="O440" s="1">
        <f>0</f>
        <v>0</v>
      </c>
      <c r="P440" s="1"/>
      <c r="Q440" s="1">
        <v>0</v>
      </c>
      <c r="R440" s="1">
        <v>0</v>
      </c>
      <c r="S440" s="1">
        <f>0</f>
        <v>0</v>
      </c>
      <c r="T440" s="1">
        <f>0</f>
        <v>0</v>
      </c>
      <c r="U440" s="1"/>
      <c r="V440" s="1">
        <v>0</v>
      </c>
      <c r="W440" s="1">
        <v>0</v>
      </c>
      <c r="X440" s="1">
        <f>0</f>
        <v>0</v>
      </c>
      <c r="Y440" s="1">
        <f>0</f>
        <v>0</v>
      </c>
      <c r="Z440" s="1">
        <f>0</f>
        <v>0</v>
      </c>
      <c r="AA440" s="1"/>
      <c r="AB440" s="5"/>
      <c r="AC440" s="5"/>
      <c r="AD440" s="1">
        <f>0</f>
        <v>0</v>
      </c>
      <c r="AE440" s="1">
        <f>0</f>
        <v>0</v>
      </c>
      <c r="AF440" s="1">
        <f>0</f>
        <v>0</v>
      </c>
      <c r="AG440" s="1">
        <f>0</f>
        <v>0</v>
      </c>
      <c r="AH440" s="1">
        <f>0</f>
        <v>0</v>
      </c>
      <c r="AI440" s="1">
        <f>0</f>
        <v>0</v>
      </c>
      <c r="AJ440" s="1"/>
      <c r="AK440" s="1"/>
      <c r="AL440" s="1"/>
      <c r="AM440" s="1"/>
      <c r="AN440" s="1"/>
      <c r="AO440" s="1"/>
      <c r="AP440" s="1"/>
      <c r="AQ440" s="1"/>
      <c r="AR440" s="1"/>
      <c r="AS440" s="1" t="b">
        <v>1</v>
      </c>
      <c r="AT440" s="1"/>
      <c r="AU440" s="1"/>
      <c r="AV440" s="1"/>
      <c r="AW440" s="1"/>
      <c r="AX440" s="1"/>
      <c r="AY440" s="1"/>
      <c r="AZ440" s="1"/>
    </row>
    <row r="441" spans="1:52" ht="15" customHeight="1" x14ac:dyDescent="0.35">
      <c r="A441" s="1" t="s">
        <v>1653</v>
      </c>
      <c r="B441" s="1" t="s">
        <v>172</v>
      </c>
      <c r="C441" s="1" t="s">
        <v>680</v>
      </c>
      <c r="D441" s="1" t="s">
        <v>1551</v>
      </c>
      <c r="E441" s="1" t="s">
        <v>1545</v>
      </c>
      <c r="F441" s="9" t="s">
        <v>1654</v>
      </c>
      <c r="G441" s="1" t="s">
        <v>38</v>
      </c>
      <c r="H4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1" s="11">
        <f>0</f>
        <v>0</v>
      </c>
      <c r="J441" s="1">
        <f>0</f>
        <v>0</v>
      </c>
      <c r="K441" s="1"/>
      <c r="L441" s="1">
        <v>0</v>
      </c>
      <c r="M441" s="1">
        <f>0</f>
        <v>0</v>
      </c>
      <c r="N441" s="1">
        <f>0</f>
        <v>0</v>
      </c>
      <c r="O441" s="1">
        <f>0</f>
        <v>0</v>
      </c>
      <c r="P441" s="1"/>
      <c r="Q441" s="1">
        <v>0</v>
      </c>
      <c r="R441" s="1">
        <v>0</v>
      </c>
      <c r="S441" s="1">
        <f>0</f>
        <v>0</v>
      </c>
      <c r="T441" s="1">
        <f>0</f>
        <v>0</v>
      </c>
      <c r="U441" s="1"/>
      <c r="V441" s="1">
        <v>0</v>
      </c>
      <c r="W441" s="1">
        <v>0</v>
      </c>
      <c r="X441" s="1">
        <f>0</f>
        <v>0</v>
      </c>
      <c r="Y441" s="1">
        <f>0</f>
        <v>0</v>
      </c>
      <c r="Z441" s="1">
        <f>0</f>
        <v>0</v>
      </c>
      <c r="AA441" s="1"/>
      <c r="AB441" s="5"/>
      <c r="AC441" s="5"/>
      <c r="AD441" s="1">
        <f>0</f>
        <v>0</v>
      </c>
      <c r="AE441" s="1">
        <f>0</f>
        <v>0</v>
      </c>
      <c r="AF441" s="1">
        <f>0</f>
        <v>0</v>
      </c>
      <c r="AG441" s="1">
        <f>0</f>
        <v>0</v>
      </c>
      <c r="AH441" s="1">
        <f>0</f>
        <v>0</v>
      </c>
      <c r="AI441" s="1">
        <f>0</f>
        <v>0</v>
      </c>
      <c r="AJ441" s="1"/>
      <c r="AK441" s="1"/>
      <c r="AL441" s="1"/>
      <c r="AM441" s="1"/>
      <c r="AN441" s="1"/>
      <c r="AO441" s="1"/>
      <c r="AP441" s="1"/>
      <c r="AQ441" s="1"/>
      <c r="AR441" s="1"/>
      <c r="AS441" s="1" t="b">
        <v>1</v>
      </c>
      <c r="AT441" s="1"/>
      <c r="AU441" s="1"/>
      <c r="AV441" s="1"/>
      <c r="AW441" s="1"/>
      <c r="AX441" s="1"/>
      <c r="AY441" s="1"/>
      <c r="AZ441" s="1"/>
    </row>
    <row r="442" spans="1:52" ht="15" customHeight="1" x14ac:dyDescent="0.35">
      <c r="A442" s="1" t="s">
        <v>1655</v>
      </c>
      <c r="B442" s="1" t="s">
        <v>173</v>
      </c>
      <c r="C442" s="1" t="s">
        <v>821</v>
      </c>
      <c r="D442" s="1" t="s">
        <v>1557</v>
      </c>
      <c r="E442" s="1" t="s">
        <v>1326</v>
      </c>
      <c r="F442" s="9" t="s">
        <v>1656</v>
      </c>
      <c r="G442" s="1" t="s">
        <v>38</v>
      </c>
      <c r="H4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2" s="11" t="e">
        <f>ABS(NETWORKDAYS.INTL("7/3/2024", "08/05/24", 1, {"01/01/2024","01/15/2024","02/19/2024","05/27/2024","07/04/2024","09/02/2024","10/14/2024","11/11/2024","11/28/2024","12/25/2024","12/25/2024","12/26/2024","12/27/2024","12/28/2024","12/29/2024","12/30/2024","31/25/2024","01/01/2024","01/02/2024","01/03/2024","01/04/2024","01/05/2024"}))</f>
        <v>#VALUE!</v>
      </c>
      <c r="J442" s="1">
        <f>0</f>
        <v>0</v>
      </c>
      <c r="K442" s="1"/>
      <c r="L442" s="1">
        <v>0</v>
      </c>
      <c r="M442" s="1">
        <f>0</f>
        <v>0</v>
      </c>
      <c r="N442" s="1">
        <f>0</f>
        <v>0</v>
      </c>
      <c r="O442" s="1">
        <f>0</f>
        <v>0</v>
      </c>
      <c r="P442" s="1"/>
      <c r="Q442" s="1">
        <v>0</v>
      </c>
      <c r="R442" s="1">
        <v>0</v>
      </c>
      <c r="S442" s="1">
        <f>0</f>
        <v>0</v>
      </c>
      <c r="T442" s="1">
        <f>0</f>
        <v>0</v>
      </c>
      <c r="U442" s="1"/>
      <c r="V442" s="1">
        <v>0</v>
      </c>
      <c r="W442" s="1">
        <v>0</v>
      </c>
      <c r="X442" s="1">
        <f>0</f>
        <v>0</v>
      </c>
      <c r="Y442" s="1">
        <f>0</f>
        <v>0</v>
      </c>
      <c r="Z442" s="1">
        <f>0</f>
        <v>0</v>
      </c>
      <c r="AA442" s="1"/>
      <c r="AB442" s="5"/>
      <c r="AC442" s="5"/>
      <c r="AD442" s="1">
        <f>0</f>
        <v>0</v>
      </c>
      <c r="AE442" s="1">
        <f>0</f>
        <v>0</v>
      </c>
      <c r="AF442" s="1">
        <f>0</f>
        <v>0</v>
      </c>
      <c r="AG442" s="1">
        <f>0</f>
        <v>0</v>
      </c>
      <c r="AH442" s="1">
        <f>0</f>
        <v>0</v>
      </c>
      <c r="AI442" s="1">
        <f>0</f>
        <v>0</v>
      </c>
      <c r="AJ442" s="1"/>
      <c r="AK442" s="1"/>
      <c r="AL442" s="1"/>
      <c r="AM442" s="1"/>
      <c r="AN442" s="1"/>
      <c r="AO442" s="1"/>
      <c r="AP442" s="1"/>
      <c r="AQ442" s="1"/>
      <c r="AR442" s="1"/>
      <c r="AS442" s="1" t="b">
        <v>1</v>
      </c>
      <c r="AT442" s="1"/>
      <c r="AU442" s="1"/>
      <c r="AV442" s="1"/>
      <c r="AW442" s="1"/>
      <c r="AX442" s="1"/>
      <c r="AY442" s="1"/>
      <c r="AZ442" s="1"/>
    </row>
    <row r="443" spans="1:52" ht="15" customHeight="1" x14ac:dyDescent="0.35">
      <c r="A443" s="1" t="s">
        <v>1657</v>
      </c>
      <c r="B443" s="1" t="s">
        <v>174</v>
      </c>
      <c r="C443" s="1" t="s">
        <v>821</v>
      </c>
      <c r="D443" s="1" t="s">
        <v>1557</v>
      </c>
      <c r="E443" s="1" t="s">
        <v>1537</v>
      </c>
      <c r="F443" s="9" t="s">
        <v>1658</v>
      </c>
      <c r="G443" s="1" t="s">
        <v>38</v>
      </c>
      <c r="H4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3" s="11" t="e">
        <f>ABS(NETWORKDAYS.INTL("7/3/2024", "08/05/24", 1, {"01/01/2024","01/15/2024","02/19/2024","05/27/2024","07/04/2024","09/02/2024","10/14/2024","11/11/2024","11/28/2024","12/25/2024","12/25/2024","12/26/2024","12/27/2024","12/28/2024","12/29/2024","12/30/2024","31/25/2024","01/01/2024","01/02/2024","01/03/2024","01/04/2024","01/05/2024"}))</f>
        <v>#VALUE!</v>
      </c>
      <c r="J443" s="1">
        <f>0</f>
        <v>0</v>
      </c>
      <c r="K443" s="1"/>
      <c r="L443" s="1">
        <v>0</v>
      </c>
      <c r="M443" s="1">
        <f>0</f>
        <v>0</v>
      </c>
      <c r="N443" s="1">
        <f>0</f>
        <v>0</v>
      </c>
      <c r="O443" s="1">
        <f>0</f>
        <v>0</v>
      </c>
      <c r="P443" s="1"/>
      <c r="Q443" s="1">
        <v>0</v>
      </c>
      <c r="R443" s="1">
        <v>0</v>
      </c>
      <c r="S443" s="1">
        <f>0</f>
        <v>0</v>
      </c>
      <c r="T443" s="1">
        <f>0</f>
        <v>0</v>
      </c>
      <c r="U443" s="1"/>
      <c r="V443" s="1">
        <v>0</v>
      </c>
      <c r="W443" s="1">
        <v>0</v>
      </c>
      <c r="X443" s="1">
        <f>0</f>
        <v>0</v>
      </c>
      <c r="Y443" s="1">
        <f>0</f>
        <v>0</v>
      </c>
      <c r="Z443" s="1">
        <f>0</f>
        <v>0</v>
      </c>
      <c r="AA443" s="1"/>
      <c r="AB443" s="5"/>
      <c r="AC443" s="5"/>
      <c r="AD443" s="1">
        <f>0</f>
        <v>0</v>
      </c>
      <c r="AE443" s="1">
        <f>0</f>
        <v>0</v>
      </c>
      <c r="AF443" s="1">
        <f>0</f>
        <v>0</v>
      </c>
      <c r="AG443" s="1">
        <f>0</f>
        <v>0</v>
      </c>
      <c r="AH443" s="1">
        <f>0</f>
        <v>0</v>
      </c>
      <c r="AI443" s="1">
        <f>0</f>
        <v>0</v>
      </c>
      <c r="AJ443" s="1"/>
      <c r="AK443" s="1"/>
      <c r="AL443" s="1"/>
      <c r="AM443" s="1"/>
      <c r="AN443" s="1"/>
      <c r="AO443" s="1"/>
      <c r="AP443" s="1"/>
      <c r="AQ443" s="1"/>
      <c r="AR443" s="1"/>
      <c r="AS443" s="1" t="b">
        <v>1</v>
      </c>
      <c r="AT443" s="1"/>
      <c r="AU443" s="1"/>
      <c r="AV443" s="1"/>
      <c r="AW443" s="1"/>
      <c r="AX443" s="1"/>
      <c r="AY443" s="1"/>
      <c r="AZ443" s="1"/>
    </row>
    <row r="444" spans="1:52" ht="15" customHeight="1" x14ac:dyDescent="0.35">
      <c r="A444" s="1" t="s">
        <v>1659</v>
      </c>
      <c r="B444" s="1" t="s">
        <v>175</v>
      </c>
      <c r="C444" s="1" t="s">
        <v>680</v>
      </c>
      <c r="D444" s="1" t="s">
        <v>1660</v>
      </c>
      <c r="E444" s="1" t="s">
        <v>1545</v>
      </c>
      <c r="F444" s="9" t="s">
        <v>1661</v>
      </c>
      <c r="G444" s="1" t="s">
        <v>38</v>
      </c>
      <c r="H4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4" s="11">
        <f>0</f>
        <v>0</v>
      </c>
      <c r="J444" s="1">
        <f>0</f>
        <v>0</v>
      </c>
      <c r="K444" s="1"/>
      <c r="L444" s="1">
        <v>0</v>
      </c>
      <c r="M444" s="1">
        <f>0</f>
        <v>0</v>
      </c>
      <c r="N444" s="1">
        <f>0</f>
        <v>0</v>
      </c>
      <c r="O444" s="1">
        <f>0</f>
        <v>0</v>
      </c>
      <c r="P444" s="1"/>
      <c r="Q444" s="1">
        <v>0</v>
      </c>
      <c r="R444" s="1">
        <v>0</v>
      </c>
      <c r="S444" s="1">
        <f>0</f>
        <v>0</v>
      </c>
      <c r="T444" s="1">
        <f>0</f>
        <v>0</v>
      </c>
      <c r="U444" s="1"/>
      <c r="V444" s="1">
        <v>0</v>
      </c>
      <c r="W444" s="1">
        <v>0</v>
      </c>
      <c r="X444" s="1">
        <f>0</f>
        <v>0</v>
      </c>
      <c r="Y444" s="1">
        <f>0</f>
        <v>0</v>
      </c>
      <c r="Z444" s="1">
        <f>0</f>
        <v>0</v>
      </c>
      <c r="AA444" s="1"/>
      <c r="AB444" s="5"/>
      <c r="AC444" s="5"/>
      <c r="AD444" s="1">
        <f>0</f>
        <v>0</v>
      </c>
      <c r="AE444" s="1">
        <f>0</f>
        <v>0</v>
      </c>
      <c r="AF444" s="1">
        <f>0</f>
        <v>0</v>
      </c>
      <c r="AG444" s="1">
        <f>0</f>
        <v>0</v>
      </c>
      <c r="AH444" s="1">
        <f>0</f>
        <v>0</v>
      </c>
      <c r="AI444" s="1">
        <f>0</f>
        <v>0</v>
      </c>
      <c r="AJ444" s="1"/>
      <c r="AK444" s="1"/>
      <c r="AL444" s="1"/>
      <c r="AM444" s="1"/>
      <c r="AN444" s="1"/>
      <c r="AO444" s="1"/>
      <c r="AP444" s="1"/>
      <c r="AQ444" s="1"/>
      <c r="AR444" s="1"/>
      <c r="AS444" s="1" t="b">
        <v>1</v>
      </c>
      <c r="AT444" s="1"/>
      <c r="AU444" s="1"/>
      <c r="AV444" s="1"/>
      <c r="AW444" s="1"/>
      <c r="AX444" s="1"/>
      <c r="AY444" s="1"/>
      <c r="AZ444" s="1"/>
    </row>
    <row r="445" spans="1:52" ht="15" customHeight="1" x14ac:dyDescent="0.35">
      <c r="A445" s="1" t="s">
        <v>1662</v>
      </c>
      <c r="B445" s="1" t="s">
        <v>176</v>
      </c>
      <c r="C445" s="1" t="s">
        <v>816</v>
      </c>
      <c r="D445" s="1" t="s">
        <v>1660</v>
      </c>
      <c r="E445" s="1" t="s">
        <v>1537</v>
      </c>
      <c r="F445" s="9" t="s">
        <v>1663</v>
      </c>
      <c r="G445" s="1" t="s">
        <v>38</v>
      </c>
      <c r="H4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45" s="11" t="e">
        <f>ABS(NETWORKDAYS.INTL("05/06/24", "07/19/24", 1, {"01/01/2024","01/15/2024","02/19/2024","05/27/2024","07/04/2024","09/02/2024","10/14/2024","11/11/2024","11/28/2024","12/25/2024","12/25/2024","12/26/2024","12/27/2024","12/28/2024","12/29/2024","12/30/2024","31/25/2024","01/01/2024","01/02/2024","01/03/2024","01/04/2024","01/05/2024"}))</f>
        <v>#VALUE!</v>
      </c>
      <c r="J445" s="1">
        <f>0</f>
        <v>0</v>
      </c>
      <c r="K445" s="1"/>
      <c r="L445" s="1">
        <v>0</v>
      </c>
      <c r="M445" s="1">
        <f>0</f>
        <v>0</v>
      </c>
      <c r="N445" s="1">
        <f>0</f>
        <v>0</v>
      </c>
      <c r="O445" s="1">
        <f>0</f>
        <v>0</v>
      </c>
      <c r="P445" s="1"/>
      <c r="Q445" s="1">
        <v>0</v>
      </c>
      <c r="R445" s="1">
        <v>0</v>
      </c>
      <c r="S445" s="1">
        <f>0</f>
        <v>0</v>
      </c>
      <c r="T445" s="1">
        <f>0</f>
        <v>0</v>
      </c>
      <c r="U445" s="1"/>
      <c r="V445" s="1">
        <v>0</v>
      </c>
      <c r="W445" s="1">
        <v>0</v>
      </c>
      <c r="X445" s="1">
        <f>0</f>
        <v>0</v>
      </c>
      <c r="Y445" s="1">
        <f>0</f>
        <v>0</v>
      </c>
      <c r="Z445" s="1">
        <f>0</f>
        <v>0</v>
      </c>
      <c r="AA445" s="1"/>
      <c r="AB445" s="5"/>
      <c r="AC445" s="5"/>
      <c r="AD445" s="1">
        <f>0</f>
        <v>0</v>
      </c>
      <c r="AE445" s="1">
        <f>0</f>
        <v>0</v>
      </c>
      <c r="AF445" s="1">
        <f>0</f>
        <v>0</v>
      </c>
      <c r="AG445" s="1">
        <f>0</f>
        <v>0</v>
      </c>
      <c r="AH445" s="1">
        <f>0</f>
        <v>0</v>
      </c>
      <c r="AI445" s="1">
        <f>0</f>
        <v>0</v>
      </c>
      <c r="AJ445" s="1"/>
      <c r="AK445" s="1"/>
      <c r="AL445" s="1"/>
      <c r="AM445" s="1"/>
      <c r="AN445" s="1"/>
      <c r="AO445" s="1"/>
      <c r="AP445" s="1"/>
      <c r="AQ445" s="1"/>
      <c r="AR445" s="1"/>
      <c r="AS445" s="1" t="b">
        <v>1</v>
      </c>
      <c r="AT445" s="1"/>
      <c r="AU445" s="1"/>
      <c r="AV445" s="1"/>
      <c r="AW445" s="1"/>
      <c r="AX445" s="1"/>
      <c r="AY445" s="1"/>
      <c r="AZ445" s="1"/>
    </row>
    <row r="446" spans="1:52" ht="15" customHeight="1" x14ac:dyDescent="0.35">
      <c r="A446" s="1" t="s">
        <v>1664</v>
      </c>
      <c r="B446" s="1" t="s">
        <v>177</v>
      </c>
      <c r="C446" s="1" t="s">
        <v>1149</v>
      </c>
      <c r="D446" s="1" t="s">
        <v>1523</v>
      </c>
      <c r="E446" s="1" t="s">
        <v>1537</v>
      </c>
      <c r="F446" s="9" t="s">
        <v>1665</v>
      </c>
      <c r="G446" s="1" t="s">
        <v>38</v>
      </c>
      <c r="H4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46" s="11">
        <f>0</f>
        <v>0</v>
      </c>
      <c r="J446" s="1">
        <f>0</f>
        <v>0</v>
      </c>
      <c r="K446" s="1"/>
      <c r="L446" s="1">
        <v>0</v>
      </c>
      <c r="M446" s="1">
        <f>0</f>
        <v>0</v>
      </c>
      <c r="N446" s="1">
        <f>0</f>
        <v>0</v>
      </c>
      <c r="O446" s="1">
        <f>0</f>
        <v>0</v>
      </c>
      <c r="P446" s="1"/>
      <c r="Q446" s="1">
        <v>0</v>
      </c>
      <c r="R446" s="1">
        <v>0</v>
      </c>
      <c r="S446" s="1">
        <f>0</f>
        <v>0</v>
      </c>
      <c r="T446" s="1">
        <f>0</f>
        <v>0</v>
      </c>
      <c r="U446" s="1"/>
      <c r="V446" s="1">
        <v>0</v>
      </c>
      <c r="W446" s="1">
        <v>0</v>
      </c>
      <c r="X446" s="1">
        <f>0</f>
        <v>0</v>
      </c>
      <c r="Y446" s="1">
        <f>0</f>
        <v>0</v>
      </c>
      <c r="Z446" s="1">
        <f>0</f>
        <v>0</v>
      </c>
      <c r="AA446" s="1"/>
      <c r="AB446" s="5"/>
      <c r="AC446" s="5"/>
      <c r="AD446" s="1">
        <f>0</f>
        <v>0</v>
      </c>
      <c r="AE446" s="1">
        <f>0</f>
        <v>0</v>
      </c>
      <c r="AF446" s="1">
        <f>0</f>
        <v>0</v>
      </c>
      <c r="AG446" s="1">
        <f>0</f>
        <v>0</v>
      </c>
      <c r="AH446" s="1">
        <f>0</f>
        <v>0</v>
      </c>
      <c r="AI446" s="1">
        <f>0</f>
        <v>0</v>
      </c>
      <c r="AJ446" s="1"/>
      <c r="AK446" s="1"/>
      <c r="AL446" s="1"/>
      <c r="AM446" s="1"/>
      <c r="AN446" s="1"/>
      <c r="AO446" s="1"/>
      <c r="AP446" s="1"/>
      <c r="AQ446" s="1"/>
      <c r="AR446" s="1"/>
      <c r="AS446" s="1" t="b">
        <v>1</v>
      </c>
      <c r="AT446" s="1"/>
      <c r="AU446" s="1"/>
      <c r="AV446" s="1"/>
      <c r="AW446" s="1"/>
      <c r="AX446" s="1"/>
      <c r="AY446" s="1"/>
      <c r="AZ446" s="1"/>
    </row>
    <row r="447" spans="1:52" ht="15" customHeight="1" x14ac:dyDescent="0.35">
      <c r="A447" s="1" t="s">
        <v>1666</v>
      </c>
      <c r="B447" s="1" t="s">
        <v>178</v>
      </c>
      <c r="C447" s="1" t="s">
        <v>640</v>
      </c>
      <c r="D447" s="1" t="s">
        <v>1533</v>
      </c>
      <c r="E447" s="1" t="s">
        <v>1326</v>
      </c>
      <c r="F447" s="9" t="s">
        <v>1667</v>
      </c>
      <c r="G447" s="1" t="s">
        <v>38</v>
      </c>
      <c r="H4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7" s="11">
        <f>0</f>
        <v>0</v>
      </c>
      <c r="J447" s="1">
        <f>0</f>
        <v>0</v>
      </c>
      <c r="K447" s="1"/>
      <c r="L447" s="1">
        <v>0</v>
      </c>
      <c r="M447" s="1">
        <f>0</f>
        <v>0</v>
      </c>
      <c r="N447" s="1">
        <f>0</f>
        <v>0</v>
      </c>
      <c r="O447" s="1">
        <f>0</f>
        <v>0</v>
      </c>
      <c r="P447" s="1"/>
      <c r="Q447" s="1">
        <v>0</v>
      </c>
      <c r="R447" s="1">
        <v>0</v>
      </c>
      <c r="S447" s="1">
        <f>0</f>
        <v>0</v>
      </c>
      <c r="T447" s="1">
        <f>0</f>
        <v>0</v>
      </c>
      <c r="U447" s="1"/>
      <c r="V447" s="1">
        <v>0</v>
      </c>
      <c r="W447" s="1">
        <v>0</v>
      </c>
      <c r="X447" s="1">
        <f>0</f>
        <v>0</v>
      </c>
      <c r="Y447" s="1">
        <f>0</f>
        <v>0</v>
      </c>
      <c r="Z447" s="1">
        <f>0</f>
        <v>0</v>
      </c>
      <c r="AA447" s="1"/>
      <c r="AB447" s="5"/>
      <c r="AC447" s="5"/>
      <c r="AD447" s="1">
        <f>0</f>
        <v>0</v>
      </c>
      <c r="AE447" s="1">
        <f>0</f>
        <v>0</v>
      </c>
      <c r="AF447" s="1">
        <f>0</f>
        <v>0</v>
      </c>
      <c r="AG447" s="1">
        <f>0</f>
        <v>0</v>
      </c>
      <c r="AH447" s="1">
        <f>0</f>
        <v>0</v>
      </c>
      <c r="AI447" s="1">
        <f>0</f>
        <v>0</v>
      </c>
      <c r="AJ447" s="1"/>
      <c r="AK447" s="1"/>
      <c r="AL447" s="1"/>
      <c r="AM447" s="1"/>
      <c r="AN447" s="1"/>
      <c r="AO447" s="1"/>
      <c r="AP447" s="1"/>
      <c r="AQ447" s="1"/>
      <c r="AR447" s="1"/>
      <c r="AS447" s="1" t="b">
        <v>1</v>
      </c>
      <c r="AT447" s="1"/>
      <c r="AU447" s="1"/>
      <c r="AV447" s="1"/>
      <c r="AW447" s="1"/>
      <c r="AX447" s="1"/>
      <c r="AY447" s="1"/>
      <c r="AZ447" s="1"/>
    </row>
    <row r="448" spans="1:52" ht="15" customHeight="1" x14ac:dyDescent="0.35">
      <c r="A448" s="1" t="s">
        <v>1668</v>
      </c>
      <c r="B448" s="1" t="s">
        <v>179</v>
      </c>
      <c r="C448" s="1" t="s">
        <v>640</v>
      </c>
      <c r="D448" s="1" t="s">
        <v>1533</v>
      </c>
      <c r="E448" s="1" t="s">
        <v>1326</v>
      </c>
      <c r="F448" s="9" t="s">
        <v>1669</v>
      </c>
      <c r="G448" s="1" t="s">
        <v>38</v>
      </c>
      <c r="H4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8" s="11">
        <f>0</f>
        <v>0</v>
      </c>
      <c r="J448" s="1">
        <f>0</f>
        <v>0</v>
      </c>
      <c r="K448" s="1"/>
      <c r="L448" s="1">
        <v>0</v>
      </c>
      <c r="M448" s="1">
        <f>0</f>
        <v>0</v>
      </c>
      <c r="N448" s="1">
        <f>0</f>
        <v>0</v>
      </c>
      <c r="O448" s="1">
        <f>0</f>
        <v>0</v>
      </c>
      <c r="P448" s="1"/>
      <c r="Q448" s="1">
        <v>0</v>
      </c>
      <c r="R448" s="1">
        <v>0</v>
      </c>
      <c r="S448" s="1">
        <f>0</f>
        <v>0</v>
      </c>
      <c r="T448" s="1">
        <f>0</f>
        <v>0</v>
      </c>
      <c r="U448" s="1"/>
      <c r="V448" s="1">
        <v>0</v>
      </c>
      <c r="W448" s="1">
        <v>0</v>
      </c>
      <c r="X448" s="1">
        <f>0</f>
        <v>0</v>
      </c>
      <c r="Y448" s="1">
        <f>0</f>
        <v>0</v>
      </c>
      <c r="Z448" s="1">
        <f>0</f>
        <v>0</v>
      </c>
      <c r="AA448" s="1"/>
      <c r="AB448" s="5"/>
      <c r="AC448" s="5"/>
      <c r="AD448" s="1">
        <f>0</f>
        <v>0</v>
      </c>
      <c r="AE448" s="1">
        <f>0</f>
        <v>0</v>
      </c>
      <c r="AF448" s="1">
        <f>0</f>
        <v>0</v>
      </c>
      <c r="AG448" s="1">
        <f>0</f>
        <v>0</v>
      </c>
      <c r="AH448" s="1">
        <f>0</f>
        <v>0</v>
      </c>
      <c r="AI448" s="1">
        <f>0</f>
        <v>0</v>
      </c>
      <c r="AJ448" s="1"/>
      <c r="AK448" s="1"/>
      <c r="AL448" s="1"/>
      <c r="AM448" s="1"/>
      <c r="AN448" s="1"/>
      <c r="AO448" s="1"/>
      <c r="AP448" s="1"/>
      <c r="AQ448" s="1"/>
      <c r="AR448" s="1"/>
      <c r="AS448" s="1" t="b">
        <v>1</v>
      </c>
      <c r="AT448" s="1"/>
      <c r="AU448" s="1"/>
      <c r="AV448" s="1"/>
      <c r="AW448" s="1"/>
      <c r="AX448" s="1"/>
      <c r="AY448" s="1"/>
      <c r="AZ448" s="1"/>
    </row>
    <row r="449" spans="1:52" ht="15" customHeight="1" x14ac:dyDescent="0.35">
      <c r="A449" s="1" t="s">
        <v>1670</v>
      </c>
      <c r="B449" s="1" t="s">
        <v>180</v>
      </c>
      <c r="C449" s="1" t="s">
        <v>640</v>
      </c>
      <c r="D449" s="1"/>
      <c r="E449" s="1" t="s">
        <v>1326</v>
      </c>
      <c r="F449" s="9" t="s">
        <v>1671</v>
      </c>
      <c r="G449" s="1" t="s">
        <v>38</v>
      </c>
      <c r="H4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49" s="11">
        <f>0</f>
        <v>0</v>
      </c>
      <c r="J449" s="1">
        <f>0</f>
        <v>0</v>
      </c>
      <c r="K449" s="1"/>
      <c r="L449" s="1">
        <v>0</v>
      </c>
      <c r="M449" s="1">
        <f>0</f>
        <v>0</v>
      </c>
      <c r="N449" s="1">
        <f>0</f>
        <v>0</v>
      </c>
      <c r="O449" s="1">
        <f>0</f>
        <v>0</v>
      </c>
      <c r="P449" s="1"/>
      <c r="Q449" s="1">
        <v>0</v>
      </c>
      <c r="R449" s="1">
        <v>0</v>
      </c>
      <c r="S449" s="1">
        <f>0</f>
        <v>0</v>
      </c>
      <c r="T449" s="1">
        <f>0</f>
        <v>0</v>
      </c>
      <c r="U449" s="1"/>
      <c r="V449" s="1">
        <v>0</v>
      </c>
      <c r="W449" s="1">
        <v>0</v>
      </c>
      <c r="X449" s="1">
        <f>0</f>
        <v>0</v>
      </c>
      <c r="Y449" s="1">
        <f>0</f>
        <v>0</v>
      </c>
      <c r="Z449" s="1">
        <f>0</f>
        <v>0</v>
      </c>
      <c r="AA449" s="1"/>
      <c r="AB449" s="5"/>
      <c r="AC449" s="5"/>
      <c r="AD449" s="1">
        <f>0</f>
        <v>0</v>
      </c>
      <c r="AE449" s="1">
        <f>0</f>
        <v>0</v>
      </c>
      <c r="AF449" s="1">
        <f>0</f>
        <v>0</v>
      </c>
      <c r="AG449" s="1">
        <f>0</f>
        <v>0</v>
      </c>
      <c r="AH449" s="1">
        <f>0</f>
        <v>0</v>
      </c>
      <c r="AI449" s="1">
        <f>0</f>
        <v>0</v>
      </c>
      <c r="AJ449" s="1"/>
      <c r="AK449" s="1"/>
      <c r="AL449" s="1"/>
      <c r="AM449" s="1"/>
      <c r="AN449" s="1"/>
      <c r="AO449" s="1"/>
      <c r="AP449" s="1"/>
      <c r="AQ449" s="1"/>
      <c r="AR449" s="1"/>
      <c r="AS449" s="1" t="b">
        <v>1</v>
      </c>
      <c r="AT449" s="1"/>
      <c r="AU449" s="1"/>
      <c r="AV449" s="1"/>
      <c r="AW449" s="1"/>
      <c r="AX449" s="1"/>
      <c r="AY449" s="1"/>
      <c r="AZ449" s="1"/>
    </row>
    <row r="450" spans="1:52" ht="15" customHeight="1" x14ac:dyDescent="0.35">
      <c r="A450" s="1" t="s">
        <v>1672</v>
      </c>
      <c r="B450" s="1" t="s">
        <v>181</v>
      </c>
      <c r="C450" s="1" t="s">
        <v>640</v>
      </c>
      <c r="D450" s="1"/>
      <c r="E450" s="1" t="s">
        <v>1326</v>
      </c>
      <c r="F450" s="9" t="s">
        <v>1673</v>
      </c>
      <c r="G450" s="1" t="s">
        <v>38</v>
      </c>
      <c r="H4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0" s="11">
        <f>0</f>
        <v>0</v>
      </c>
      <c r="J450" s="1">
        <f>0</f>
        <v>0</v>
      </c>
      <c r="K450" s="1"/>
      <c r="L450" s="1">
        <v>0</v>
      </c>
      <c r="M450" s="1">
        <f>0</f>
        <v>0</v>
      </c>
      <c r="N450" s="1">
        <f>0</f>
        <v>0</v>
      </c>
      <c r="O450" s="1">
        <f>0</f>
        <v>0</v>
      </c>
      <c r="P450" s="1"/>
      <c r="Q450" s="1">
        <v>0</v>
      </c>
      <c r="R450" s="1">
        <v>0</v>
      </c>
      <c r="S450" s="1">
        <f>0</f>
        <v>0</v>
      </c>
      <c r="T450" s="1">
        <f>0</f>
        <v>0</v>
      </c>
      <c r="U450" s="1"/>
      <c r="V450" s="1">
        <v>0</v>
      </c>
      <c r="W450" s="1">
        <v>0</v>
      </c>
      <c r="X450" s="1">
        <f>0</f>
        <v>0</v>
      </c>
      <c r="Y450" s="1">
        <f>0</f>
        <v>0</v>
      </c>
      <c r="Z450" s="1">
        <f>0</f>
        <v>0</v>
      </c>
      <c r="AA450" s="1"/>
      <c r="AB450" s="5"/>
      <c r="AC450" s="5"/>
      <c r="AD450" s="1">
        <f>0</f>
        <v>0</v>
      </c>
      <c r="AE450" s="1">
        <f>0</f>
        <v>0</v>
      </c>
      <c r="AF450" s="1">
        <f>0</f>
        <v>0</v>
      </c>
      <c r="AG450" s="1">
        <f>0</f>
        <v>0</v>
      </c>
      <c r="AH450" s="1">
        <f>0</f>
        <v>0</v>
      </c>
      <c r="AI450" s="1">
        <f>0</f>
        <v>0</v>
      </c>
      <c r="AJ450" s="1"/>
      <c r="AK450" s="1"/>
      <c r="AL450" s="1"/>
      <c r="AM450" s="1"/>
      <c r="AN450" s="1"/>
      <c r="AO450" s="1"/>
      <c r="AP450" s="1"/>
      <c r="AQ450" s="1"/>
      <c r="AR450" s="1"/>
      <c r="AS450" s="1" t="b">
        <v>1</v>
      </c>
      <c r="AT450" s="1"/>
      <c r="AU450" s="1"/>
      <c r="AV450" s="1"/>
      <c r="AW450" s="1"/>
      <c r="AX450" s="1"/>
      <c r="AY450" s="1"/>
      <c r="AZ450" s="1"/>
    </row>
    <row r="451" spans="1:52" ht="15" customHeight="1" x14ac:dyDescent="0.35">
      <c r="A451" s="1" t="s">
        <v>1674</v>
      </c>
      <c r="B451" s="1" t="s">
        <v>182</v>
      </c>
      <c r="C451" s="1" t="s">
        <v>640</v>
      </c>
      <c r="D451" s="1"/>
      <c r="E451" s="1" t="s">
        <v>1675</v>
      </c>
      <c r="F451" s="9" t="s">
        <v>1676</v>
      </c>
      <c r="G451" s="1" t="s">
        <v>38</v>
      </c>
      <c r="H4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1" s="11">
        <f>0</f>
        <v>0</v>
      </c>
      <c r="J451" s="1">
        <f>0</f>
        <v>0</v>
      </c>
      <c r="K451" s="1"/>
      <c r="L451" s="1">
        <v>0</v>
      </c>
      <c r="M451" s="1">
        <f>0</f>
        <v>0</v>
      </c>
      <c r="N451" s="1">
        <f>0</f>
        <v>0</v>
      </c>
      <c r="O451" s="1">
        <f>0</f>
        <v>0</v>
      </c>
      <c r="P451" s="1"/>
      <c r="Q451" s="1">
        <v>0</v>
      </c>
      <c r="R451" s="1">
        <v>0</v>
      </c>
      <c r="S451" s="1">
        <f>0</f>
        <v>0</v>
      </c>
      <c r="T451" s="1">
        <f>0</f>
        <v>0</v>
      </c>
      <c r="U451" s="1"/>
      <c r="V451" s="1">
        <v>0</v>
      </c>
      <c r="W451" s="1">
        <v>0</v>
      </c>
      <c r="X451" s="1">
        <f>0</f>
        <v>0</v>
      </c>
      <c r="Y451" s="1">
        <f>0</f>
        <v>0</v>
      </c>
      <c r="Z451" s="1">
        <f>0</f>
        <v>0</v>
      </c>
      <c r="AA451" s="1"/>
      <c r="AB451" s="5"/>
      <c r="AC451" s="5"/>
      <c r="AD451" s="1">
        <f>0</f>
        <v>0</v>
      </c>
      <c r="AE451" s="1">
        <f>0</f>
        <v>0</v>
      </c>
      <c r="AF451" s="1">
        <f>0</f>
        <v>0</v>
      </c>
      <c r="AG451" s="1">
        <f>0</f>
        <v>0</v>
      </c>
      <c r="AH451" s="1">
        <f>0</f>
        <v>0</v>
      </c>
      <c r="AI451" s="1">
        <f>0</f>
        <v>0</v>
      </c>
      <c r="AJ451" s="1" t="b">
        <v>1</v>
      </c>
      <c r="AK451" s="1"/>
      <c r="AL451" s="1"/>
      <c r="AM451" s="1"/>
      <c r="AN451" s="1"/>
      <c r="AO451" s="1"/>
      <c r="AP451" s="1"/>
      <c r="AQ451" s="1"/>
      <c r="AR451" s="1"/>
      <c r="AS451" s="1"/>
      <c r="AT451" s="1" t="b">
        <v>1</v>
      </c>
      <c r="AU451" s="1"/>
      <c r="AV451" s="1"/>
      <c r="AW451" s="1"/>
      <c r="AX451" s="1"/>
      <c r="AY451" s="1" t="b">
        <v>1</v>
      </c>
      <c r="AZ451" s="1"/>
    </row>
    <row r="452" spans="1:52" ht="15" customHeight="1" x14ac:dyDescent="0.35">
      <c r="A452" s="1" t="s">
        <v>1677</v>
      </c>
      <c r="B452" s="1" t="s">
        <v>183</v>
      </c>
      <c r="C452" s="1" t="s">
        <v>821</v>
      </c>
      <c r="D452" s="1" t="s">
        <v>1347</v>
      </c>
      <c r="E452" s="1" t="s">
        <v>1675</v>
      </c>
      <c r="F452" s="9" t="s">
        <v>1678</v>
      </c>
      <c r="G452" s="1" t="s">
        <v>38</v>
      </c>
      <c r="H4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2" s="11" t="e">
        <f>ABS(NETWORKDAYS.INTL("07/31/2024", "08/05/24", 1, {"01/01/2024","01/15/2024","02/19/2024","05/27/2024","07/04/2024","09/02/2024","10/14/2024","11/11/2024","11/28/2024","12/25/2024","12/25/2024","12/26/2024","12/27/2024","12/28/2024","12/29/2024","12/30/2024","31/25/2024","01/01/2024","01/02/2024","01/03/2024","01/04/2024","01/05/2024"}))</f>
        <v>#VALUE!</v>
      </c>
      <c r="J452" s="1">
        <f>0</f>
        <v>0</v>
      </c>
      <c r="K452" s="1"/>
      <c r="L452" s="1">
        <v>0</v>
      </c>
      <c r="M452" s="1">
        <f>0</f>
        <v>0</v>
      </c>
      <c r="N452" s="1">
        <f>0</f>
        <v>0</v>
      </c>
      <c r="O452" s="1">
        <f>0</f>
        <v>0</v>
      </c>
      <c r="P452" s="1"/>
      <c r="Q452" s="1">
        <v>0</v>
      </c>
      <c r="R452" s="1">
        <v>0</v>
      </c>
      <c r="S452" s="1">
        <f>0</f>
        <v>0</v>
      </c>
      <c r="T452" s="1">
        <f>0</f>
        <v>0</v>
      </c>
      <c r="U452" s="1"/>
      <c r="V452" s="1">
        <v>0</v>
      </c>
      <c r="W452" s="1">
        <v>0</v>
      </c>
      <c r="X452" s="1">
        <f>0</f>
        <v>0</v>
      </c>
      <c r="Y452" s="1">
        <f>0</f>
        <v>0</v>
      </c>
      <c r="Z452" s="1">
        <f>0</f>
        <v>0</v>
      </c>
      <c r="AA452" s="1"/>
      <c r="AB452" s="5"/>
      <c r="AC452" s="5"/>
      <c r="AD452" s="1">
        <f>0</f>
        <v>0</v>
      </c>
      <c r="AE452" s="1">
        <f>0</f>
        <v>0</v>
      </c>
      <c r="AF452" s="1">
        <f>0</f>
        <v>0</v>
      </c>
      <c r="AG452" s="1">
        <f>0</f>
        <v>0</v>
      </c>
      <c r="AH452" s="1">
        <f>0</f>
        <v>0</v>
      </c>
      <c r="AI452" s="1">
        <f>0</f>
        <v>0</v>
      </c>
      <c r="AJ452" s="1" t="b">
        <v>1</v>
      </c>
      <c r="AK452" s="1"/>
      <c r="AL452" s="1"/>
      <c r="AM452" s="1"/>
      <c r="AN452" s="1"/>
      <c r="AO452" s="1"/>
      <c r="AP452" s="1"/>
      <c r="AQ452" s="1"/>
      <c r="AR452" s="1"/>
      <c r="AS452" s="1"/>
      <c r="AT452" s="1" t="b">
        <v>1</v>
      </c>
      <c r="AU452" s="1"/>
      <c r="AV452" s="1"/>
      <c r="AW452" s="1"/>
      <c r="AX452" s="1"/>
      <c r="AY452" s="1" t="b">
        <v>1</v>
      </c>
      <c r="AZ452" s="1"/>
    </row>
    <row r="453" spans="1:52" ht="15" customHeight="1" x14ac:dyDescent="0.35">
      <c r="A453" s="1" t="s">
        <v>1679</v>
      </c>
      <c r="B453" s="1" t="s">
        <v>184</v>
      </c>
      <c r="C453" s="1" t="s">
        <v>1149</v>
      </c>
      <c r="D453" s="1" t="s">
        <v>1680</v>
      </c>
      <c r="E453" s="1" t="s">
        <v>1681</v>
      </c>
      <c r="F453" s="9" t="s">
        <v>1682</v>
      </c>
      <c r="G453" s="1" t="s">
        <v>38</v>
      </c>
      <c r="H4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3" s="11" t="e">
        <f>ABS(NETWORKDAYS.INTL("05/22/24", "05/23/24", 1, {"01/01/2024","01/15/2024","02/19/2024","05/27/2024","07/04/2024","09/02/2024","10/14/2024","11/11/2024","11/28/2024","12/25/2024","12/25/2024","12/26/2024","12/27/2024","12/28/2024","12/29/2024","12/30/2024","31/25/2024","01/01/2024","01/02/2024","01/03/2024","01/04/2024","01/05/2024"}))</f>
        <v>#VALUE!</v>
      </c>
      <c r="J453" s="1">
        <f>0</f>
        <v>0</v>
      </c>
      <c r="K453" s="1"/>
      <c r="L453" s="1">
        <v>0</v>
      </c>
      <c r="M453" s="1">
        <f>0</f>
        <v>0</v>
      </c>
      <c r="N453" s="1">
        <f>0</f>
        <v>0</v>
      </c>
      <c r="O453" s="1">
        <f>0</f>
        <v>0</v>
      </c>
      <c r="P453" s="1"/>
      <c r="Q453" s="1">
        <v>0</v>
      </c>
      <c r="R453" s="1">
        <v>0</v>
      </c>
      <c r="S453" s="1">
        <f>0</f>
        <v>0</v>
      </c>
      <c r="T453" s="1">
        <f>0</f>
        <v>0</v>
      </c>
      <c r="U453" s="1"/>
      <c r="V453" s="1">
        <v>0</v>
      </c>
      <c r="W453" s="1">
        <v>0</v>
      </c>
      <c r="X453" s="1">
        <f>0</f>
        <v>0</v>
      </c>
      <c r="Y453" s="1">
        <f>0</f>
        <v>0</v>
      </c>
      <c r="Z453" s="1">
        <f>0</f>
        <v>0</v>
      </c>
      <c r="AA453" s="1"/>
      <c r="AB453" s="5"/>
      <c r="AC453" s="5"/>
      <c r="AD453" s="1">
        <f>0</f>
        <v>0</v>
      </c>
      <c r="AE453" s="1">
        <f>0</f>
        <v>0</v>
      </c>
      <c r="AF453" s="1">
        <f>0</f>
        <v>0</v>
      </c>
      <c r="AG453" s="1">
        <f>0</f>
        <v>0</v>
      </c>
      <c r="AH453" s="1">
        <f>0</f>
        <v>0</v>
      </c>
      <c r="AI453" s="1">
        <f>0</f>
        <v>0</v>
      </c>
      <c r="AJ453" s="1" t="b">
        <v>1</v>
      </c>
      <c r="AK453" s="1"/>
      <c r="AL453" s="1"/>
      <c r="AM453" s="1"/>
      <c r="AN453" s="1"/>
      <c r="AO453" s="1"/>
      <c r="AP453" s="1" t="b">
        <v>1</v>
      </c>
      <c r="AQ453" s="1"/>
      <c r="AR453" s="1"/>
      <c r="AS453" s="1"/>
      <c r="AT453" s="1"/>
      <c r="AU453" s="1"/>
      <c r="AV453" s="1"/>
      <c r="AW453" s="1"/>
      <c r="AX453" s="1"/>
      <c r="AY453" s="1"/>
      <c r="AZ453" s="1" t="b">
        <v>1</v>
      </c>
    </row>
    <row r="454" spans="1:52" ht="15" customHeight="1" x14ac:dyDescent="0.35">
      <c r="A454" s="1" t="s">
        <v>1683</v>
      </c>
      <c r="B454" s="1" t="s">
        <v>185</v>
      </c>
      <c r="C454" s="1" t="s">
        <v>640</v>
      </c>
      <c r="D454" s="1"/>
      <c r="E454" s="1" t="s">
        <v>1684</v>
      </c>
      <c r="F454" s="9" t="s">
        <v>1685</v>
      </c>
      <c r="G454" s="1" t="s">
        <v>38</v>
      </c>
      <c r="H4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4" s="11">
        <f>0</f>
        <v>0</v>
      </c>
      <c r="J454" s="1">
        <f>0</f>
        <v>0</v>
      </c>
      <c r="K454" s="1"/>
      <c r="L454" s="1">
        <v>0</v>
      </c>
      <c r="M454" s="1">
        <f>0</f>
        <v>0</v>
      </c>
      <c r="N454" s="1">
        <f>0</f>
        <v>0</v>
      </c>
      <c r="O454" s="1">
        <f>0</f>
        <v>0</v>
      </c>
      <c r="P454" s="1"/>
      <c r="Q454" s="1">
        <v>0</v>
      </c>
      <c r="R454" s="1">
        <v>0</v>
      </c>
      <c r="S454" s="1">
        <f>0</f>
        <v>0</v>
      </c>
      <c r="T454" s="1">
        <f>0</f>
        <v>0</v>
      </c>
      <c r="U454" s="1"/>
      <c r="V454" s="1">
        <v>0</v>
      </c>
      <c r="W454" s="1">
        <v>0</v>
      </c>
      <c r="X454" s="1">
        <f>0</f>
        <v>0</v>
      </c>
      <c r="Y454" s="1">
        <f>0</f>
        <v>0</v>
      </c>
      <c r="Z454" s="1">
        <f>0</f>
        <v>0</v>
      </c>
      <c r="AA454" s="1"/>
      <c r="AB454" s="5"/>
      <c r="AC454" s="5"/>
      <c r="AD454" s="1">
        <f>0</f>
        <v>0</v>
      </c>
      <c r="AE454" s="1">
        <f>0</f>
        <v>0</v>
      </c>
      <c r="AF454" s="1">
        <f>0</f>
        <v>0</v>
      </c>
      <c r="AG454" s="1">
        <f>0</f>
        <v>0</v>
      </c>
      <c r="AH454" s="1">
        <f>0</f>
        <v>0</v>
      </c>
      <c r="AI454" s="1">
        <f>0</f>
        <v>0</v>
      </c>
      <c r="AJ454" s="1" t="b">
        <v>1</v>
      </c>
      <c r="AK454" s="1"/>
      <c r="AL454" s="1"/>
      <c r="AM454" s="1"/>
      <c r="AN454" s="1"/>
      <c r="AO454" s="1"/>
      <c r="AP454" s="1"/>
      <c r="AQ454" s="1"/>
      <c r="AR454" s="1"/>
      <c r="AS454" s="1"/>
      <c r="AT454" s="1" t="b">
        <v>1</v>
      </c>
      <c r="AU454" s="1"/>
      <c r="AV454" s="1" t="b">
        <v>1</v>
      </c>
      <c r="AW454" s="1"/>
      <c r="AX454" s="1"/>
      <c r="AY454" s="1" t="b">
        <v>1</v>
      </c>
      <c r="AZ454" s="1"/>
    </row>
    <row r="455" spans="1:52" ht="15" customHeight="1" x14ac:dyDescent="0.35">
      <c r="A455" s="1" t="s">
        <v>1686</v>
      </c>
      <c r="B455" s="1" t="s">
        <v>186</v>
      </c>
      <c r="C455" s="1" t="s">
        <v>988</v>
      </c>
      <c r="D455" s="1" t="s">
        <v>1378</v>
      </c>
      <c r="E455" s="1" t="s">
        <v>1687</v>
      </c>
      <c r="F455" s="9" t="s">
        <v>1688</v>
      </c>
      <c r="G455" s="1" t="s">
        <v>38</v>
      </c>
      <c r="H4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55" s="11" t="e">
        <f>ABS(NETWORKDAYS.INTL("05/15/2024", "05/21/2024", 1, {"01/01/2024","01/15/2024","02/19/2024","05/27/2024","07/04/2024","09/02/2024","10/14/2024","11/11/2024","11/28/2024","12/25/2024","12/25/2024","12/26/2024","12/27/2024","12/28/2024","12/29/2024","12/30/2024","31/25/2024","01/01/2024","01/02/2024","01/03/2024","01/04/2024","01/05/2024"}))</f>
        <v>#VALUE!</v>
      </c>
      <c r="J455" s="1">
        <f>0</f>
        <v>0</v>
      </c>
      <c r="K455" s="1"/>
      <c r="L455" s="1">
        <v>1</v>
      </c>
      <c r="M455" s="1" t="e">
        <f>ABS(NETWORKDAYS.INTL("06/19/2024", "06/19/2024", 1, {"01/01/2024","01/15/2024","02/19/2024","05/27/2024","07/04/2024","09/02/2024","10/14/2024","11/11/2024","11/28/2024","12/25/2024","12/25/2024","12/26/2024","12/27/2024","12/28/2024","12/29/2024","12/30/2024","31/25/2024","01/01/2024","01/02/2024","01/03/2024","01/04/2024","01/05/2024"}))</f>
        <v>#VALUE!</v>
      </c>
      <c r="N455" s="1">
        <f>0</f>
        <v>0</v>
      </c>
      <c r="O455" s="1">
        <f>0</f>
        <v>0</v>
      </c>
      <c r="P455" s="1"/>
      <c r="Q455" s="1">
        <v>0</v>
      </c>
      <c r="R455" s="1">
        <v>0</v>
      </c>
      <c r="S455" s="1">
        <f>0</f>
        <v>0</v>
      </c>
      <c r="T455" s="1">
        <f>0</f>
        <v>0</v>
      </c>
      <c r="U455" s="1"/>
      <c r="V455" s="1">
        <v>1</v>
      </c>
      <c r="W455" s="1">
        <v>1</v>
      </c>
      <c r="X455" s="1" t="e">
        <f>ABS(NETWORKDAYS.INTL("06/19/2024", "06/21/2024", 1, {"01/01/2024","01/15/2024","02/19/2024","05/27/2024","07/04/2024","09/02/2024","10/14/2024","11/11/2024","11/28/2024","12/25/2024","12/25/2024","12/26/2024","12/27/2024","12/28/2024","12/29/2024","12/30/2024","31/25/2024","01/01/2024","01/02/2024","01/03/2024","01/04/2024","01/05/2024"}))</f>
        <v>#VALUE!</v>
      </c>
      <c r="Y455" s="1" t="e">
        <f>ABS(NETWORKDAYS.INTL("07/10/2024", "07/10/2024", 1, {"01/01/2024","01/15/2024","02/19/2024","05/27/2024","07/04/2024","09/02/2024","10/14/2024","11/11/2024","11/28/2024","12/25/2024","12/25/2024","12/26/2024","12/27/2024","12/28/2024","12/29/2024","12/30/2024","31/25/2024","01/01/2024","01/02/2024","01/03/2024","01/04/2024","01/05/2024"}))</f>
        <v>#VALUE!</v>
      </c>
      <c r="Z455" s="1" t="e">
        <f>ABS(NETWORKDAYS.INTL("06/30/2024", "07/08/2024", 1, {"01/01/2024","01/15/2024","02/19/2024","05/27/2024","07/04/2024","09/02/2024","10/14/2024","11/11/2024","11/28/2024","12/25/2024","12/25/2024","12/26/2024","12/27/2024","12/28/2024","12/29/2024","12/30/2024","31/25/2024","01/01/2024","01/02/2024","01/03/2024","01/04/2024","01/05/2024"}))</f>
        <v>#VALUE!</v>
      </c>
      <c r="AA455" s="1"/>
      <c r="AB455" s="5">
        <v>45483</v>
      </c>
      <c r="AC455" s="5">
        <v>45503</v>
      </c>
      <c r="AD455" s="1" t="e">
        <f>ABS(NETWORKDAYS.INTL("06/19/2024", "05/21/2024", 1, {"01/01/2024","01/15/2024","02/19/2024","05/27/2024","07/04/2024","09/02/2024","10/14/2024","11/11/2024","11/28/2024","12/25/2024","12/25/2024","12/26/2024","12/27/2024","12/28/2024","12/29/2024","12/30/2024","31/25/2024","01/01/2024","01/02/2024","01/03/2024","01/04/2024","01/05/2024"}))</f>
        <v>#VALUE!</v>
      </c>
      <c r="AE455" s="1">
        <f>0</f>
        <v>0</v>
      </c>
      <c r="AF455" s="1">
        <f>0</f>
        <v>0</v>
      </c>
      <c r="AG455" s="1" t="e">
        <f>ABS(NETWORKDAYS.INTL("06/19/2024", "08/05/24", 1, {"01/01/2024","01/15/2024","02/19/2024","05/27/2024","07/04/2024","09/02/2024","10/14/2024","11/11/2024","11/28/2024","12/25/2024","12/25/2024","12/26/2024","12/27/2024","12/28/2024","12/29/2024","12/30/2024","31/25/2024","01/01/2024","01/02/2024","01/03/2024","01/04/2024","01/05/2024"}))</f>
        <v>#VALUE!</v>
      </c>
      <c r="AH455" s="1" t="e">
        <f>ABS(NETWORKDAYS.INTL("06/19/2024", "06/19/2024", 1, {"01/01/2024","01/15/2024","02/19/2024","05/27/2024","07/04/2024","09/02/2024","10/14/2024","11/11/2024","11/28/2024","12/25/2024","12/25/2024","12/26/2024","12/27/2024","12/28/2024","12/29/2024","12/30/2024","31/25/2024","01/01/2024","01/02/2024","01/03/2024","01/04/2024","01/05/2024"}))</f>
        <v>#VALUE!</v>
      </c>
      <c r="AI455" s="1" t="e">
        <f>ABS(NETWORKDAYS.INTL("07/30/2024", "07/10/2024", 1, {"01/01/2024","01/15/2024","02/19/2024","05/27/2024","07/04/2024","09/02/2024","10/14/2024","11/11/2024","11/28/2024","12/25/2024","12/25/2024","12/26/2024","12/27/2024","12/28/2024","12/29/2024","12/30/2024","31/25/2024","01/01/2024","01/02/2024","01/03/2024","01/04/2024","01/05/2024"}))</f>
        <v>#VALUE!</v>
      </c>
      <c r="AJ455" s="1" t="b">
        <v>1</v>
      </c>
      <c r="AK455" s="1"/>
      <c r="AL455" s="1"/>
      <c r="AM455" s="1"/>
      <c r="AN455" s="1"/>
      <c r="AO455" s="1"/>
      <c r="AP455" s="1" t="b">
        <v>1</v>
      </c>
      <c r="AQ455" s="1"/>
      <c r="AR455" s="1"/>
      <c r="AS455" s="1"/>
      <c r="AT455" s="1"/>
      <c r="AU455" s="1"/>
      <c r="AV455" s="1"/>
      <c r="AW455" s="1"/>
      <c r="AX455" s="1"/>
      <c r="AY455" s="1"/>
      <c r="AZ455" s="1" t="b">
        <v>1</v>
      </c>
    </row>
    <row r="456" spans="1:52" ht="15" customHeight="1" x14ac:dyDescent="0.35">
      <c r="A456" s="1" t="s">
        <v>1689</v>
      </c>
      <c r="B456" s="1" t="s">
        <v>187</v>
      </c>
      <c r="C456" s="1" t="s">
        <v>1149</v>
      </c>
      <c r="D456" s="1" t="s">
        <v>1378</v>
      </c>
      <c r="E456" s="1" t="s">
        <v>1681</v>
      </c>
      <c r="F456" s="9" t="s">
        <v>1690</v>
      </c>
      <c r="G456" s="1" t="s">
        <v>38</v>
      </c>
      <c r="H4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6" s="11" t="e">
        <f>ABS(NETWORKDAYS.INTL("05/14/2024", "05/21/2024", 1, {"01/01/2024","01/15/2024","02/19/2024","05/27/2024","07/04/2024","09/02/2024","10/14/2024","11/11/2024","11/28/2024","12/25/2024","12/25/2024","12/26/2024","12/27/2024","12/28/2024","12/29/2024","12/30/2024","31/25/2024","01/01/2024","01/02/2024","01/03/2024","01/04/2024","01/05/2024"}))</f>
        <v>#VALUE!</v>
      </c>
      <c r="J456" s="1">
        <f>0</f>
        <v>0</v>
      </c>
      <c r="K456" s="1"/>
      <c r="L456" s="1">
        <v>1</v>
      </c>
      <c r="M456" s="1" t="e">
        <f>ABS(NETWORKDAYS.INTL("06/19/2024", "06/19/2024", 1, {"01/01/2024","01/15/2024","02/19/2024","05/27/2024","07/04/2024","09/02/2024","10/14/2024","11/11/2024","11/28/2024","12/25/2024","12/25/2024","12/26/2024","12/27/2024","12/28/2024","12/29/2024","12/30/2024","31/25/2024","01/01/2024","01/02/2024","01/03/2024","01/04/2024","01/05/2024"}))</f>
        <v>#VALUE!</v>
      </c>
      <c r="N456" s="1">
        <f>0</f>
        <v>0</v>
      </c>
      <c r="O456" s="1">
        <f>0</f>
        <v>0</v>
      </c>
      <c r="P456" s="1"/>
      <c r="Q456" s="1">
        <v>0</v>
      </c>
      <c r="R456" s="1">
        <v>0</v>
      </c>
      <c r="S456" s="1">
        <f>0</f>
        <v>0</v>
      </c>
      <c r="T456" s="1">
        <f>0</f>
        <v>0</v>
      </c>
      <c r="U456" s="1"/>
      <c r="V456" s="1">
        <v>1</v>
      </c>
      <c r="W456" s="1">
        <v>0</v>
      </c>
      <c r="X456" s="1">
        <f>0</f>
        <v>0</v>
      </c>
      <c r="Y456" s="1">
        <f>0</f>
        <v>0</v>
      </c>
      <c r="Z456" s="1">
        <f>0</f>
        <v>0</v>
      </c>
      <c r="AA456" s="1"/>
      <c r="AB456" s="5"/>
      <c r="AC456" s="5"/>
      <c r="AD456" s="1" t="e">
        <f>ABS(NETWORKDAYS.INTL("06/19/2024", "05/21/2024", 1, {"01/01/2024","01/15/2024","02/19/2024","05/27/2024","07/04/2024","09/02/2024","10/14/2024","11/11/2024","11/28/2024","12/25/2024","12/25/2024","12/26/2024","12/27/2024","12/28/2024","12/29/2024","12/30/2024","31/25/2024","01/01/2024","01/02/2024","01/03/2024","01/04/2024","01/05/2024"}))</f>
        <v>#VALUE!</v>
      </c>
      <c r="AE456" s="1">
        <f>0</f>
        <v>0</v>
      </c>
      <c r="AF456" s="1">
        <f>0</f>
        <v>0</v>
      </c>
      <c r="AG456" s="1" t="e">
        <f>ABS(NETWORKDAYS.INTL("06/19/2024", "08/05/24", 1, {"01/01/2024","01/15/2024","02/19/2024","05/27/2024","07/04/2024","09/02/2024","10/14/2024","11/11/2024","11/28/2024","12/25/2024","12/25/2024","12/26/2024","12/27/2024","12/28/2024","12/29/2024","12/30/2024","31/25/2024","01/01/2024","01/02/2024","01/03/2024","01/04/2024","01/05/2024"}))</f>
        <v>#VALUE!</v>
      </c>
      <c r="AH456" s="1">
        <f>0</f>
        <v>0</v>
      </c>
      <c r="AI456" s="1">
        <f>0</f>
        <v>0</v>
      </c>
      <c r="AJ456" s="1" t="b">
        <v>1</v>
      </c>
      <c r="AK456" s="1"/>
      <c r="AL456" s="1"/>
      <c r="AM456" s="1"/>
      <c r="AN456" s="1"/>
      <c r="AO456" s="1"/>
      <c r="AP456" s="1" t="b">
        <v>1</v>
      </c>
      <c r="AQ456" s="1"/>
      <c r="AR456" s="1"/>
      <c r="AS456" s="1"/>
      <c r="AT456" s="1"/>
      <c r="AU456" s="1"/>
      <c r="AV456" s="1"/>
      <c r="AW456" s="1"/>
      <c r="AX456" s="1"/>
      <c r="AY456" s="1"/>
      <c r="AZ456" s="1" t="b">
        <v>1</v>
      </c>
    </row>
    <row r="457" spans="1:52" ht="15" customHeight="1" x14ac:dyDescent="0.35">
      <c r="A457" s="1" t="s">
        <v>1691</v>
      </c>
      <c r="B457" s="1" t="s">
        <v>188</v>
      </c>
      <c r="C457" s="1" t="s">
        <v>1692</v>
      </c>
      <c r="D457" s="1" t="s">
        <v>1693</v>
      </c>
      <c r="E457" s="1" t="s">
        <v>1687</v>
      </c>
      <c r="F457" s="9" t="s">
        <v>1694</v>
      </c>
      <c r="G457" s="1" t="s">
        <v>38</v>
      </c>
      <c r="H4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57" s="11" t="e">
        <f>ABS(NETWORKDAYS.INTL("05/23/2024", "05/28/2024", 1, {"01/01/2024","01/15/2024","02/19/2024","05/27/2024","07/04/2024","09/02/2024","10/14/2024","11/11/2024","11/28/2024","12/25/2024","12/25/2024","12/26/2024","12/27/2024","12/28/2024","12/29/2024","12/30/2024","31/25/2024","01/01/2024","01/02/2024","01/03/2024","01/04/2024","01/05/2024"}))</f>
        <v>#VALUE!</v>
      </c>
      <c r="J457" s="1">
        <f>0</f>
        <v>0</v>
      </c>
      <c r="K457" s="1"/>
      <c r="L457" s="1">
        <v>1</v>
      </c>
      <c r="M457" s="1" t="e">
        <f>ABS(NETWORKDAYS.INTL("06/19/2024", "06/19/2024", 1, {"01/01/2024","01/15/2024","02/19/2024","05/27/2024","07/04/2024","09/02/2024","10/14/2024","11/11/2024","11/28/2024","12/25/2024","12/25/2024","12/26/2024","12/27/2024","12/28/2024","12/29/2024","12/30/2024","31/25/2024","01/01/2024","01/02/2024","01/03/2024","01/04/2024","01/05/2024"}))</f>
        <v>#VALUE!</v>
      </c>
      <c r="N457" s="1">
        <f>0</f>
        <v>0</v>
      </c>
      <c r="O457" s="1">
        <f>0</f>
        <v>0</v>
      </c>
      <c r="P457" s="1"/>
      <c r="Q457" s="1">
        <v>0</v>
      </c>
      <c r="R457" s="1">
        <v>0</v>
      </c>
      <c r="S457" s="1">
        <f>0</f>
        <v>0</v>
      </c>
      <c r="T457" s="1">
        <f>0</f>
        <v>0</v>
      </c>
      <c r="U457" s="1"/>
      <c r="V457" s="1">
        <v>1</v>
      </c>
      <c r="W457" s="1">
        <v>1</v>
      </c>
      <c r="X457" s="1" t="e">
        <f>ABS(NETWORKDAYS.INTL("06/20/2024", "07/23/2024", 1, {"01/01/2024","01/15/2024","02/19/2024","05/27/2024","07/04/2024","09/02/2024","10/14/2024","11/11/2024","11/28/2024","12/25/2024","12/25/2024","12/26/2024","12/27/2024","12/28/2024","12/29/2024","12/30/2024","31/25/2024","01/01/2024","01/02/2024","01/03/2024","01/04/2024","01/05/2024"}))</f>
        <v>#VALUE!</v>
      </c>
      <c r="Y457" s="1" t="e">
        <f>ABS(NETWORKDAYS.INTL("07/23/2024", "08/05/24", 1, {"01/01/2024","01/15/2024","02/19/2024","05/27/2024","07/04/2024","09/02/2024","10/14/2024","11/11/2024","11/28/2024","12/25/2024","12/25/2024","12/26/2024","12/27/2024","12/28/2024","12/29/2024","12/30/2024","31/25/2024","01/01/2024","01/02/2024","01/03/2024","01/04/2024","01/05/2024"}))</f>
        <v>#VALUE!</v>
      </c>
      <c r="Z457" s="1">
        <f>0</f>
        <v>0</v>
      </c>
      <c r="AA457" s="1"/>
      <c r="AB457" s="5"/>
      <c r="AC457" s="5"/>
      <c r="AD457" s="1" t="e">
        <f>ABS(NETWORKDAYS.INTL("06/19/2024", "05/28/2024", 1, {"01/01/2024","01/15/2024","02/19/2024","05/27/2024","07/04/2024","09/02/2024","10/14/2024","11/11/2024","11/28/2024","12/25/2024","12/25/2024","12/26/2024","12/27/2024","12/28/2024","12/29/2024","12/30/2024","31/25/2024","01/01/2024","01/02/2024","01/03/2024","01/04/2024","01/05/2024"}))</f>
        <v>#VALUE!</v>
      </c>
      <c r="AE457" s="1">
        <f>0</f>
        <v>0</v>
      </c>
      <c r="AF457" s="1">
        <f>0</f>
        <v>0</v>
      </c>
      <c r="AG457" s="1" t="e">
        <f>ABS(NETWORKDAYS.INTL("06/20/2024", "08/05/24", 1, {"01/01/2024","01/15/2024","02/19/2024","05/27/2024","07/04/2024","09/02/2024","10/14/2024","11/11/2024","11/28/2024","12/25/2024","12/25/2024","12/26/2024","12/27/2024","12/28/2024","12/29/2024","12/30/2024","31/25/2024","01/01/2024","01/02/2024","01/03/2024","01/04/2024","01/05/2024"}))</f>
        <v>#VALUE!</v>
      </c>
      <c r="AH457" s="1" t="e">
        <f>ABS(NETWORKDAYS.INTL("06/20/2024", "06/20/2024", 1, {"01/01/2024","01/15/2024","02/19/2024","05/27/2024","07/04/2024","09/02/2024","10/14/2024","11/11/2024","11/28/2024","12/25/2024","12/25/2024","12/26/2024","12/27/2024","12/28/2024","12/29/2024","12/30/2024","31/25/2024","01/01/2024","01/02/2024","01/03/2024","01/04/2024","01/05/2024"}))</f>
        <v>#VALUE!</v>
      </c>
      <c r="AI457" s="1">
        <f>0</f>
        <v>0</v>
      </c>
      <c r="AJ457" s="1" t="b">
        <v>1</v>
      </c>
      <c r="AK457" s="1"/>
      <c r="AL457" s="1"/>
      <c r="AM457" s="1"/>
      <c r="AN457" s="1"/>
      <c r="AO457" s="1"/>
      <c r="AP457" s="1" t="b">
        <v>1</v>
      </c>
      <c r="AQ457" s="1"/>
      <c r="AR457" s="1"/>
      <c r="AS457" s="1"/>
      <c r="AT457" s="1"/>
      <c r="AU457" s="1"/>
      <c r="AV457" s="1"/>
      <c r="AW457" s="1"/>
      <c r="AX457" s="1"/>
      <c r="AY457" s="1"/>
      <c r="AZ457" s="1" t="b">
        <v>1</v>
      </c>
    </row>
    <row r="458" spans="1:52" ht="15" customHeight="1" x14ac:dyDescent="0.35">
      <c r="A458" s="1" t="s">
        <v>1695</v>
      </c>
      <c r="B458" s="1" t="s">
        <v>189</v>
      </c>
      <c r="C458" s="1" t="s">
        <v>1149</v>
      </c>
      <c r="D458" s="1" t="s">
        <v>1696</v>
      </c>
      <c r="E458" s="1" t="s">
        <v>1697</v>
      </c>
      <c r="F458" s="9" t="s">
        <v>1698</v>
      </c>
      <c r="G458" s="1" t="s">
        <v>38</v>
      </c>
      <c r="H4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58" s="11" t="e">
        <f>ABS(NETWORKDAYS.INTL("05/28/2024", "05/28/2024", 1, {"01/01/2024","01/15/2024","02/19/2024","05/27/2024","07/04/2024","09/02/2024","10/14/2024","11/11/2024","11/28/2024","12/25/2024","12/25/2024","12/26/2024","12/27/2024","12/28/2024","12/29/2024","12/30/2024","31/25/2024","01/01/2024","01/02/2024","01/03/2024","01/04/2024","01/05/2024"}))</f>
        <v>#VALUE!</v>
      </c>
      <c r="J458" s="1">
        <f>0</f>
        <v>0</v>
      </c>
      <c r="K458" s="1"/>
      <c r="L458" s="1">
        <v>0</v>
      </c>
      <c r="M458" s="1">
        <f>0</f>
        <v>0</v>
      </c>
      <c r="N458" s="1">
        <f>0</f>
        <v>0</v>
      </c>
      <c r="O458" s="1">
        <f>0</f>
        <v>0</v>
      </c>
      <c r="P458" s="1"/>
      <c r="Q458" s="1">
        <v>0</v>
      </c>
      <c r="R458" s="1">
        <v>0</v>
      </c>
      <c r="S458" s="1">
        <f>0</f>
        <v>0</v>
      </c>
      <c r="T458" s="1">
        <f>0</f>
        <v>0</v>
      </c>
      <c r="U458" s="1"/>
      <c r="V458" s="1">
        <v>0</v>
      </c>
      <c r="W458" s="1">
        <v>0</v>
      </c>
      <c r="X458" s="1">
        <f>0</f>
        <v>0</v>
      </c>
      <c r="Y458" s="1">
        <f>0</f>
        <v>0</v>
      </c>
      <c r="Z458" s="1">
        <f>0</f>
        <v>0</v>
      </c>
      <c r="AA458" s="1"/>
      <c r="AB458" s="5"/>
      <c r="AC458" s="5"/>
      <c r="AD458" s="1">
        <f>0</f>
        <v>0</v>
      </c>
      <c r="AE458" s="1">
        <f>0</f>
        <v>0</v>
      </c>
      <c r="AF458" s="1">
        <f>0</f>
        <v>0</v>
      </c>
      <c r="AG458" s="1">
        <f>0</f>
        <v>0</v>
      </c>
      <c r="AH458" s="1">
        <f>0</f>
        <v>0</v>
      </c>
      <c r="AI458" s="1">
        <f>0</f>
        <v>0</v>
      </c>
      <c r="AJ458" s="1" t="b">
        <v>1</v>
      </c>
      <c r="AK458" s="1"/>
      <c r="AL458" s="1"/>
      <c r="AM458" s="1"/>
      <c r="AN458" s="1"/>
      <c r="AO458" s="1"/>
      <c r="AP458" s="1" t="b">
        <v>1</v>
      </c>
      <c r="AQ458" s="1"/>
      <c r="AR458" s="1"/>
      <c r="AS458" s="1"/>
      <c r="AT458" s="1"/>
      <c r="AU458" s="1"/>
      <c r="AV458" s="1"/>
      <c r="AW458" s="1"/>
      <c r="AX458" s="1"/>
      <c r="AY458" s="1"/>
      <c r="AZ458" s="1" t="b">
        <v>1</v>
      </c>
    </row>
    <row r="459" spans="1:52" ht="15" customHeight="1" x14ac:dyDescent="0.35">
      <c r="A459" s="1" t="s">
        <v>1699</v>
      </c>
      <c r="B459" s="1" t="s">
        <v>190</v>
      </c>
      <c r="C459" s="1" t="s">
        <v>640</v>
      </c>
      <c r="D459" s="1"/>
      <c r="E459" s="1" t="s">
        <v>1700</v>
      </c>
      <c r="F459" s="9" t="s">
        <v>1701</v>
      </c>
      <c r="G459" s="1" t="s">
        <v>38</v>
      </c>
      <c r="H4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59" s="11">
        <f>0</f>
        <v>0</v>
      </c>
      <c r="J459" s="1">
        <f>0</f>
        <v>0</v>
      </c>
      <c r="K459" s="1"/>
      <c r="L459" s="1">
        <v>0</v>
      </c>
      <c r="M459" s="1">
        <f>0</f>
        <v>0</v>
      </c>
      <c r="N459" s="1">
        <f>0</f>
        <v>0</v>
      </c>
      <c r="O459" s="1">
        <f>0</f>
        <v>0</v>
      </c>
      <c r="P459" s="1"/>
      <c r="Q459" s="1">
        <v>0</v>
      </c>
      <c r="R459" s="1">
        <v>0</v>
      </c>
      <c r="S459" s="1">
        <f>0</f>
        <v>0</v>
      </c>
      <c r="T459" s="1">
        <f>0</f>
        <v>0</v>
      </c>
      <c r="U459" s="1"/>
      <c r="V459" s="1">
        <v>0</v>
      </c>
      <c r="W459" s="1">
        <v>0</v>
      </c>
      <c r="X459" s="1">
        <f>0</f>
        <v>0</v>
      </c>
      <c r="Y459" s="1">
        <f>0</f>
        <v>0</v>
      </c>
      <c r="Z459" s="1">
        <f>0</f>
        <v>0</v>
      </c>
      <c r="AA459" s="1"/>
      <c r="AB459" s="5"/>
      <c r="AC459" s="5"/>
      <c r="AD459" s="1">
        <f>0</f>
        <v>0</v>
      </c>
      <c r="AE459" s="1">
        <f>0</f>
        <v>0</v>
      </c>
      <c r="AF459" s="1">
        <f>0</f>
        <v>0</v>
      </c>
      <c r="AG459" s="1">
        <f>0</f>
        <v>0</v>
      </c>
      <c r="AH459" s="1">
        <f>0</f>
        <v>0</v>
      </c>
      <c r="AI459" s="1">
        <f>0</f>
        <v>0</v>
      </c>
      <c r="AJ459" s="1" t="b">
        <v>1</v>
      </c>
      <c r="AK459" s="1"/>
      <c r="AL459" s="1"/>
      <c r="AM459" s="1"/>
      <c r="AN459" s="1"/>
      <c r="AO459" s="1"/>
      <c r="AP459" s="1"/>
      <c r="AQ459" s="1"/>
      <c r="AR459" s="1"/>
      <c r="AS459" s="1"/>
      <c r="AT459" s="1"/>
      <c r="AU459" s="1" t="b">
        <v>1</v>
      </c>
      <c r="AV459" s="1" t="b">
        <v>1</v>
      </c>
      <c r="AW459" s="1"/>
      <c r="AX459" s="1"/>
      <c r="AY459" s="1" t="b">
        <v>1</v>
      </c>
      <c r="AZ459" s="1"/>
    </row>
    <row r="460" spans="1:52" ht="15" customHeight="1" x14ac:dyDescent="0.35">
      <c r="A460" s="1" t="s">
        <v>1702</v>
      </c>
      <c r="B460" s="1" t="s">
        <v>191</v>
      </c>
      <c r="C460" s="1" t="s">
        <v>640</v>
      </c>
      <c r="D460" s="1"/>
      <c r="E460" s="1" t="s">
        <v>1703</v>
      </c>
      <c r="F460" s="9" t="s">
        <v>1704</v>
      </c>
      <c r="G460" s="1" t="s">
        <v>38</v>
      </c>
      <c r="H4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0" s="11">
        <f>0</f>
        <v>0</v>
      </c>
      <c r="J460" s="1">
        <f>0</f>
        <v>0</v>
      </c>
      <c r="K460" s="1"/>
      <c r="L460" s="1">
        <v>0</v>
      </c>
      <c r="M460" s="1">
        <f>0</f>
        <v>0</v>
      </c>
      <c r="N460" s="1">
        <f>0</f>
        <v>0</v>
      </c>
      <c r="O460" s="1">
        <f>0</f>
        <v>0</v>
      </c>
      <c r="P460" s="1"/>
      <c r="Q460" s="1">
        <v>0</v>
      </c>
      <c r="R460" s="1">
        <v>0</v>
      </c>
      <c r="S460" s="1">
        <f>0</f>
        <v>0</v>
      </c>
      <c r="T460" s="1">
        <f>0</f>
        <v>0</v>
      </c>
      <c r="U460" s="1"/>
      <c r="V460" s="1">
        <v>0</v>
      </c>
      <c r="W460" s="1">
        <v>0</v>
      </c>
      <c r="X460" s="1">
        <f>0</f>
        <v>0</v>
      </c>
      <c r="Y460" s="1">
        <f>0</f>
        <v>0</v>
      </c>
      <c r="Z460" s="1">
        <f>0</f>
        <v>0</v>
      </c>
      <c r="AA460" s="1"/>
      <c r="AB460" s="5"/>
      <c r="AC460" s="5"/>
      <c r="AD460" s="1">
        <f>0</f>
        <v>0</v>
      </c>
      <c r="AE460" s="1">
        <f>0</f>
        <v>0</v>
      </c>
      <c r="AF460" s="1">
        <f>0</f>
        <v>0</v>
      </c>
      <c r="AG460" s="1">
        <f>0</f>
        <v>0</v>
      </c>
      <c r="AH460" s="1">
        <f>0</f>
        <v>0</v>
      </c>
      <c r="AI460" s="1">
        <f>0</f>
        <v>0</v>
      </c>
      <c r="AJ460" s="1" t="b">
        <v>1</v>
      </c>
      <c r="AK460" s="1"/>
      <c r="AL460" s="1"/>
      <c r="AM460" s="1"/>
      <c r="AN460" s="1"/>
      <c r="AO460" s="1"/>
      <c r="AP460" s="1" t="b">
        <v>1</v>
      </c>
      <c r="AQ460" s="1"/>
      <c r="AR460" s="1"/>
      <c r="AS460" s="1"/>
      <c r="AT460" s="1"/>
      <c r="AU460" s="1"/>
      <c r="AV460" s="1" t="b">
        <v>1</v>
      </c>
      <c r="AW460" s="1"/>
      <c r="AX460" s="1"/>
      <c r="AY460" s="1" t="b">
        <v>1</v>
      </c>
      <c r="AZ460" s="1"/>
    </row>
    <row r="461" spans="1:52" ht="15" customHeight="1" x14ac:dyDescent="0.35">
      <c r="A461" s="1" t="s">
        <v>1705</v>
      </c>
      <c r="B461" s="1" t="s">
        <v>192</v>
      </c>
      <c r="C461" s="1" t="s">
        <v>988</v>
      </c>
      <c r="D461" s="1" t="s">
        <v>1706</v>
      </c>
      <c r="E461" s="1" t="s">
        <v>1687</v>
      </c>
      <c r="F461" s="9" t="s">
        <v>1707</v>
      </c>
      <c r="G461" s="1" t="s">
        <v>38</v>
      </c>
      <c r="H4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1" s="11" t="e">
        <f>ABS(NETWORKDAYS.INTL("05/27/2024", "05/31/2024", 1, {"01/01/2024","01/15/2024","02/19/2024","05/27/2024","07/04/2024","09/02/2024","10/14/2024","11/11/2024","11/28/2024","12/25/2024","12/25/2024","12/26/2024","12/27/2024","12/28/2024","12/29/2024","12/30/2024","31/25/2024","01/01/2024","01/02/2024","01/03/2024","01/04/2024","01/05/2024"}))</f>
        <v>#VALUE!</v>
      </c>
      <c r="J461" s="1">
        <f>0</f>
        <v>0</v>
      </c>
      <c r="K461" s="1"/>
      <c r="L461" s="1">
        <v>1</v>
      </c>
      <c r="M461" s="1" t="e">
        <f>ABS(NETWORKDAYS.INTL("06/19/2024", "06/19/2024", 1, {"01/01/2024","01/15/2024","02/19/2024","05/27/2024","07/04/2024","09/02/2024","10/14/2024","11/11/2024","11/28/2024","12/25/2024","12/25/2024","12/26/2024","12/27/2024","12/28/2024","12/29/2024","12/30/2024","31/25/2024","01/01/2024","01/02/2024","01/03/2024","01/04/2024","01/05/2024"}))</f>
        <v>#VALUE!</v>
      </c>
      <c r="N461" s="1">
        <f>0</f>
        <v>0</v>
      </c>
      <c r="O461" s="1">
        <f>0</f>
        <v>0</v>
      </c>
      <c r="P461" s="1"/>
      <c r="Q461" s="1">
        <v>0</v>
      </c>
      <c r="R461" s="1">
        <v>0</v>
      </c>
      <c r="S461" s="1">
        <f>0</f>
        <v>0</v>
      </c>
      <c r="T461" s="1">
        <f>0</f>
        <v>0</v>
      </c>
      <c r="U461" s="1"/>
      <c r="V461" s="1">
        <v>2</v>
      </c>
      <c r="W461" s="1">
        <v>1</v>
      </c>
      <c r="X461" s="1" t="e">
        <f>ABS(NETWORKDAYS.INTL("06/19/2024", "06/21/2024", 1, {"01/01/2024","01/15/2024","02/19/2024","05/27/2024","07/04/2024","09/02/2024","10/14/2024","11/11/2024","11/28/2024","12/25/2024","12/25/2024","12/26/2024","12/27/2024","12/28/2024","12/29/2024","12/30/2024","31/25/2024","01/01/2024","01/02/2024","01/03/2024","01/04/2024","01/05/2024"}))</f>
        <v>#VALUE!</v>
      </c>
      <c r="Y461" s="1" t="e">
        <f>ABS(NETWORKDAYS.INTL("06/27/2024", "07/01/2024", 1, {"01/01/2024","01/15/2024","02/19/2024","05/27/2024","07/04/2024","09/02/2024","10/14/2024","11/11/2024","11/28/2024","12/25/2024","12/25/2024","12/26/2024","12/27/2024","12/28/2024","12/29/2024","12/30/2024","31/25/2024","01/01/2024","01/02/2024","01/03/2024","01/04/2024","01/05/2024"}))</f>
        <v>#VALUE!</v>
      </c>
      <c r="Z461" s="1">
        <f>0</f>
        <v>0</v>
      </c>
      <c r="AA461" s="1"/>
      <c r="AB461" s="5">
        <v>45474</v>
      </c>
      <c r="AC461" s="5">
        <v>45504</v>
      </c>
      <c r="AD461" s="1" t="e">
        <f>ABS(NETWORKDAYS.INTL("06/19/2024", "05/31/2024", 1, {"01/01/2024","01/15/2024","02/19/2024","05/27/2024","07/04/2024","09/02/2024","10/14/2024","11/11/2024","11/28/2024","12/25/2024","12/25/2024","12/26/2024","12/27/2024","12/28/2024","12/29/2024","12/30/2024","31/25/2024","01/01/2024","01/02/2024","01/03/2024","01/04/2024","01/05/2024"}))</f>
        <v>#VALUE!</v>
      </c>
      <c r="AE461" s="1">
        <f>0</f>
        <v>0</v>
      </c>
      <c r="AF461" s="1">
        <f>0</f>
        <v>0</v>
      </c>
      <c r="AG461" s="1" t="e">
        <f>ABS(NETWORKDAYS.INTL("06/19/2024", "08/05/24", 1, {"01/01/2024","01/15/2024","02/19/2024","05/27/2024","07/04/2024","09/02/2024","10/14/2024","11/11/2024","11/28/2024","12/25/2024","12/25/2024","12/26/2024","12/27/2024","12/28/2024","12/29/2024","12/30/2024","31/25/2024","01/01/2024","01/02/2024","01/03/2024","01/04/2024","01/05/2024"}))</f>
        <v>#VALUE!</v>
      </c>
      <c r="AH461" s="1" t="e">
        <f>ABS(NETWORKDAYS.INTL("06/19/2024", "06/19/2024", 1, {"01/01/2024","01/15/2024","02/19/2024","05/27/2024","07/04/2024","09/02/2024","10/14/2024","11/11/2024","11/28/2024","12/25/2024","12/25/2024","12/26/2024","12/27/2024","12/28/2024","12/29/2024","12/30/2024","31/25/2024","01/01/2024","01/02/2024","01/03/2024","01/04/2024","01/05/2024"}))</f>
        <v>#VALUE!</v>
      </c>
      <c r="AI461" s="1" t="e">
        <f>ABS(NETWORKDAYS.INTL("07/31/2024", "07/01/2024", 1, {"01/01/2024","01/15/2024","02/19/2024","05/27/2024","07/04/2024","09/02/2024","10/14/2024","11/11/2024","11/28/2024","12/25/2024","12/25/2024","12/26/2024","12/27/2024","12/28/2024","12/29/2024","12/30/2024","31/25/2024","01/01/2024","01/02/2024","01/03/2024","01/04/2024","01/05/2024"}))</f>
        <v>#VALUE!</v>
      </c>
      <c r="AJ461" s="1" t="b">
        <v>1</v>
      </c>
      <c r="AK461" s="1"/>
      <c r="AL461" s="1"/>
      <c r="AM461" s="1"/>
      <c r="AN461" s="1"/>
      <c r="AO461" s="1"/>
      <c r="AP461" s="1" t="b">
        <v>1</v>
      </c>
      <c r="AQ461" s="1"/>
      <c r="AR461" s="1"/>
      <c r="AS461" s="1"/>
      <c r="AT461" s="1"/>
      <c r="AU461" s="1"/>
      <c r="AV461" s="1"/>
      <c r="AW461" s="1"/>
      <c r="AX461" s="1"/>
      <c r="AY461" s="1"/>
      <c r="AZ461" s="1" t="b">
        <v>1</v>
      </c>
    </row>
    <row r="462" spans="1:52" ht="15" customHeight="1" x14ac:dyDescent="0.35">
      <c r="A462" s="1" t="s">
        <v>1708</v>
      </c>
      <c r="B462" s="1" t="s">
        <v>193</v>
      </c>
      <c r="C462" s="1" t="s">
        <v>1149</v>
      </c>
      <c r="D462" s="1" t="s">
        <v>1709</v>
      </c>
      <c r="E462" s="1" t="s">
        <v>1697</v>
      </c>
      <c r="F462" s="9" t="s">
        <v>1710</v>
      </c>
      <c r="G462" s="1" t="s">
        <v>38</v>
      </c>
      <c r="H4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2" s="11" t="e">
        <f>ABS(NETWORKDAYS.INTL("06/10/2024", "06/11/2024", 1, {"01/01/2024","01/15/2024","02/19/2024","05/27/2024","07/04/2024","09/02/2024","10/14/2024","11/11/2024","11/28/2024","12/25/2024","12/25/2024","12/26/2024","12/27/2024","12/28/2024","12/29/2024","12/30/2024","31/25/2024","01/01/2024","01/02/2024","01/03/2024","01/04/2024","01/05/2024"}))</f>
        <v>#VALUE!</v>
      </c>
      <c r="J462" s="1">
        <f>0</f>
        <v>0</v>
      </c>
      <c r="K462" s="1"/>
      <c r="L462" s="1">
        <v>1</v>
      </c>
      <c r="M462" s="1" t="e">
        <f>ABS(NETWORKDAYS.INTL("06/12/2024", "06/12/2024", 1, {"01/01/2024","01/15/2024","02/19/2024","05/27/2024","07/04/2024","09/02/2024","10/14/2024","11/11/2024","11/28/2024","12/25/2024","12/25/2024","12/26/2024","12/27/2024","12/28/2024","12/29/2024","12/30/2024","31/25/2024","01/01/2024","01/02/2024","01/03/2024","01/04/2024","01/05/2024"}))</f>
        <v>#VALUE!</v>
      </c>
      <c r="N462" s="1">
        <f>0</f>
        <v>0</v>
      </c>
      <c r="O462" s="1">
        <f>0</f>
        <v>0</v>
      </c>
      <c r="P462" s="1"/>
      <c r="Q462" s="1">
        <v>0</v>
      </c>
      <c r="R462" s="1">
        <v>0</v>
      </c>
      <c r="S462" s="1">
        <f>0</f>
        <v>0</v>
      </c>
      <c r="T462" s="1">
        <f>0</f>
        <v>0</v>
      </c>
      <c r="U462" s="1"/>
      <c r="V462" s="1">
        <v>1</v>
      </c>
      <c r="W462" s="1">
        <v>0</v>
      </c>
      <c r="X462" s="1">
        <f>0</f>
        <v>0</v>
      </c>
      <c r="Y462" s="1">
        <f>0</f>
        <v>0</v>
      </c>
      <c r="Z462" s="1">
        <f>0</f>
        <v>0</v>
      </c>
      <c r="AA462" s="1"/>
      <c r="AB462" s="5"/>
      <c r="AC462" s="5"/>
      <c r="AD462" s="1" t="e">
        <f>ABS(NETWORKDAYS.INTL("06/12/2024", "06/11/2024", 1, {"01/01/2024","01/15/2024","02/19/2024","05/27/2024","07/04/2024","09/02/2024","10/14/2024","11/11/2024","11/28/2024","12/25/2024","12/25/2024","12/26/2024","12/27/2024","12/28/2024","12/29/2024","12/30/2024","31/25/2024","01/01/2024","01/02/2024","01/03/2024","01/04/2024","01/05/2024"}))</f>
        <v>#VALUE!</v>
      </c>
      <c r="AE462" s="1">
        <f>0</f>
        <v>0</v>
      </c>
      <c r="AF462" s="1">
        <f>0</f>
        <v>0</v>
      </c>
      <c r="AG462" s="1" t="e">
        <f>ABS(NETWORKDAYS.INTL("06/13/2024", "08/05/24", 1, {"01/01/2024","01/15/2024","02/19/2024","05/27/2024","07/04/2024","09/02/2024","10/14/2024","11/11/2024","11/28/2024","12/25/2024","12/25/2024","12/26/2024","12/27/2024","12/28/2024","12/29/2024","12/30/2024","31/25/2024","01/01/2024","01/02/2024","01/03/2024","01/04/2024","01/05/2024"}))</f>
        <v>#VALUE!</v>
      </c>
      <c r="AH462" s="1">
        <f>0</f>
        <v>0</v>
      </c>
      <c r="AI462" s="1">
        <f>0</f>
        <v>0</v>
      </c>
      <c r="AJ462" s="1" t="b">
        <v>1</v>
      </c>
      <c r="AK462" s="1"/>
      <c r="AL462" s="1"/>
      <c r="AM462" s="1"/>
      <c r="AN462" s="1"/>
      <c r="AO462" s="1"/>
      <c r="AP462" s="1" t="b">
        <v>1</v>
      </c>
      <c r="AQ462" s="1"/>
      <c r="AR462" s="1"/>
      <c r="AS462" s="1"/>
      <c r="AT462" s="1"/>
      <c r="AU462" s="1"/>
      <c r="AV462" s="1"/>
      <c r="AW462" s="1"/>
      <c r="AX462" s="1"/>
      <c r="AY462" s="1"/>
      <c r="AZ462" s="1" t="b">
        <v>1</v>
      </c>
    </row>
    <row r="463" spans="1:52" ht="15" customHeight="1" x14ac:dyDescent="0.35">
      <c r="A463" s="1" t="s">
        <v>1711</v>
      </c>
      <c r="B463" s="1" t="s">
        <v>194</v>
      </c>
      <c r="C463" s="1" t="s">
        <v>1149</v>
      </c>
      <c r="D463" s="1" t="s">
        <v>1709</v>
      </c>
      <c r="E463" s="1" t="s">
        <v>1697</v>
      </c>
      <c r="F463" s="9" t="s">
        <v>1712</v>
      </c>
      <c r="G463" s="1" t="s">
        <v>38</v>
      </c>
      <c r="H4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3" s="11" t="e">
        <f>ABS(NETWORKDAYS.INTL("06/10/2024", "06/11/2024", 1, {"01/01/2024","01/15/2024","02/19/2024","05/27/2024","07/04/2024","09/02/2024","10/14/2024","11/11/2024","11/28/2024","12/25/2024","12/25/2024","12/26/2024","12/27/2024","12/28/2024","12/29/2024","12/30/2024","31/25/2024","01/01/2024","01/02/2024","01/03/2024","01/04/2024","01/05/2024"}))</f>
        <v>#VALUE!</v>
      </c>
      <c r="J463" s="1">
        <f>0</f>
        <v>0</v>
      </c>
      <c r="K463" s="1"/>
      <c r="L463" s="1">
        <v>1</v>
      </c>
      <c r="M463" s="1" t="e">
        <f>ABS(NETWORKDAYS.INTL("06/12/2024", "06/12/2024", 1, {"01/01/2024","01/15/2024","02/19/2024","05/27/2024","07/04/2024","09/02/2024","10/14/2024","11/11/2024","11/28/2024","12/25/2024","12/25/2024","12/26/2024","12/27/2024","12/28/2024","12/29/2024","12/30/2024","31/25/2024","01/01/2024","01/02/2024","01/03/2024","01/04/2024","01/05/2024"}))</f>
        <v>#VALUE!</v>
      </c>
      <c r="N463" s="1">
        <f>0</f>
        <v>0</v>
      </c>
      <c r="O463" s="1">
        <f>0</f>
        <v>0</v>
      </c>
      <c r="P463" s="1"/>
      <c r="Q463" s="1">
        <v>0</v>
      </c>
      <c r="R463" s="1">
        <v>0</v>
      </c>
      <c r="S463" s="1">
        <f>0</f>
        <v>0</v>
      </c>
      <c r="T463" s="1">
        <f>0</f>
        <v>0</v>
      </c>
      <c r="U463" s="1"/>
      <c r="V463" s="1">
        <v>1</v>
      </c>
      <c r="W463" s="1">
        <v>0</v>
      </c>
      <c r="X463" s="1">
        <f>0</f>
        <v>0</v>
      </c>
      <c r="Y463" s="1">
        <f>0</f>
        <v>0</v>
      </c>
      <c r="Z463" s="1">
        <f>0</f>
        <v>0</v>
      </c>
      <c r="AA463" s="1"/>
      <c r="AB463" s="5"/>
      <c r="AC463" s="5"/>
      <c r="AD463" s="1" t="e">
        <f>ABS(NETWORKDAYS.INTL("06/12/2024", "06/11/2024", 1, {"01/01/2024","01/15/2024","02/19/2024","05/27/2024","07/04/2024","09/02/2024","10/14/2024","11/11/2024","11/28/2024","12/25/2024","12/25/2024","12/26/2024","12/27/2024","12/28/2024","12/29/2024","12/30/2024","31/25/2024","01/01/2024","01/02/2024","01/03/2024","01/04/2024","01/05/2024"}))</f>
        <v>#VALUE!</v>
      </c>
      <c r="AE463" s="1">
        <f>0</f>
        <v>0</v>
      </c>
      <c r="AF463" s="1">
        <f>0</f>
        <v>0</v>
      </c>
      <c r="AG463" s="1" t="e">
        <f>ABS(NETWORKDAYS.INTL("06/13/2024", "08/05/24", 1, {"01/01/2024","01/15/2024","02/19/2024","05/27/2024","07/04/2024","09/02/2024","10/14/2024","11/11/2024","11/28/2024","12/25/2024","12/25/2024","12/26/2024","12/27/2024","12/28/2024","12/29/2024","12/30/2024","31/25/2024","01/01/2024","01/02/2024","01/03/2024","01/04/2024","01/05/2024"}))</f>
        <v>#VALUE!</v>
      </c>
      <c r="AH463" s="1">
        <f>0</f>
        <v>0</v>
      </c>
      <c r="AI463" s="1">
        <f>0</f>
        <v>0</v>
      </c>
      <c r="AJ463" s="1" t="b">
        <v>1</v>
      </c>
      <c r="AK463" s="1"/>
      <c r="AL463" s="1"/>
      <c r="AM463" s="1"/>
      <c r="AN463" s="1"/>
      <c r="AO463" s="1"/>
      <c r="AP463" s="1" t="b">
        <v>1</v>
      </c>
      <c r="AQ463" s="1"/>
      <c r="AR463" s="1"/>
      <c r="AS463" s="1"/>
      <c r="AT463" s="1"/>
      <c r="AU463" s="1"/>
      <c r="AV463" s="1"/>
      <c r="AW463" s="1"/>
      <c r="AX463" s="1"/>
      <c r="AY463" s="1"/>
      <c r="AZ463" s="1" t="b">
        <v>1</v>
      </c>
    </row>
    <row r="464" spans="1:52" ht="15" customHeight="1" x14ac:dyDescent="0.35">
      <c r="A464" s="1" t="s">
        <v>1713</v>
      </c>
      <c r="B464" s="1" t="s">
        <v>195</v>
      </c>
      <c r="C464" s="1" t="s">
        <v>988</v>
      </c>
      <c r="D464" s="1" t="s">
        <v>1714</v>
      </c>
      <c r="E464" s="1" t="s">
        <v>1358</v>
      </c>
      <c r="F464" s="9" t="s">
        <v>1715</v>
      </c>
      <c r="G464" s="1" t="s">
        <v>38</v>
      </c>
      <c r="H4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4" s="11" t="e">
        <f>ABS(NETWORKDAYS.INTL("05/29/2024", "05/29/2024", 1, {"01/01/2024","01/15/2024","02/19/2024","05/27/2024","07/04/2024","09/02/2024","10/14/2024","11/11/2024","11/28/2024","12/25/2024","12/25/2024","12/26/2024","12/27/2024","12/28/2024","12/29/2024","12/30/2024","31/25/2024","01/01/2024","01/02/2024","01/03/2024","01/04/2024","01/05/2024"}))</f>
        <v>#VALUE!</v>
      </c>
      <c r="J464" s="1">
        <f>0</f>
        <v>0</v>
      </c>
      <c r="K464" s="1"/>
      <c r="L464" s="1">
        <v>1</v>
      </c>
      <c r="M464" s="1" t="e">
        <f>ABS(NETWORKDAYS.INTL("06/19/2024", "06/19/2024", 1, {"01/01/2024","01/15/2024","02/19/2024","05/27/2024","07/04/2024","09/02/2024","10/14/2024","11/11/2024","11/28/2024","12/25/2024","12/25/2024","12/26/2024","12/27/2024","12/28/2024","12/29/2024","12/30/2024","31/25/2024","01/01/2024","01/02/2024","01/03/2024","01/04/2024","01/05/2024"}))</f>
        <v>#VALUE!</v>
      </c>
      <c r="N464" s="1">
        <f>0</f>
        <v>0</v>
      </c>
      <c r="O464" s="1">
        <f>0</f>
        <v>0</v>
      </c>
      <c r="P464" s="1"/>
      <c r="Q464" s="1">
        <v>0</v>
      </c>
      <c r="R464" s="1">
        <v>0</v>
      </c>
      <c r="S464" s="1">
        <f>0</f>
        <v>0</v>
      </c>
      <c r="T464" s="1">
        <f>0</f>
        <v>0</v>
      </c>
      <c r="U464" s="1"/>
      <c r="V464" s="1">
        <v>1</v>
      </c>
      <c r="W464" s="1">
        <v>1</v>
      </c>
      <c r="X464" s="1" t="e">
        <f>ABS(NETWORKDAYS.INTL("06/19/2024", "06/21/2024", 1, {"01/01/2024","01/15/2024","02/19/2024","05/27/2024","07/04/2024","09/02/2024","10/14/2024","11/11/2024","11/28/2024","12/25/2024","12/25/2024","12/26/2024","12/27/2024","12/28/2024","12/29/2024","12/30/2024","31/25/2024","01/01/2024","01/02/2024","01/03/2024","01/04/2024","01/05/2024"}))</f>
        <v>#VALUE!</v>
      </c>
      <c r="Y464" s="1" t="e">
        <f>ABS(NETWORKDAYS.INTL("07/08/2024", "07/11/2024", 1, {"01/01/2024","01/15/2024","02/19/2024","05/27/2024","07/04/2024","09/02/2024","10/14/2024","11/11/2024","11/28/2024","12/25/2024","12/25/2024","12/26/2024","12/27/2024","12/28/2024","12/29/2024","12/30/2024","31/25/2024","01/01/2024","01/02/2024","01/03/2024","01/04/2024","01/05/2024"}))</f>
        <v>#VALUE!</v>
      </c>
      <c r="Z464" s="1">
        <f>0</f>
        <v>0</v>
      </c>
      <c r="AA464" s="1"/>
      <c r="AB464" s="5">
        <v>45484</v>
      </c>
      <c r="AC464" s="5">
        <v>45504</v>
      </c>
      <c r="AD464" s="1" t="e">
        <f>ABS(NETWORKDAYS.INTL("06/19/2024", "05/29/2024", 1, {"01/01/2024","01/15/2024","02/19/2024","05/27/2024","07/04/2024","09/02/2024","10/14/2024","11/11/2024","11/28/2024","12/25/2024","12/25/2024","12/26/2024","12/27/2024","12/28/2024","12/29/2024","12/30/2024","31/25/2024","01/01/2024","01/02/2024","01/03/2024","01/04/2024","01/05/2024"}))</f>
        <v>#VALUE!</v>
      </c>
      <c r="AE464" s="1">
        <f>0</f>
        <v>0</v>
      </c>
      <c r="AF464" s="1">
        <f>0</f>
        <v>0</v>
      </c>
      <c r="AG464" s="1" t="e">
        <f>ABS(NETWORKDAYS.INTL("06/19/2024", "08/05/24", 1, {"01/01/2024","01/15/2024","02/19/2024","05/27/2024","07/04/2024","09/02/2024","10/14/2024","11/11/2024","11/28/2024","12/25/2024","12/25/2024","12/26/2024","12/27/2024","12/28/2024","12/29/2024","12/30/2024","31/25/2024","01/01/2024","01/02/2024","01/03/2024","01/04/2024","01/05/2024"}))</f>
        <v>#VALUE!</v>
      </c>
      <c r="AH464" s="1" t="e">
        <f>ABS(NETWORKDAYS.INTL("06/19/2024", "06/19/2024", 1, {"01/01/2024","01/15/2024","02/19/2024","05/27/2024","07/04/2024","09/02/2024","10/14/2024","11/11/2024","11/28/2024","12/25/2024","12/25/2024","12/26/2024","12/27/2024","12/28/2024","12/29/2024","12/30/2024","31/25/2024","01/01/2024","01/02/2024","01/03/2024","01/04/2024","01/05/2024"}))</f>
        <v>#VALUE!</v>
      </c>
      <c r="AI464" s="1" t="e">
        <f>ABS(NETWORKDAYS.INTL("07/31/2024", "07/11/2024", 1, {"01/01/2024","01/15/2024","02/19/2024","05/27/2024","07/04/2024","09/02/2024","10/14/2024","11/11/2024","11/28/2024","12/25/2024","12/25/2024","12/26/2024","12/27/2024","12/28/2024","12/29/2024","12/30/2024","31/25/2024","01/01/2024","01/02/2024","01/03/2024","01/04/2024","01/05/2024"}))</f>
        <v>#VALUE!</v>
      </c>
      <c r="AJ464" s="1" t="b">
        <v>1</v>
      </c>
      <c r="AK464" s="1"/>
      <c r="AL464" s="1"/>
      <c r="AM464" s="1"/>
      <c r="AN464" s="1"/>
      <c r="AO464" s="1"/>
      <c r="AP464" s="1"/>
      <c r="AQ464" s="1"/>
      <c r="AR464" s="1"/>
      <c r="AS464" s="1"/>
      <c r="AT464" s="1"/>
      <c r="AU464" s="1"/>
      <c r="AV464" s="1"/>
      <c r="AW464" s="1"/>
      <c r="AX464" s="1"/>
      <c r="AY464" s="1"/>
      <c r="AZ464" s="1" t="b">
        <v>1</v>
      </c>
    </row>
    <row r="465" spans="1:52" ht="15" customHeight="1" x14ac:dyDescent="0.35">
      <c r="A465" s="1" t="s">
        <v>1716</v>
      </c>
      <c r="B465" s="1" t="s">
        <v>196</v>
      </c>
      <c r="C465" s="1" t="s">
        <v>988</v>
      </c>
      <c r="D465" s="1" t="s">
        <v>1717</v>
      </c>
      <c r="E465" s="1" t="s">
        <v>1687</v>
      </c>
      <c r="F465" s="9" t="s">
        <v>1718</v>
      </c>
      <c r="G465" s="1" t="s">
        <v>38</v>
      </c>
      <c r="H4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5" s="11" t="e">
        <f>ABS(NETWORKDAYS.INTL("05/22/2024", "05/31/2024", 1, {"01/01/2024","01/15/2024","02/19/2024","05/27/2024","07/04/2024","09/02/2024","10/14/2024","11/11/2024","11/28/2024","12/25/2024","12/25/2024","12/26/2024","12/27/2024","12/28/2024","12/29/2024","12/30/2024","31/25/2024","01/01/2024","01/02/2024","01/03/2024","01/04/2024","01/05/2024"}))</f>
        <v>#VALUE!</v>
      </c>
      <c r="J465" s="1">
        <f>0</f>
        <v>0</v>
      </c>
      <c r="K465" s="1"/>
      <c r="L465" s="1">
        <v>1</v>
      </c>
      <c r="M465" s="1" t="e">
        <f>ABS(NETWORKDAYS.INTL("06/19/2024", "08/05/24", 1, {"01/01/2024","01/15/2024","02/19/2024","05/27/2024","07/04/2024","09/02/2024","10/14/2024","11/11/2024","11/28/2024","12/25/2024","12/25/2024","12/26/2024","12/27/2024","12/28/2024","12/29/2024","12/30/2024","31/25/2024","01/01/2024","01/02/2024","01/03/2024","01/04/2024","01/05/2024"}))</f>
        <v>#VALUE!</v>
      </c>
      <c r="N465" s="1">
        <f>0</f>
        <v>0</v>
      </c>
      <c r="O465" s="1">
        <f>0</f>
        <v>0</v>
      </c>
      <c r="P465" s="1"/>
      <c r="Q465" s="1">
        <v>0</v>
      </c>
      <c r="R465" s="1">
        <v>0</v>
      </c>
      <c r="S465" s="1">
        <f>0</f>
        <v>0</v>
      </c>
      <c r="T465" s="1">
        <f>0</f>
        <v>0</v>
      </c>
      <c r="U465" s="1"/>
      <c r="V465" s="1">
        <v>1</v>
      </c>
      <c r="W465" s="1">
        <v>1</v>
      </c>
      <c r="X465" s="1" t="e">
        <f>ABS(NETWORKDAYS.INTL("06/19/2024", "06/21/2024", 1, {"01/01/2024","01/15/2024","02/19/2024","05/27/2024","07/04/2024","09/02/2024","10/14/2024","11/11/2024","11/28/2024","12/25/2024","12/25/2024","12/26/2024","12/27/2024","12/28/2024","12/29/2024","12/30/2024","31/25/2024","01/01/2024","01/02/2024","01/03/2024","01/04/2024","01/05/2024"}))</f>
        <v>#VALUE!</v>
      </c>
      <c r="Y465" s="1">
        <f>0</f>
        <v>0</v>
      </c>
      <c r="Z465" s="1">
        <f>0</f>
        <v>0</v>
      </c>
      <c r="AA465" s="1"/>
      <c r="AB465" s="5">
        <v>45473</v>
      </c>
      <c r="AC465" s="5">
        <v>45504</v>
      </c>
      <c r="AD465" s="1" t="e">
        <f>ABS(NETWORKDAYS.INTL("06/19/2024", "05/31/2024", 1, {"01/01/2024","01/15/2024","02/19/2024","05/27/2024","07/04/2024","09/02/2024","10/14/2024","11/11/2024","11/28/2024","12/25/2024","12/25/2024","12/26/2024","12/27/2024","12/28/2024","12/29/2024","12/30/2024","31/25/2024","01/01/2024","01/02/2024","01/03/2024","01/04/2024","01/05/2024"}))</f>
        <v>#VALUE!</v>
      </c>
      <c r="AE465" s="1">
        <f>0</f>
        <v>0</v>
      </c>
      <c r="AF465" s="1">
        <f>0</f>
        <v>0</v>
      </c>
      <c r="AG465" s="1" t="e">
        <f>ABS(NETWORKDAYS.INTL("06/19/2024", "08/05/24", 1, {"01/01/2024","01/15/2024","02/19/2024","05/27/2024","07/04/2024","09/02/2024","10/14/2024","11/11/2024","11/28/2024","12/25/2024","12/25/2024","12/26/2024","12/27/2024","12/28/2024","12/29/2024","12/30/2024","31/25/2024","01/01/2024","01/02/2024","01/03/2024","01/04/2024","01/05/2024"}))</f>
        <v>#VALUE!</v>
      </c>
      <c r="AH465" s="1" t="e">
        <f>ABS(NETWORKDAYS.INTL("06/19/2024", "06/19/2024", 1, {"01/01/2024","01/15/2024","02/19/2024","05/27/2024","07/04/2024","09/02/2024","10/14/2024","11/11/2024","11/28/2024","12/25/2024","12/25/2024","12/26/2024","12/27/2024","12/28/2024","12/29/2024","12/30/2024","31/25/2024","01/01/2024","01/02/2024","01/03/2024","01/04/2024","01/05/2024"}))</f>
        <v>#VALUE!</v>
      </c>
      <c r="AI465" s="1" t="e">
        <f>ABS(NETWORKDAYS.INTL("07/31/2024", "06/30/2024", 1, {"01/01/2024","01/15/2024","02/19/2024","05/27/2024","07/04/2024","09/02/2024","10/14/2024","11/11/2024","11/28/2024","12/25/2024","12/25/2024","12/26/2024","12/27/2024","12/28/2024","12/29/2024","12/30/2024","31/25/2024","01/01/2024","01/02/2024","01/03/2024","01/04/2024","01/05/2024"}))</f>
        <v>#VALUE!</v>
      </c>
      <c r="AJ465" s="1" t="b">
        <v>1</v>
      </c>
      <c r="AK465" s="1"/>
      <c r="AL465" s="1"/>
      <c r="AM465" s="1"/>
      <c r="AN465" s="1"/>
      <c r="AO465" s="1"/>
      <c r="AP465" s="1" t="b">
        <v>1</v>
      </c>
      <c r="AQ465" s="1"/>
      <c r="AR465" s="1"/>
      <c r="AS465" s="1"/>
      <c r="AT465" s="1"/>
      <c r="AU465" s="1"/>
      <c r="AV465" s="1"/>
      <c r="AW465" s="1"/>
      <c r="AX465" s="1"/>
      <c r="AY465" s="1"/>
      <c r="AZ465" s="1" t="b">
        <v>1</v>
      </c>
    </row>
    <row r="466" spans="1:52" ht="15" customHeight="1" x14ac:dyDescent="0.35">
      <c r="A466" s="1" t="s">
        <v>1719</v>
      </c>
      <c r="B466" s="1" t="s">
        <v>197</v>
      </c>
      <c r="C466" s="1" t="s">
        <v>1149</v>
      </c>
      <c r="D466" s="1" t="s">
        <v>1709</v>
      </c>
      <c r="E466" s="1" t="s">
        <v>1697</v>
      </c>
      <c r="F466" s="9" t="s">
        <v>1720</v>
      </c>
      <c r="G466" s="1" t="s">
        <v>38</v>
      </c>
      <c r="H4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6" s="11" t="e">
        <f>ABS(NETWORKDAYS.INTL("06/10/2024", "06/11/2024", 1, {"01/01/2024","01/15/2024","02/19/2024","05/27/2024","07/04/2024","09/02/2024","10/14/2024","11/11/2024","11/28/2024","12/25/2024","12/25/2024","12/26/2024","12/27/2024","12/28/2024","12/29/2024","12/30/2024","31/25/2024","01/01/2024","01/02/2024","01/03/2024","01/04/2024","01/05/2024"}))</f>
        <v>#VALUE!</v>
      </c>
      <c r="J466" s="1">
        <f>0</f>
        <v>0</v>
      </c>
      <c r="K466" s="1"/>
      <c r="L466" s="1">
        <v>1</v>
      </c>
      <c r="M466" s="1" t="e">
        <f>ABS(NETWORKDAYS.INTL("06/12/2024", "06/12/2024", 1, {"01/01/2024","01/15/2024","02/19/2024","05/27/2024","07/04/2024","09/02/2024","10/14/2024","11/11/2024","11/28/2024","12/25/2024","12/25/2024","12/26/2024","12/27/2024","12/28/2024","12/29/2024","12/30/2024","31/25/2024","01/01/2024","01/02/2024","01/03/2024","01/04/2024","01/05/2024"}))</f>
        <v>#VALUE!</v>
      </c>
      <c r="N466" s="1">
        <f>0</f>
        <v>0</v>
      </c>
      <c r="O466" s="1">
        <f>0</f>
        <v>0</v>
      </c>
      <c r="P466" s="1"/>
      <c r="Q466" s="1">
        <v>0</v>
      </c>
      <c r="R466" s="1">
        <v>0</v>
      </c>
      <c r="S466" s="1">
        <f>0</f>
        <v>0</v>
      </c>
      <c r="T466" s="1">
        <f>0</f>
        <v>0</v>
      </c>
      <c r="U466" s="1"/>
      <c r="V466" s="1">
        <v>1</v>
      </c>
      <c r="W466" s="1">
        <v>0</v>
      </c>
      <c r="X466" s="1">
        <f>0</f>
        <v>0</v>
      </c>
      <c r="Y466" s="1">
        <f>0</f>
        <v>0</v>
      </c>
      <c r="Z466" s="1">
        <f>0</f>
        <v>0</v>
      </c>
      <c r="AA466" s="1"/>
      <c r="AB466" s="5"/>
      <c r="AC466" s="5"/>
      <c r="AD466" s="1" t="e">
        <f>ABS(NETWORKDAYS.INTL("06/12/2024", "06/11/2024", 1, {"01/01/2024","01/15/2024","02/19/2024","05/27/2024","07/04/2024","09/02/2024","10/14/2024","11/11/2024","11/28/2024","12/25/2024","12/25/2024","12/26/2024","12/27/2024","12/28/2024","12/29/2024","12/30/2024","31/25/2024","01/01/2024","01/02/2024","01/03/2024","01/04/2024","01/05/2024"}))</f>
        <v>#VALUE!</v>
      </c>
      <c r="AE466" s="1">
        <f>0</f>
        <v>0</v>
      </c>
      <c r="AF466" s="1">
        <f>0</f>
        <v>0</v>
      </c>
      <c r="AG466" s="1" t="e">
        <f>ABS(NETWORKDAYS.INTL("06/13/2024", "08/05/24", 1, {"01/01/2024","01/15/2024","02/19/2024","05/27/2024","07/04/2024","09/02/2024","10/14/2024","11/11/2024","11/28/2024","12/25/2024","12/25/2024","12/26/2024","12/27/2024","12/28/2024","12/29/2024","12/30/2024","31/25/2024","01/01/2024","01/02/2024","01/03/2024","01/04/2024","01/05/2024"}))</f>
        <v>#VALUE!</v>
      </c>
      <c r="AH466" s="1">
        <f>0</f>
        <v>0</v>
      </c>
      <c r="AI466" s="1">
        <f>0</f>
        <v>0</v>
      </c>
      <c r="AJ466" s="1" t="b">
        <v>1</v>
      </c>
      <c r="AK466" s="1"/>
      <c r="AL466" s="1"/>
      <c r="AM466" s="1"/>
      <c r="AN466" s="1"/>
      <c r="AO466" s="1"/>
      <c r="AP466" s="1" t="b">
        <v>1</v>
      </c>
      <c r="AQ466" s="1"/>
      <c r="AR466" s="1"/>
      <c r="AS466" s="1"/>
      <c r="AT466" s="1"/>
      <c r="AU466" s="1"/>
      <c r="AV466" s="1"/>
      <c r="AW466" s="1"/>
      <c r="AX466" s="1"/>
      <c r="AY466" s="1"/>
      <c r="AZ466" s="1" t="b">
        <v>1</v>
      </c>
    </row>
    <row r="467" spans="1:52" ht="15" customHeight="1" x14ac:dyDescent="0.35">
      <c r="A467" s="1" t="s">
        <v>1721</v>
      </c>
      <c r="B467" s="1" t="s">
        <v>198</v>
      </c>
      <c r="C467" s="1" t="s">
        <v>1149</v>
      </c>
      <c r="D467" s="1" t="s">
        <v>1557</v>
      </c>
      <c r="E467" s="1" t="s">
        <v>1722</v>
      </c>
      <c r="F467" s="9" t="s">
        <v>1723</v>
      </c>
      <c r="G467" s="1" t="s">
        <v>38</v>
      </c>
      <c r="H4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67" s="11" t="e">
        <f>ABS(NETWORKDAYS.INTL("06/04/2024", "06/11/2024", 1, {"01/01/2024","01/15/2024","02/19/2024","05/27/2024","07/04/2024","09/02/2024","10/14/2024","11/11/2024","11/28/2024","12/25/2024","12/25/2024","12/26/2024","12/27/2024","12/28/2024","12/29/2024","12/30/2024","31/25/2024","01/01/2024","01/02/2024","01/03/2024","01/04/2024","01/05/2024"}))</f>
        <v>#VALUE!</v>
      </c>
      <c r="J467" s="1">
        <f>0</f>
        <v>0</v>
      </c>
      <c r="K467" s="1"/>
      <c r="L467" s="1">
        <v>0</v>
      </c>
      <c r="M467" s="1">
        <f>0</f>
        <v>0</v>
      </c>
      <c r="N467" s="1">
        <f>0</f>
        <v>0</v>
      </c>
      <c r="O467" s="1">
        <f>0</f>
        <v>0</v>
      </c>
      <c r="P467" s="1"/>
      <c r="Q467" s="1">
        <v>0</v>
      </c>
      <c r="R467" s="1">
        <v>0</v>
      </c>
      <c r="S467" s="1">
        <f>0</f>
        <v>0</v>
      </c>
      <c r="T467" s="1">
        <f>0</f>
        <v>0</v>
      </c>
      <c r="U467" s="1"/>
      <c r="V467" s="1">
        <v>0</v>
      </c>
      <c r="W467" s="1">
        <v>0</v>
      </c>
      <c r="X467" s="1">
        <f>0</f>
        <v>0</v>
      </c>
      <c r="Y467" s="1">
        <f>0</f>
        <v>0</v>
      </c>
      <c r="Z467" s="1">
        <f>0</f>
        <v>0</v>
      </c>
      <c r="AA467" s="1"/>
      <c r="AB467" s="5"/>
      <c r="AC467" s="5"/>
      <c r="AD467" s="1">
        <f>0</f>
        <v>0</v>
      </c>
      <c r="AE467" s="1">
        <f>0</f>
        <v>0</v>
      </c>
      <c r="AF467" s="1">
        <f>0</f>
        <v>0</v>
      </c>
      <c r="AG467" s="1">
        <f>0</f>
        <v>0</v>
      </c>
      <c r="AH467" s="1">
        <f>0</f>
        <v>0</v>
      </c>
      <c r="AI467" s="1">
        <f>0</f>
        <v>0</v>
      </c>
      <c r="AJ467" s="1" t="b">
        <v>1</v>
      </c>
      <c r="AK467" s="1"/>
      <c r="AL467" s="1"/>
      <c r="AM467" s="1"/>
      <c r="AN467" s="1"/>
      <c r="AO467" s="1"/>
      <c r="AP467" s="1" t="b">
        <v>1</v>
      </c>
      <c r="AQ467" s="1"/>
      <c r="AR467" s="1"/>
      <c r="AS467" s="1"/>
      <c r="AT467" s="1"/>
      <c r="AU467" s="1"/>
      <c r="AV467" s="1"/>
      <c r="AW467" s="1"/>
      <c r="AX467" s="1"/>
      <c r="AY467" s="1"/>
      <c r="AZ467" s="1" t="b">
        <v>1</v>
      </c>
    </row>
    <row r="468" spans="1:52" ht="15" customHeight="1" x14ac:dyDescent="0.35">
      <c r="A468" s="1" t="s">
        <v>1724</v>
      </c>
      <c r="B468" s="1" t="s">
        <v>199</v>
      </c>
      <c r="C468" s="1" t="s">
        <v>988</v>
      </c>
      <c r="D468" s="1" t="s">
        <v>1725</v>
      </c>
      <c r="E468" s="1" t="s">
        <v>1687</v>
      </c>
      <c r="F468" s="9" t="s">
        <v>1726</v>
      </c>
      <c r="G468" s="1" t="s">
        <v>38</v>
      </c>
      <c r="H4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68" s="11" t="e">
        <f>ABS(NETWORKDAYS.INTL("05/29/2024", "05/30/2024", 1, {"01/01/2024","01/15/2024","02/19/2024","05/27/2024","07/04/2024","09/02/2024","10/14/2024","11/11/2024","11/28/2024","12/25/2024","12/25/2024","12/26/2024","12/27/2024","12/28/2024","12/29/2024","12/30/2024","31/25/2024","01/01/2024","01/02/2024","01/03/2024","01/04/2024","01/05/2024"}))</f>
        <v>#VALUE!</v>
      </c>
      <c r="J468" s="1">
        <f>0</f>
        <v>0</v>
      </c>
      <c r="K468" s="1"/>
      <c r="L468" s="1">
        <v>1</v>
      </c>
      <c r="M468" s="1" t="e">
        <f>ABS(NETWORKDAYS.INTL("06/18/2024", "06/18/2024", 1, {"01/01/2024","01/15/2024","02/19/2024","05/27/2024","07/04/2024","09/02/2024","10/14/2024","11/11/2024","11/28/2024","12/25/2024","12/25/2024","12/26/2024","12/27/2024","12/28/2024","12/29/2024","12/30/2024","31/25/2024","01/01/2024","01/02/2024","01/03/2024","01/04/2024","01/05/2024"}))</f>
        <v>#VALUE!</v>
      </c>
      <c r="N468" s="1">
        <f>0</f>
        <v>0</v>
      </c>
      <c r="O468" s="1">
        <f>0</f>
        <v>0</v>
      </c>
      <c r="P468" s="1"/>
      <c r="Q468" s="1">
        <v>0</v>
      </c>
      <c r="R468" s="1">
        <v>0</v>
      </c>
      <c r="S468" s="1">
        <f>0</f>
        <v>0</v>
      </c>
      <c r="T468" s="1">
        <f>0</f>
        <v>0</v>
      </c>
      <c r="U468" s="1"/>
      <c r="V468" s="1">
        <v>1</v>
      </c>
      <c r="W468" s="1">
        <v>1</v>
      </c>
      <c r="X468" s="1" t="e">
        <f>ABS(NETWORKDAYS.INTL("06/18/2024", "06/20/2024", 1, {"01/01/2024","01/15/2024","02/19/2024","05/27/2024","07/04/2024","09/02/2024","10/14/2024","11/11/2024","11/28/2024","12/25/2024","12/25/2024","12/26/2024","12/27/2024","12/28/2024","12/29/2024","12/30/2024","31/25/2024","01/01/2024","01/02/2024","01/03/2024","01/04/2024","01/05/2024"}))</f>
        <v>#VALUE!</v>
      </c>
      <c r="Y468" s="1">
        <f>0</f>
        <v>0</v>
      </c>
      <c r="Z468" s="1">
        <f>0</f>
        <v>0</v>
      </c>
      <c r="AA468" s="1"/>
      <c r="AB468" s="5">
        <v>45469</v>
      </c>
      <c r="AC468" s="5">
        <v>45503</v>
      </c>
      <c r="AD468" s="1" t="e">
        <f>ABS(NETWORKDAYS.INTL("06/18/2024", "05/30/2024", 1, {"01/01/2024","01/15/2024","02/19/2024","05/27/2024","07/04/2024","09/02/2024","10/14/2024","11/11/2024","11/28/2024","12/25/2024","12/25/2024","12/26/2024","12/27/2024","12/28/2024","12/29/2024","12/30/2024","31/25/2024","01/01/2024","01/02/2024","01/03/2024","01/04/2024","01/05/2024"}))</f>
        <v>#VALUE!</v>
      </c>
      <c r="AE468" s="1">
        <f>0</f>
        <v>0</v>
      </c>
      <c r="AF468" s="1">
        <f>0</f>
        <v>0</v>
      </c>
      <c r="AG468" s="1" t="e">
        <f>ABS(NETWORKDAYS.INTL("06/18/2024", "08/05/24", 1, {"01/01/2024","01/15/2024","02/19/2024","05/27/2024","07/04/2024","09/02/2024","10/14/2024","11/11/2024","11/28/2024","12/25/2024","12/25/2024","12/26/2024","12/27/2024","12/28/2024","12/29/2024","12/30/2024","31/25/2024","01/01/2024","01/02/2024","01/03/2024","01/04/2024","01/05/2024"}))</f>
        <v>#VALUE!</v>
      </c>
      <c r="AH468" s="1" t="e">
        <f>ABS(NETWORKDAYS.INTL("06/18/2024", "06/18/2024", 1, {"01/01/2024","01/15/2024","02/19/2024","05/27/2024","07/04/2024","09/02/2024","10/14/2024","11/11/2024","11/28/2024","12/25/2024","12/25/2024","12/26/2024","12/27/2024","12/28/2024","12/29/2024","12/30/2024","31/25/2024","01/01/2024","01/02/2024","01/03/2024","01/04/2024","01/05/2024"}))</f>
        <v>#VALUE!</v>
      </c>
      <c r="AI468" s="1" t="e">
        <f>ABS(NETWORKDAYS.INTL("07/30/2024", "06/26/2024", 1, {"01/01/2024","01/15/2024","02/19/2024","05/27/2024","07/04/2024","09/02/2024","10/14/2024","11/11/2024","11/28/2024","12/25/2024","12/25/2024","12/26/2024","12/27/2024","12/28/2024","12/29/2024","12/30/2024","31/25/2024","01/01/2024","01/02/2024","01/03/2024","01/04/2024","01/05/2024"}))</f>
        <v>#VALUE!</v>
      </c>
      <c r="AJ468" s="1" t="b">
        <v>1</v>
      </c>
      <c r="AK468" s="1"/>
      <c r="AL468" s="1"/>
      <c r="AM468" s="1"/>
      <c r="AN468" s="1"/>
      <c r="AO468" s="1"/>
      <c r="AP468" s="1" t="b">
        <v>1</v>
      </c>
      <c r="AQ468" s="1"/>
      <c r="AR468" s="1"/>
      <c r="AS468" s="1"/>
      <c r="AT468" s="1"/>
      <c r="AU468" s="1"/>
      <c r="AV468" s="1"/>
      <c r="AW468" s="1"/>
      <c r="AX468" s="1"/>
      <c r="AY468" s="1"/>
      <c r="AZ468" s="1" t="b">
        <v>1</v>
      </c>
    </row>
    <row r="469" spans="1:52" ht="15" customHeight="1" x14ac:dyDescent="0.35">
      <c r="A469" s="1" t="s">
        <v>1727</v>
      </c>
      <c r="B469" s="1" t="s">
        <v>200</v>
      </c>
      <c r="C469" s="1" t="s">
        <v>640</v>
      </c>
      <c r="D469" s="1"/>
      <c r="E469" s="1" t="s">
        <v>1703</v>
      </c>
      <c r="F469" s="9" t="s">
        <v>1728</v>
      </c>
      <c r="G469" s="1" t="s">
        <v>38</v>
      </c>
      <c r="H4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69" s="11">
        <f>0</f>
        <v>0</v>
      </c>
      <c r="J469" s="1">
        <f>0</f>
        <v>0</v>
      </c>
      <c r="K469" s="1"/>
      <c r="L469" s="1">
        <v>0</v>
      </c>
      <c r="M469" s="1">
        <f>0</f>
        <v>0</v>
      </c>
      <c r="N469" s="1">
        <f>0</f>
        <v>0</v>
      </c>
      <c r="O469" s="1">
        <f>0</f>
        <v>0</v>
      </c>
      <c r="P469" s="1"/>
      <c r="Q469" s="1">
        <v>0</v>
      </c>
      <c r="R469" s="1">
        <v>0</v>
      </c>
      <c r="S469" s="1">
        <f>0</f>
        <v>0</v>
      </c>
      <c r="T469" s="1">
        <f>0</f>
        <v>0</v>
      </c>
      <c r="U469" s="1"/>
      <c r="V469" s="1">
        <v>0</v>
      </c>
      <c r="W469" s="1">
        <v>0</v>
      </c>
      <c r="X469" s="1">
        <f>0</f>
        <v>0</v>
      </c>
      <c r="Y469" s="1">
        <f>0</f>
        <v>0</v>
      </c>
      <c r="Z469" s="1">
        <f>0</f>
        <v>0</v>
      </c>
      <c r="AA469" s="1"/>
      <c r="AB469" s="5"/>
      <c r="AC469" s="5"/>
      <c r="AD469" s="1">
        <f>0</f>
        <v>0</v>
      </c>
      <c r="AE469" s="1">
        <f>0</f>
        <v>0</v>
      </c>
      <c r="AF469" s="1">
        <f>0</f>
        <v>0</v>
      </c>
      <c r="AG469" s="1">
        <f>0</f>
        <v>0</v>
      </c>
      <c r="AH469" s="1">
        <f>0</f>
        <v>0</v>
      </c>
      <c r="AI469" s="1">
        <f>0</f>
        <v>0</v>
      </c>
      <c r="AJ469" s="1" t="b">
        <v>1</v>
      </c>
      <c r="AK469" s="1"/>
      <c r="AL469" s="1"/>
      <c r="AM469" s="1"/>
      <c r="AN469" s="1"/>
      <c r="AO469" s="1"/>
      <c r="AP469" s="1" t="b">
        <v>1</v>
      </c>
      <c r="AQ469" s="1"/>
      <c r="AR469" s="1"/>
      <c r="AS469" s="1"/>
      <c r="AT469" s="1"/>
      <c r="AU469" s="1"/>
      <c r="AV469" s="1" t="b">
        <v>1</v>
      </c>
      <c r="AW469" s="1"/>
      <c r="AX469" s="1"/>
      <c r="AY469" s="1" t="b">
        <v>1</v>
      </c>
      <c r="AZ469" s="1"/>
    </row>
    <row r="470" spans="1:52" ht="15" customHeight="1" x14ac:dyDescent="0.35">
      <c r="A470" s="1" t="s">
        <v>1729</v>
      </c>
      <c r="B470" s="1" t="s">
        <v>201</v>
      </c>
      <c r="C470" s="1" t="s">
        <v>680</v>
      </c>
      <c r="D470" s="1" t="s">
        <v>1730</v>
      </c>
      <c r="E470" s="1" t="s">
        <v>1687</v>
      </c>
      <c r="F470" s="9" t="s">
        <v>1731</v>
      </c>
      <c r="G470" s="1" t="s">
        <v>38</v>
      </c>
      <c r="H4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0" s="11" t="e">
        <f>ABS(NETWORKDAYS.INTL("05/29/2024", "05/29/2024", 1, {"01/01/2024","01/15/2024","02/19/2024","05/27/2024","07/04/2024","09/02/2024","10/14/2024","11/11/2024","11/28/2024","12/25/2024","12/25/2024","12/26/2024","12/27/2024","12/28/2024","12/29/2024","12/30/2024","31/25/2024","01/01/2024","01/02/2024","01/03/2024","01/04/2024","01/05/2024"}))</f>
        <v>#VALUE!</v>
      </c>
      <c r="J470" s="1">
        <f>0</f>
        <v>0</v>
      </c>
      <c r="K470" s="1"/>
      <c r="L470" s="1">
        <v>1</v>
      </c>
      <c r="M470" s="1" t="e">
        <f>ABS(NETWORKDAYS.INTL("06/11/2024", "06/12/2024", 1, {"01/01/2024","01/15/2024","02/19/2024","05/27/2024","07/04/2024","09/02/2024","10/14/2024","11/11/2024","11/28/2024","12/25/2024","12/25/2024","12/26/2024","12/27/2024","12/28/2024","12/29/2024","12/30/2024","31/25/2024","01/01/2024","01/02/2024","01/03/2024","01/04/2024","01/05/2024"}))</f>
        <v>#VALUE!</v>
      </c>
      <c r="N470" s="1">
        <f>0</f>
        <v>0</v>
      </c>
      <c r="O470" s="1">
        <f>0</f>
        <v>0</v>
      </c>
      <c r="P470" s="1"/>
      <c r="Q470" s="1">
        <v>0</v>
      </c>
      <c r="R470" s="1">
        <v>0</v>
      </c>
      <c r="S470" s="1">
        <f>0</f>
        <v>0</v>
      </c>
      <c r="T470" s="1">
        <f>0</f>
        <v>0</v>
      </c>
      <c r="U470" s="1"/>
      <c r="V470" s="1">
        <v>1</v>
      </c>
      <c r="W470" s="1">
        <v>1</v>
      </c>
      <c r="X470" s="1" t="e">
        <f>ABS(NETWORKDAYS.INTL("06/12/2024", "08/05/24", 1, {"01/01/2024","01/15/2024","02/19/2024","05/27/2024","07/04/2024","09/02/2024","10/14/2024","11/11/2024","11/28/2024","12/25/2024","12/25/2024","12/26/2024","12/27/2024","12/28/2024","12/29/2024","12/30/2024","31/25/2024","01/01/2024","01/02/2024","01/03/2024","01/04/2024","01/05/2024"}))</f>
        <v>#VALUE!</v>
      </c>
      <c r="Y470" s="1" t="e">
        <f>ABS(NETWORKDAYS.INTL("06/12/2024", "08/05/24", 1, {"01/01/2024","01/15/2024","02/19/2024","05/27/2024","07/04/2024","09/02/2024","10/14/2024","11/11/2024","11/28/2024","12/25/2024","12/25/2024","12/26/2024","12/27/2024","12/28/2024","12/29/2024","12/30/2024","31/25/2024","01/01/2024","01/02/2024","01/03/2024","01/04/2024","01/05/2024"}))</f>
        <v>#VALUE!</v>
      </c>
      <c r="Z470" s="1" t="e">
        <f>ABS(NETWORKDAYS.INTL("07/10/2024", "08/05/24", 1, {"01/01/2024","01/15/2024","02/19/2024","05/27/2024","07/04/2024","09/02/2024","10/14/2024","11/11/2024","11/28/2024","12/25/2024","12/25/2024","12/26/2024","12/27/2024","12/28/2024","12/29/2024","12/30/2024","31/25/2024","01/01/2024","01/02/2024","01/03/2024","01/04/2024","01/05/2024"}))</f>
        <v>#VALUE!</v>
      </c>
      <c r="AA470" s="1"/>
      <c r="AB470" s="5"/>
      <c r="AC470" s="5"/>
      <c r="AD470" s="1" t="e">
        <f>ABS(NETWORKDAYS.INTL("06/11/2024", "05/29/2024", 1, {"01/01/2024","01/15/2024","02/19/2024","05/27/2024","07/04/2024","09/02/2024","10/14/2024","11/11/2024","11/28/2024","12/25/2024","12/25/2024","12/26/2024","12/27/2024","12/28/2024","12/29/2024","12/30/2024","31/25/2024","01/01/2024","01/02/2024","01/03/2024","01/04/2024","01/05/2024"}))</f>
        <v>#VALUE!</v>
      </c>
      <c r="AE470" s="1">
        <f>0</f>
        <v>0</v>
      </c>
      <c r="AF470" s="1">
        <f>0</f>
        <v>0</v>
      </c>
      <c r="AG470" s="1" t="e">
        <f>ABS(NETWORKDAYS.INTL("06/12/2024", "08/05/24", 1, {"01/01/2024","01/15/2024","02/19/2024","05/27/2024","07/04/2024","09/02/2024","10/14/2024","11/11/2024","11/28/2024","12/25/2024","12/25/2024","12/26/2024","12/27/2024","12/28/2024","12/29/2024","12/30/2024","31/25/2024","01/01/2024","01/02/2024","01/03/2024","01/04/2024","01/05/2024"}))</f>
        <v>#VALUE!</v>
      </c>
      <c r="AH470" s="1" t="e">
        <f>ABS(NETWORKDAYS.INTL("06/12/2024", "06/12/2024", 1, {"01/01/2024","01/15/2024","02/19/2024","05/27/2024","07/04/2024","09/02/2024","10/14/2024","11/11/2024","11/28/2024","12/25/2024","12/25/2024","12/26/2024","12/27/2024","12/28/2024","12/29/2024","12/30/2024","31/25/2024","01/01/2024","01/02/2024","01/03/2024","01/04/2024","01/05/2024"}))</f>
        <v>#VALUE!</v>
      </c>
      <c r="AI470" s="1">
        <f>0</f>
        <v>0</v>
      </c>
      <c r="AJ470" s="1" t="b">
        <v>1</v>
      </c>
      <c r="AK470" s="1"/>
      <c r="AL470" s="1"/>
      <c r="AM470" s="1"/>
      <c r="AN470" s="1"/>
      <c r="AO470" s="1"/>
      <c r="AP470" s="1" t="b">
        <v>1</v>
      </c>
      <c r="AQ470" s="1"/>
      <c r="AR470" s="1"/>
      <c r="AS470" s="1"/>
      <c r="AT470" s="1"/>
      <c r="AU470" s="1"/>
      <c r="AV470" s="1"/>
      <c r="AW470" s="1"/>
      <c r="AX470" s="1"/>
      <c r="AY470" s="1"/>
      <c r="AZ470" s="1" t="b">
        <v>1</v>
      </c>
    </row>
    <row r="471" spans="1:52" ht="15" customHeight="1" x14ac:dyDescent="0.35">
      <c r="A471" s="1" t="s">
        <v>1732</v>
      </c>
      <c r="B471" s="1" t="s">
        <v>202</v>
      </c>
      <c r="C471" s="1" t="s">
        <v>1329</v>
      </c>
      <c r="D471" s="1" t="s">
        <v>1523</v>
      </c>
      <c r="E471" s="1" t="s">
        <v>1733</v>
      </c>
      <c r="F471" s="9" t="s">
        <v>1734</v>
      </c>
      <c r="G471" s="1" t="s">
        <v>38</v>
      </c>
      <c r="H4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471" s="11" t="e">
        <f>ABS(NETWORKDAYS.INTL("05/25/2024", "06/21/2024", 1, {"01/01/2024","01/15/2024","02/19/2024","05/27/2024","07/04/2024","09/02/2024","10/14/2024","11/11/2024","11/28/2024","12/25/2024","12/25/2024","12/26/2024","12/27/2024","12/28/2024","12/29/2024","12/30/2024","31/25/2024","01/01/2024","01/02/2024","01/03/2024","01/04/2024","01/05/2024"}))</f>
        <v>#VALUE!</v>
      </c>
      <c r="J471" s="1">
        <f>0</f>
        <v>0</v>
      </c>
      <c r="K471" s="1"/>
      <c r="L471" s="1">
        <v>0</v>
      </c>
      <c r="M471" s="1">
        <f>0</f>
        <v>0</v>
      </c>
      <c r="N471" s="1">
        <f>0</f>
        <v>0</v>
      </c>
      <c r="O471" s="1">
        <f>0</f>
        <v>0</v>
      </c>
      <c r="P471" s="1"/>
      <c r="Q471" s="1">
        <v>0</v>
      </c>
      <c r="R471" s="1">
        <v>0</v>
      </c>
      <c r="S471" s="1">
        <f>0</f>
        <v>0</v>
      </c>
      <c r="T471" s="1">
        <f>0</f>
        <v>0</v>
      </c>
      <c r="U471" s="1"/>
      <c r="V471" s="1">
        <v>0</v>
      </c>
      <c r="W471" s="1">
        <v>0</v>
      </c>
      <c r="X471" s="1">
        <f>0</f>
        <v>0</v>
      </c>
      <c r="Y471" s="1">
        <f>0</f>
        <v>0</v>
      </c>
      <c r="Z471" s="1">
        <f>0</f>
        <v>0</v>
      </c>
      <c r="AA471" s="1"/>
      <c r="AB471" s="5"/>
      <c r="AC471" s="5"/>
      <c r="AD471" s="1">
        <f>0</f>
        <v>0</v>
      </c>
      <c r="AE471" s="1">
        <f>0</f>
        <v>0</v>
      </c>
      <c r="AF471" s="1">
        <f>0</f>
        <v>0</v>
      </c>
      <c r="AG471" s="1">
        <f>0</f>
        <v>0</v>
      </c>
      <c r="AH471" s="1">
        <f>0</f>
        <v>0</v>
      </c>
      <c r="AI471" s="1">
        <f>0</f>
        <v>0</v>
      </c>
      <c r="AJ471" s="1" t="b">
        <v>1</v>
      </c>
      <c r="AK471" s="1"/>
      <c r="AL471" s="1"/>
      <c r="AM471" s="1"/>
      <c r="AN471" s="1"/>
      <c r="AO471" s="1"/>
      <c r="AP471" s="1"/>
      <c r="AQ471" s="1"/>
      <c r="AR471" s="1"/>
      <c r="AS471" s="1"/>
      <c r="AT471" s="1"/>
      <c r="AU471" s="1" t="b">
        <v>1</v>
      </c>
      <c r="AV471" s="1"/>
      <c r="AW471" s="1"/>
      <c r="AX471" s="1"/>
      <c r="AY471" s="1" t="b">
        <v>1</v>
      </c>
      <c r="AZ471" s="1"/>
    </row>
    <row r="472" spans="1:52" ht="15" customHeight="1" x14ac:dyDescent="0.35">
      <c r="A472" s="1" t="s">
        <v>1735</v>
      </c>
      <c r="B472" s="1" t="s">
        <v>203</v>
      </c>
      <c r="C472" s="1" t="s">
        <v>640</v>
      </c>
      <c r="D472" s="1"/>
      <c r="E472" s="1" t="s">
        <v>1700</v>
      </c>
      <c r="F472" s="9" t="s">
        <v>1736</v>
      </c>
      <c r="G472" s="1" t="s">
        <v>38</v>
      </c>
      <c r="H4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2" s="11">
        <f>0</f>
        <v>0</v>
      </c>
      <c r="J472" s="1">
        <f>0</f>
        <v>0</v>
      </c>
      <c r="K472" s="1"/>
      <c r="L472" s="1">
        <v>0</v>
      </c>
      <c r="M472" s="1">
        <f>0</f>
        <v>0</v>
      </c>
      <c r="N472" s="1">
        <f>0</f>
        <v>0</v>
      </c>
      <c r="O472" s="1">
        <f>0</f>
        <v>0</v>
      </c>
      <c r="P472" s="1"/>
      <c r="Q472" s="1">
        <v>0</v>
      </c>
      <c r="R472" s="1">
        <v>0</v>
      </c>
      <c r="S472" s="1">
        <f>0</f>
        <v>0</v>
      </c>
      <c r="T472" s="1">
        <f>0</f>
        <v>0</v>
      </c>
      <c r="U472" s="1"/>
      <c r="V472" s="1">
        <v>0</v>
      </c>
      <c r="W472" s="1">
        <v>0</v>
      </c>
      <c r="X472" s="1">
        <f>0</f>
        <v>0</v>
      </c>
      <c r="Y472" s="1">
        <f>0</f>
        <v>0</v>
      </c>
      <c r="Z472" s="1">
        <f>0</f>
        <v>0</v>
      </c>
      <c r="AA472" s="1"/>
      <c r="AB472" s="5"/>
      <c r="AC472" s="5"/>
      <c r="AD472" s="1">
        <f>0</f>
        <v>0</v>
      </c>
      <c r="AE472" s="1">
        <f>0</f>
        <v>0</v>
      </c>
      <c r="AF472" s="1">
        <f>0</f>
        <v>0</v>
      </c>
      <c r="AG472" s="1">
        <f>0</f>
        <v>0</v>
      </c>
      <c r="AH472" s="1">
        <f>0</f>
        <v>0</v>
      </c>
      <c r="AI472" s="1">
        <f>0</f>
        <v>0</v>
      </c>
      <c r="AJ472" s="1" t="b">
        <v>1</v>
      </c>
      <c r="AK472" s="1"/>
      <c r="AL472" s="1"/>
      <c r="AM472" s="1"/>
      <c r="AN472" s="1"/>
      <c r="AO472" s="1"/>
      <c r="AP472" s="1"/>
      <c r="AQ472" s="1"/>
      <c r="AR472" s="1"/>
      <c r="AS472" s="1"/>
      <c r="AT472" s="1"/>
      <c r="AU472" s="1" t="b">
        <v>1</v>
      </c>
      <c r="AV472" s="1" t="b">
        <v>1</v>
      </c>
      <c r="AW472" s="1"/>
      <c r="AX472" s="1"/>
      <c r="AY472" s="1" t="b">
        <v>1</v>
      </c>
      <c r="AZ472" s="1"/>
    </row>
    <row r="473" spans="1:52" ht="15" customHeight="1" x14ac:dyDescent="0.35">
      <c r="A473" s="1" t="s">
        <v>1737</v>
      </c>
      <c r="B473" s="1" t="s">
        <v>204</v>
      </c>
      <c r="C473" s="1" t="s">
        <v>988</v>
      </c>
      <c r="D473" s="1" t="s">
        <v>1738</v>
      </c>
      <c r="E473" s="1" t="s">
        <v>1411</v>
      </c>
      <c r="F473" s="9" t="s">
        <v>1739</v>
      </c>
      <c r="G473" s="1" t="s">
        <v>38</v>
      </c>
      <c r="H4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3" s="11" t="e">
        <f>ABS(NETWORKDAYS.INTL("05/20/2024", "05/22/2024", 1, {"01/01/2024","01/15/2024","02/19/2024","05/27/2024","07/04/2024","09/02/2024","10/14/2024","11/11/2024","11/28/2024","12/25/2024","12/25/2024","12/26/2024","12/27/2024","12/28/2024","12/29/2024","12/30/2024","31/25/2024","01/01/2024","01/02/2024","01/03/2024","01/04/2024","01/05/2024"}))</f>
        <v>#VALUE!</v>
      </c>
      <c r="J473" s="1">
        <f>0</f>
        <v>0</v>
      </c>
      <c r="K473" s="1"/>
      <c r="L473" s="1">
        <v>1</v>
      </c>
      <c r="M473" s="1" t="e">
        <f>ABS(NETWORKDAYS.INTL("06/13/2024", "06/13/2024", 1, {"01/01/2024","01/15/2024","02/19/2024","05/27/2024","07/04/2024","09/02/2024","10/14/2024","11/11/2024","11/28/2024","12/25/2024","12/25/2024","12/26/2024","12/27/2024","12/28/2024","12/29/2024","12/30/2024","31/25/2024","01/01/2024","01/02/2024","01/03/2024","01/04/2024","01/05/2024"}))</f>
        <v>#VALUE!</v>
      </c>
      <c r="N473" s="1">
        <f>0</f>
        <v>0</v>
      </c>
      <c r="O473" s="1">
        <f>0</f>
        <v>0</v>
      </c>
      <c r="P473" s="1"/>
      <c r="Q473" s="1">
        <v>0</v>
      </c>
      <c r="R473" s="1">
        <v>0</v>
      </c>
      <c r="S473" s="1">
        <f>0</f>
        <v>0</v>
      </c>
      <c r="T473" s="1">
        <f>0</f>
        <v>0</v>
      </c>
      <c r="U473" s="1"/>
      <c r="V473" s="1">
        <v>1</v>
      </c>
      <c r="W473" s="1">
        <v>1</v>
      </c>
      <c r="X473" s="1" t="e">
        <f>ABS(NETWORKDAYS.INTL("06/13/2024", "06/1/2024", 1, {"01/01/2024","01/15/2024","02/19/2024","05/27/2024","07/04/2024","09/02/2024","10/14/2024","11/11/2024","11/28/2024","12/25/2024","12/25/2024","12/26/2024","12/27/2024","12/28/2024","12/29/2024","12/30/2024","31/25/2024","01/01/2024","01/02/2024","01/03/2024","01/04/2024","01/05/2024"}))</f>
        <v>#VALUE!</v>
      </c>
      <c r="Y473" s="1">
        <f>0</f>
        <v>0</v>
      </c>
      <c r="Z473" s="1">
        <f>0</f>
        <v>0</v>
      </c>
      <c r="AA473" s="1"/>
      <c r="AB473" s="5">
        <v>45467</v>
      </c>
      <c r="AC473" s="5">
        <v>45504</v>
      </c>
      <c r="AD473" s="1" t="e">
        <f>ABS(NETWORKDAYS.INTL("06/13/2024", "05/22/2024", 1, {"01/01/2024","01/15/2024","02/19/2024","05/27/2024","07/04/2024","09/02/2024","10/14/2024","11/11/2024","11/28/2024","12/25/2024","12/25/2024","12/26/2024","12/27/2024","12/28/2024","12/29/2024","12/30/2024","31/25/2024","01/01/2024","01/02/2024","01/03/2024","01/04/2024","01/05/2024"}))</f>
        <v>#VALUE!</v>
      </c>
      <c r="AE473" s="1">
        <f>0</f>
        <v>0</v>
      </c>
      <c r="AF473" s="1">
        <f>0</f>
        <v>0</v>
      </c>
      <c r="AG473" s="1" t="e">
        <f>ABS(NETWORKDAYS.INTL("06/13/2024", "08/05/24", 1, {"01/01/2024","01/15/2024","02/19/2024","05/27/2024","07/04/2024","09/02/2024","10/14/2024","11/11/2024","11/28/2024","12/25/2024","12/25/2024","12/26/2024","12/27/2024","12/28/2024","12/29/2024","12/30/2024","31/25/2024","01/01/2024","01/02/2024","01/03/2024","01/04/2024","01/05/2024"}))</f>
        <v>#VALUE!</v>
      </c>
      <c r="AH473" s="1" t="e">
        <f>ABS(NETWORKDAYS.INTL("06/13/2024", "06/13/2024", 1, {"01/01/2024","01/15/2024","02/19/2024","05/27/2024","07/04/2024","09/02/2024","10/14/2024","11/11/2024","11/28/2024","12/25/2024","12/25/2024","12/26/2024","12/27/2024","12/28/2024","12/29/2024","12/30/2024","31/25/2024","01/01/2024","01/02/2024","01/03/2024","01/04/2024","01/05/2024"}))</f>
        <v>#VALUE!</v>
      </c>
      <c r="AI473" s="1" t="e">
        <f>ABS(NETWORKDAYS.INTL("07/31/2024", "06/24/2024", 1, {"01/01/2024","01/15/2024","02/19/2024","05/27/2024","07/04/2024","09/02/2024","10/14/2024","11/11/2024","11/28/2024","12/25/2024","12/25/2024","12/26/2024","12/27/2024","12/28/2024","12/29/2024","12/30/2024","31/25/2024","01/01/2024","01/02/2024","01/03/2024","01/04/2024","01/05/2024"}))</f>
        <v>#VALUE!</v>
      </c>
      <c r="AJ473" s="1" t="b">
        <v>1</v>
      </c>
      <c r="AK473" s="1"/>
      <c r="AL473" s="1"/>
      <c r="AM473" s="1"/>
      <c r="AN473" s="1"/>
      <c r="AO473" s="1"/>
      <c r="AP473" s="1" t="b">
        <v>1</v>
      </c>
      <c r="AQ473" s="1"/>
      <c r="AR473" s="1"/>
      <c r="AS473" s="1"/>
      <c r="AT473" s="1"/>
      <c r="AU473" s="1"/>
      <c r="AV473" s="1"/>
      <c r="AW473" s="1"/>
      <c r="AX473" s="1"/>
      <c r="AY473" s="1"/>
      <c r="AZ473" s="1" t="b">
        <v>1</v>
      </c>
    </row>
    <row r="474" spans="1:52" ht="15" customHeight="1" x14ac:dyDescent="0.35">
      <c r="A474" s="1" t="s">
        <v>1740</v>
      </c>
      <c r="B474" s="1" t="s">
        <v>205</v>
      </c>
      <c r="C474" s="1" t="s">
        <v>988</v>
      </c>
      <c r="D474" s="1" t="s">
        <v>1741</v>
      </c>
      <c r="E474" s="1" t="s">
        <v>1687</v>
      </c>
      <c r="F474" s="9" t="s">
        <v>1742</v>
      </c>
      <c r="G474" s="1" t="s">
        <v>38</v>
      </c>
      <c r="H4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4" s="11" t="e">
        <f>ABS(NETWORKDAYS.INTL("05/29/2024", "06/01/2024", 1, {"01/01/2024","01/15/2024","02/19/2024","05/27/2024","07/04/2024","09/02/2024","10/14/2024","11/11/2024","11/28/2024","12/25/2024","12/25/2024","12/26/2024","12/27/2024","12/28/2024","12/29/2024","12/30/2024","31/25/2024","01/01/2024","01/02/2024","01/03/2024","01/04/2024","01/05/2024"}))</f>
        <v>#VALUE!</v>
      </c>
      <c r="J474" s="1">
        <f>0</f>
        <v>0</v>
      </c>
      <c r="K474" s="1"/>
      <c r="L474" s="1">
        <v>1</v>
      </c>
      <c r="M474" s="1" t="e">
        <f>ABS(NETWORKDAYS.INTL("06/18/2024", "06/18/2024", 1, {"01/01/2024","01/15/2024","02/19/2024","05/27/2024","07/04/2024","09/02/2024","10/14/2024","11/11/2024","11/28/2024","12/25/2024","12/25/2024","12/26/2024","12/27/2024","12/28/2024","12/29/2024","12/30/2024","31/25/2024","01/01/2024","01/02/2024","01/03/2024","01/04/2024","01/05/2024"}))</f>
        <v>#VALUE!</v>
      </c>
      <c r="N474" s="1">
        <f>0</f>
        <v>0</v>
      </c>
      <c r="O474" s="1">
        <f>0</f>
        <v>0</v>
      </c>
      <c r="P474" s="1"/>
      <c r="Q474" s="1">
        <v>0</v>
      </c>
      <c r="R474" s="1">
        <v>0</v>
      </c>
      <c r="S474" s="1">
        <f>0</f>
        <v>0</v>
      </c>
      <c r="T474" s="1">
        <f>0</f>
        <v>0</v>
      </c>
      <c r="U474" s="1"/>
      <c r="V474" s="1">
        <v>1</v>
      </c>
      <c r="W474" s="1">
        <v>1</v>
      </c>
      <c r="X474" s="1" t="e">
        <f>ABS(NETWORKDAYS.INTL("06/18/2024", "06/19/2024", 1, {"01/01/2024","01/15/2024","02/19/2024","05/27/2024","07/04/2024","09/02/2024","10/14/2024","11/11/2024","11/28/2024","12/25/2024","12/25/2024","12/26/2024","12/27/2024","12/28/2024","12/29/2024","12/30/2024","31/25/2024","01/01/2024","01/02/2024","01/03/2024","01/04/2024","01/05/2024"}))</f>
        <v>#VALUE!</v>
      </c>
      <c r="Y474" s="1" t="e">
        <f>ABS(NETWORKDAYS.INTL("07/01/2024", "07/03/2024", 1, {"01/01/2024","01/15/2024","02/19/2024","05/27/2024","07/04/2024","09/02/2024","10/14/2024","11/11/2024","11/28/2024","12/25/2024","12/25/2024","12/26/2024","12/27/2024","12/28/2024","12/29/2024","12/30/2024","31/25/2024","01/01/2024","01/02/2024","01/03/2024","01/04/2024","01/05/2024"}))</f>
        <v>#VALUE!</v>
      </c>
      <c r="Z474" s="1">
        <f>0</f>
        <v>0</v>
      </c>
      <c r="AA474" s="1"/>
      <c r="AB474" s="5">
        <v>45482</v>
      </c>
      <c r="AC474" s="5">
        <v>45504</v>
      </c>
      <c r="AD474" s="1" t="e">
        <f>ABS(NETWORKDAYS.INTL("06/18/2024", "06/01/2024", 1, {"01/01/2024","01/15/2024","02/19/2024","05/27/2024","07/04/2024","09/02/2024","10/14/2024","11/11/2024","11/28/2024","12/25/2024","12/25/2024","12/26/2024","12/27/2024","12/28/2024","12/29/2024","12/30/2024","31/25/2024","01/01/2024","01/02/2024","01/03/2024","01/04/2024","01/05/2024"}))</f>
        <v>#VALUE!</v>
      </c>
      <c r="AE474" s="1">
        <f>0</f>
        <v>0</v>
      </c>
      <c r="AF474" s="1">
        <f>0</f>
        <v>0</v>
      </c>
      <c r="AG474" s="1" t="e">
        <f>ABS(NETWORKDAYS.INTL("06/18/2024", "08/05/24", 1, {"01/01/2024","01/15/2024","02/19/2024","05/27/2024","07/04/2024","09/02/2024","10/14/2024","11/11/2024","11/28/2024","12/25/2024","12/25/2024","12/26/2024","12/27/2024","12/28/2024","12/29/2024","12/30/2024","31/25/2024","01/01/2024","01/02/2024","01/03/2024","01/04/2024","01/05/2024"}))</f>
        <v>#VALUE!</v>
      </c>
      <c r="AH474" s="1" t="e">
        <f>ABS(NETWORKDAYS.INTL("06/18/2024", "06/18/2024", 1, {"01/01/2024","01/15/2024","02/19/2024","05/27/2024","07/04/2024","09/02/2024","10/14/2024","11/11/2024","11/28/2024","12/25/2024","12/25/2024","12/26/2024","12/27/2024","12/28/2024","12/29/2024","12/30/2024","31/25/2024","01/01/2024","01/02/2024","01/03/2024","01/04/2024","01/05/2024"}))</f>
        <v>#VALUE!</v>
      </c>
      <c r="AI474" s="1" t="e">
        <f>ABS(NETWORKDAYS.INTL("07/31/2024", "07/09/2024", 1, {"01/01/2024","01/15/2024","02/19/2024","05/27/2024","07/04/2024","09/02/2024","10/14/2024","11/11/2024","11/28/2024","12/25/2024","12/25/2024","12/26/2024","12/27/2024","12/28/2024","12/29/2024","12/30/2024","31/25/2024","01/01/2024","01/02/2024","01/03/2024","01/04/2024","01/05/2024"}))</f>
        <v>#VALUE!</v>
      </c>
      <c r="AJ474" s="1" t="b">
        <v>1</v>
      </c>
      <c r="AK474" s="1"/>
      <c r="AL474" s="1"/>
      <c r="AM474" s="1"/>
      <c r="AN474" s="1"/>
      <c r="AO474" s="1"/>
      <c r="AP474" s="1" t="b">
        <v>1</v>
      </c>
      <c r="AQ474" s="1"/>
      <c r="AR474" s="1"/>
      <c r="AS474" s="1"/>
      <c r="AT474" s="1"/>
      <c r="AU474" s="1"/>
      <c r="AV474" s="1"/>
      <c r="AW474" s="1"/>
      <c r="AX474" s="1"/>
      <c r="AY474" s="1"/>
      <c r="AZ474" s="1" t="b">
        <v>1</v>
      </c>
    </row>
    <row r="475" spans="1:52" ht="15" customHeight="1" x14ac:dyDescent="0.35">
      <c r="A475" s="1" t="s">
        <v>1743</v>
      </c>
      <c r="B475" s="1" t="s">
        <v>206</v>
      </c>
      <c r="C475" s="1" t="s">
        <v>1377</v>
      </c>
      <c r="D475" s="1" t="s">
        <v>1744</v>
      </c>
      <c r="E475" s="1" t="s">
        <v>1745</v>
      </c>
      <c r="F475" s="9" t="s">
        <v>1746</v>
      </c>
      <c r="G475" s="1" t="s">
        <v>38</v>
      </c>
      <c r="H4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475" s="11" t="e">
        <f>ABS(NETWORKDAYS.INTL("05/29/2024", "05/29/2024", 1, {"01/01/2024","01/15/2024","02/19/2024","05/27/2024","07/04/2024","09/02/2024","10/14/2024","11/11/2024","11/28/2024","12/25/2024","12/25/2024","12/26/2024","12/27/2024","12/28/2024","12/29/2024","12/30/2024","31/25/2024","01/01/2024","01/02/2024","01/03/2024","01/04/2024","01/05/2024"}))</f>
        <v>#VALUE!</v>
      </c>
      <c r="J475" s="1">
        <f>0</f>
        <v>0</v>
      </c>
      <c r="K475" s="1"/>
      <c r="L475" s="1">
        <v>1</v>
      </c>
      <c r="M475" s="1" t="e">
        <f>ABS(NETWORKDAYS.INTL("06/20/2024", "06/20/2024", 1, {"01/01/2024","01/15/2024","02/19/2024","05/27/2024","07/04/2024","09/02/2024","10/14/2024","11/11/2024","11/28/2024","12/25/2024","12/25/2024","12/26/2024","12/27/2024","12/28/2024","12/29/2024","12/30/2024","31/25/2024","01/01/2024","01/02/2024","01/03/2024","01/04/2024","01/05/2024"}))</f>
        <v>#VALUE!</v>
      </c>
      <c r="N475" s="1">
        <f>0</f>
        <v>0</v>
      </c>
      <c r="O475" s="1">
        <f>0</f>
        <v>0</v>
      </c>
      <c r="P475" s="1"/>
      <c r="Q475" s="1">
        <v>0</v>
      </c>
      <c r="R475" s="1">
        <v>0</v>
      </c>
      <c r="S475" s="1">
        <f>0</f>
        <v>0</v>
      </c>
      <c r="T475" s="1">
        <f>0</f>
        <v>0</v>
      </c>
      <c r="U475" s="1"/>
      <c r="V475" s="1">
        <v>2</v>
      </c>
      <c r="W475" s="1">
        <v>1</v>
      </c>
      <c r="X475" s="1" t="e">
        <f>ABS(NETWORKDAYS.INTL("06/20/2024", "06/21/2024", 1, {"01/01/2024","01/15/2024","02/19/2024","05/27/2024","07/04/2024","09/02/2024","10/14/2024","11/11/2024","11/28/2024","12/25/2024","12/25/2024","12/26/2024","12/27/2024","12/28/2024","12/29/2024","12/30/2024","31/25/2024","01/01/2024","01/02/2024","01/03/2024","01/04/2024","01/05/2024"}))</f>
        <v>#VALUE!</v>
      </c>
      <c r="Y475" s="1" t="e">
        <f>ABS(NETWORKDAYS.INTL("07/09/2024", "07/10/24", 1, {"01/01/2024","01/15/2024","02/19/2024","05/27/2024","07/04/2024","09/02/2024","10/14/2024","11/11/2024","11/28/2024","12/25/2024","12/25/2024","12/26/2024","12/27/2024","12/28/2024","12/29/2024","12/30/2024","31/25/2024","01/01/2024","01/02/2024","01/03/2024","01/04/2024","01/05/2024"}))</f>
        <v>#VALUE!</v>
      </c>
      <c r="Z475" s="1">
        <f>0</f>
        <v>0</v>
      </c>
      <c r="AA475" s="1"/>
      <c r="AB475" s="5">
        <v>45485</v>
      </c>
      <c r="AC475" s="5"/>
      <c r="AD475" s="1" t="e">
        <f>ABS(NETWORKDAYS.INTL("06/20/2024", "05/29/2024", 1, {"01/01/2024","01/15/2024","02/19/2024","05/27/2024","07/04/2024","09/02/2024","10/14/2024","11/11/2024","11/28/2024","12/25/2024","12/25/2024","12/26/2024","12/27/2024","12/28/2024","12/29/2024","12/30/2024","31/25/2024","01/01/2024","01/02/2024","01/03/2024","01/04/2024","01/05/2024"}))</f>
        <v>#VALUE!</v>
      </c>
      <c r="AE475" s="1">
        <f>0</f>
        <v>0</v>
      </c>
      <c r="AF475" s="1">
        <f>0</f>
        <v>0</v>
      </c>
      <c r="AG475" s="1" t="e">
        <f>ABS(NETWORKDAYS.INTL("06/20/2024", "08/05/24", 1, {"01/01/2024","01/15/2024","02/19/2024","05/27/2024","07/04/2024","09/02/2024","10/14/2024","11/11/2024","11/28/2024","12/25/2024","12/25/2024","12/26/2024","12/27/2024","12/28/2024","12/29/2024","12/30/2024","31/25/2024","01/01/2024","01/02/2024","01/03/2024","01/04/2024","01/05/2024"}))</f>
        <v>#VALUE!</v>
      </c>
      <c r="AH475" s="1" t="e">
        <f>ABS(NETWORKDAYS.INTL("06/20/2024", "06/20/2024", 1, {"01/01/2024","01/15/2024","02/19/2024","05/27/2024","07/04/2024","09/02/2024","10/14/2024","11/11/2024","11/28/2024","12/25/2024","12/25/2024","12/26/2024","12/27/2024","12/28/2024","12/29/2024","12/30/2024","31/25/2024","01/01/2024","01/02/2024","01/03/2024","01/04/2024","01/05/2024"}))</f>
        <v>#VALUE!</v>
      </c>
      <c r="AI475" s="1">
        <f>0</f>
        <v>0</v>
      </c>
      <c r="AJ475" s="1" t="b">
        <v>1</v>
      </c>
      <c r="AK475" s="1"/>
      <c r="AL475" s="1"/>
      <c r="AM475" s="1"/>
      <c r="AN475" s="1"/>
      <c r="AO475" s="1"/>
      <c r="AP475" s="1"/>
      <c r="AQ475" s="1"/>
      <c r="AR475" s="1"/>
      <c r="AS475" s="1"/>
      <c r="AT475" s="1" t="b">
        <v>1</v>
      </c>
      <c r="AU475" s="1"/>
      <c r="AV475" s="1"/>
      <c r="AW475" s="1"/>
      <c r="AX475" s="1"/>
      <c r="AY475" s="1"/>
      <c r="AZ475" s="1" t="b">
        <v>1</v>
      </c>
    </row>
    <row r="476" spans="1:52" ht="15" customHeight="1" x14ac:dyDescent="0.35">
      <c r="A476" s="1" t="s">
        <v>1747</v>
      </c>
      <c r="B476" s="1" t="s">
        <v>207</v>
      </c>
      <c r="C476" s="1" t="s">
        <v>640</v>
      </c>
      <c r="D476" s="1"/>
      <c r="E476" s="1" t="s">
        <v>1684</v>
      </c>
      <c r="F476" s="9" t="s">
        <v>1748</v>
      </c>
      <c r="G476" s="1" t="s">
        <v>38</v>
      </c>
      <c r="H4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6" s="11">
        <f>0</f>
        <v>0</v>
      </c>
      <c r="J476" s="1">
        <f>0</f>
        <v>0</v>
      </c>
      <c r="K476" s="1"/>
      <c r="L476" s="1">
        <v>0</v>
      </c>
      <c r="M476" s="1">
        <f>0</f>
        <v>0</v>
      </c>
      <c r="N476" s="1">
        <f>0</f>
        <v>0</v>
      </c>
      <c r="O476" s="1">
        <f>0</f>
        <v>0</v>
      </c>
      <c r="P476" s="1"/>
      <c r="Q476" s="1">
        <v>0</v>
      </c>
      <c r="R476" s="1">
        <v>0</v>
      </c>
      <c r="S476" s="1">
        <f>0</f>
        <v>0</v>
      </c>
      <c r="T476" s="1">
        <f>0</f>
        <v>0</v>
      </c>
      <c r="U476" s="1"/>
      <c r="V476" s="1">
        <v>0</v>
      </c>
      <c r="W476" s="1">
        <v>0</v>
      </c>
      <c r="X476" s="1">
        <f>0</f>
        <v>0</v>
      </c>
      <c r="Y476" s="1">
        <f>0</f>
        <v>0</v>
      </c>
      <c r="Z476" s="1">
        <f>0</f>
        <v>0</v>
      </c>
      <c r="AA476" s="1"/>
      <c r="AB476" s="5"/>
      <c r="AC476" s="5"/>
      <c r="AD476" s="1">
        <f>0</f>
        <v>0</v>
      </c>
      <c r="AE476" s="1">
        <f>0</f>
        <v>0</v>
      </c>
      <c r="AF476" s="1">
        <f>0</f>
        <v>0</v>
      </c>
      <c r="AG476" s="1">
        <f>0</f>
        <v>0</v>
      </c>
      <c r="AH476" s="1">
        <f>0</f>
        <v>0</v>
      </c>
      <c r="AI476" s="1">
        <f>0</f>
        <v>0</v>
      </c>
      <c r="AJ476" s="1" t="b">
        <v>1</v>
      </c>
      <c r="AK476" s="1"/>
      <c r="AL476" s="1"/>
      <c r="AM476" s="1"/>
      <c r="AN476" s="1"/>
      <c r="AO476" s="1"/>
      <c r="AP476" s="1"/>
      <c r="AQ476" s="1"/>
      <c r="AR476" s="1"/>
      <c r="AS476" s="1"/>
      <c r="AT476" s="1" t="b">
        <v>1</v>
      </c>
      <c r="AU476" s="1"/>
      <c r="AV476" s="1" t="b">
        <v>1</v>
      </c>
      <c r="AW476" s="1"/>
      <c r="AX476" s="1"/>
      <c r="AY476" s="1" t="b">
        <v>1</v>
      </c>
      <c r="AZ476" s="1"/>
    </row>
    <row r="477" spans="1:52" ht="15" customHeight="1" x14ac:dyDescent="0.35">
      <c r="A477" s="1" t="s">
        <v>1749</v>
      </c>
      <c r="B477" s="1" t="s">
        <v>208</v>
      </c>
      <c r="C477" s="1" t="s">
        <v>1149</v>
      </c>
      <c r="D477" s="1" t="s">
        <v>1725</v>
      </c>
      <c r="E477" s="1" t="s">
        <v>1722</v>
      </c>
      <c r="F477" s="9" t="s">
        <v>1750</v>
      </c>
      <c r="G477" s="1" t="s">
        <v>38</v>
      </c>
      <c r="H4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477" s="11" t="e">
        <f>ABS(NETWORKDAYS.INTL("6/10/2024", "06/11/2024", 1, {"01/01/2024","01/15/2024","02/19/2024","05/27/2024","07/04/2024","09/02/2024","10/14/2024","11/11/2024","11/28/2024","12/25/2024","12/25/2024","12/26/2024","12/27/2024","12/28/2024","12/29/2024","12/30/2024","31/25/2024","01/01/2024","01/02/2024","01/03/2024","01/04/2024","01/05/2024"}))</f>
        <v>#VALUE!</v>
      </c>
      <c r="J477" s="1">
        <f>0</f>
        <v>0</v>
      </c>
      <c r="K477" s="1"/>
      <c r="L477" s="1">
        <v>1</v>
      </c>
      <c r="M477" s="1" t="e">
        <f>ABS(NETWORKDAYS.INTL("6/12/2024", "06/12/2024", 1, {"01/01/2024","01/15/2024","02/19/2024","05/27/2024","07/04/2024","09/02/2024","10/14/2024","11/11/2024","11/28/2024","12/25/2024","12/25/2024","12/26/2024","12/27/2024","12/28/2024","12/29/2024","12/30/2024","31/25/2024","01/01/2024","01/02/2024","01/03/2024","01/04/2024","01/05/2024"}))</f>
        <v>#VALUE!</v>
      </c>
      <c r="N477" s="1">
        <f>0</f>
        <v>0</v>
      </c>
      <c r="O477" s="1">
        <f>0</f>
        <v>0</v>
      </c>
      <c r="P477" s="1"/>
      <c r="Q477" s="1">
        <v>0</v>
      </c>
      <c r="R477" s="1">
        <v>0</v>
      </c>
      <c r="S477" s="1">
        <f>0</f>
        <v>0</v>
      </c>
      <c r="T477" s="1">
        <f>0</f>
        <v>0</v>
      </c>
      <c r="U477" s="1"/>
      <c r="V477" s="1">
        <v>1</v>
      </c>
      <c r="W477" s="1">
        <v>1</v>
      </c>
      <c r="X477" s="1" t="e">
        <f>ABS(NETWORKDAYS.INTL("6/13/2024", "08/05/24", 1, {"01/01/2024","01/15/2024","02/19/2024","05/27/2024","07/04/2024","09/02/2024","10/14/2024","11/11/2024","11/28/2024","12/25/2024","12/25/2024","12/26/2024","12/27/2024","12/28/2024","12/29/2024","12/30/2024","31/25/2024","01/01/2024","01/02/2024","01/03/2024","01/04/2024","01/05/2024"}))</f>
        <v>#VALUE!</v>
      </c>
      <c r="Y477" s="1">
        <f>0</f>
        <v>0</v>
      </c>
      <c r="Z477" s="1">
        <f>0</f>
        <v>0</v>
      </c>
      <c r="AA477" s="1"/>
      <c r="AB477" s="5"/>
      <c r="AC477" s="5"/>
      <c r="AD477" s="1" t="e">
        <f>ABS(NETWORKDAYS.INTL("6/12/2024", "06/11/2024", 1, {"01/01/2024","01/15/2024","02/19/2024","05/27/2024","07/04/2024","09/02/2024","10/14/2024","11/11/2024","11/28/2024","12/25/2024","12/25/2024","12/26/2024","12/27/2024","12/28/2024","12/29/2024","12/30/2024","31/25/2024","01/01/2024","01/02/2024","01/03/2024","01/04/2024","01/05/2024"}))</f>
        <v>#VALUE!</v>
      </c>
      <c r="AE477" s="1">
        <f>0</f>
        <v>0</v>
      </c>
      <c r="AF477" s="1">
        <f>0</f>
        <v>0</v>
      </c>
      <c r="AG477" s="1" t="e">
        <f>ABS(NETWORKDAYS.INTL("06/13/2024", "08/05/24", 1, {"01/01/2024","01/15/2024","02/19/2024","05/27/2024","07/04/2024","09/02/2024","10/14/2024","11/11/2024","11/28/2024","12/25/2024","12/25/2024","12/26/2024","12/27/2024","12/28/2024","12/29/2024","12/30/2024","31/25/2024","01/01/2024","01/02/2024","01/03/2024","01/04/2024","01/05/2024"}))</f>
        <v>#VALUE!</v>
      </c>
      <c r="AH477" s="1" t="e">
        <f>ABS(NETWORKDAYS.INTL("6/13/2024", "06/13/2024", 1, {"01/01/2024","01/15/2024","02/19/2024","05/27/2024","07/04/2024","09/02/2024","10/14/2024","11/11/2024","11/28/2024","12/25/2024","12/25/2024","12/26/2024","12/27/2024","12/28/2024","12/29/2024","12/30/2024","31/25/2024","01/01/2024","01/02/2024","01/03/2024","01/04/2024","01/05/2024"}))</f>
        <v>#VALUE!</v>
      </c>
      <c r="AI477" s="1">
        <f>0</f>
        <v>0</v>
      </c>
      <c r="AJ477" s="1" t="b">
        <v>1</v>
      </c>
      <c r="AK477" s="1"/>
      <c r="AL477" s="1"/>
      <c r="AM477" s="1"/>
      <c r="AN477" s="1"/>
      <c r="AO477" s="1"/>
      <c r="AP477" s="1" t="b">
        <v>1</v>
      </c>
      <c r="AQ477" s="1"/>
      <c r="AR477" s="1"/>
      <c r="AS477" s="1"/>
      <c r="AT477" s="1"/>
      <c r="AU477" s="1"/>
      <c r="AV477" s="1"/>
      <c r="AW477" s="1"/>
      <c r="AX477" s="1"/>
      <c r="AY477" s="1"/>
      <c r="AZ477" s="1" t="b">
        <v>1</v>
      </c>
    </row>
    <row r="478" spans="1:52" ht="15" customHeight="1" x14ac:dyDescent="0.35">
      <c r="A478" s="1" t="s">
        <v>1751</v>
      </c>
      <c r="B478" s="1" t="s">
        <v>209</v>
      </c>
      <c r="C478" s="1" t="s">
        <v>640</v>
      </c>
      <c r="D478" s="1"/>
      <c r="E478" s="1" t="s">
        <v>1684</v>
      </c>
      <c r="F478" s="9" t="s">
        <v>1752</v>
      </c>
      <c r="G478" s="1" t="s">
        <v>38</v>
      </c>
      <c r="H4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8" s="11">
        <f>0</f>
        <v>0</v>
      </c>
      <c r="J478" s="1">
        <f>0</f>
        <v>0</v>
      </c>
      <c r="K478" s="1"/>
      <c r="L478" s="1">
        <v>0</v>
      </c>
      <c r="M478" s="1">
        <f>0</f>
        <v>0</v>
      </c>
      <c r="N478" s="1">
        <f>0</f>
        <v>0</v>
      </c>
      <c r="O478" s="1">
        <f>0</f>
        <v>0</v>
      </c>
      <c r="P478" s="1"/>
      <c r="Q478" s="1">
        <v>0</v>
      </c>
      <c r="R478" s="1">
        <v>0</v>
      </c>
      <c r="S478" s="1">
        <f>0</f>
        <v>0</v>
      </c>
      <c r="T478" s="1">
        <f>0</f>
        <v>0</v>
      </c>
      <c r="U478" s="1"/>
      <c r="V478" s="1">
        <v>0</v>
      </c>
      <c r="W478" s="1">
        <v>0</v>
      </c>
      <c r="X478" s="1">
        <f>0</f>
        <v>0</v>
      </c>
      <c r="Y478" s="1">
        <f>0</f>
        <v>0</v>
      </c>
      <c r="Z478" s="1">
        <f>0</f>
        <v>0</v>
      </c>
      <c r="AA478" s="1"/>
      <c r="AB478" s="5"/>
      <c r="AC478" s="5"/>
      <c r="AD478" s="1">
        <f>0</f>
        <v>0</v>
      </c>
      <c r="AE478" s="1">
        <f>0</f>
        <v>0</v>
      </c>
      <c r="AF478" s="1">
        <f>0</f>
        <v>0</v>
      </c>
      <c r="AG478" s="1">
        <f>0</f>
        <v>0</v>
      </c>
      <c r="AH478" s="1">
        <f>0</f>
        <v>0</v>
      </c>
      <c r="AI478" s="1">
        <f>0</f>
        <v>0</v>
      </c>
      <c r="AJ478" s="1" t="b">
        <v>1</v>
      </c>
      <c r="AK478" s="1"/>
      <c r="AL478" s="1"/>
      <c r="AM478" s="1"/>
      <c r="AN478" s="1"/>
      <c r="AO478" s="1"/>
      <c r="AP478" s="1"/>
      <c r="AQ478" s="1"/>
      <c r="AR478" s="1"/>
      <c r="AS478" s="1"/>
      <c r="AT478" s="1" t="b">
        <v>1</v>
      </c>
      <c r="AU478" s="1"/>
      <c r="AV478" s="1" t="b">
        <v>1</v>
      </c>
      <c r="AW478" s="1"/>
      <c r="AX478" s="1"/>
      <c r="AY478" s="1" t="b">
        <v>1</v>
      </c>
      <c r="AZ478" s="1"/>
    </row>
    <row r="479" spans="1:52" ht="15" customHeight="1" x14ac:dyDescent="0.35">
      <c r="A479" s="1" t="s">
        <v>1753</v>
      </c>
      <c r="B479" s="1" t="s">
        <v>210</v>
      </c>
      <c r="C479" s="1" t="s">
        <v>640</v>
      </c>
      <c r="D479" s="1"/>
      <c r="E479" s="1" t="s">
        <v>614</v>
      </c>
      <c r="F479" s="9" t="s">
        <v>1754</v>
      </c>
      <c r="G479" s="1" t="s">
        <v>38</v>
      </c>
      <c r="H4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79" s="11">
        <f>0</f>
        <v>0</v>
      </c>
      <c r="J479" s="1">
        <f>0</f>
        <v>0</v>
      </c>
      <c r="K479" s="1"/>
      <c r="L479" s="1">
        <v>0</v>
      </c>
      <c r="M479" s="1">
        <f>0</f>
        <v>0</v>
      </c>
      <c r="N479" s="1">
        <f>0</f>
        <v>0</v>
      </c>
      <c r="O479" s="1">
        <f>0</f>
        <v>0</v>
      </c>
      <c r="P479" s="1"/>
      <c r="Q479" s="1">
        <v>0</v>
      </c>
      <c r="R479" s="1">
        <v>0</v>
      </c>
      <c r="S479" s="1">
        <f>0</f>
        <v>0</v>
      </c>
      <c r="T479" s="1">
        <f>0</f>
        <v>0</v>
      </c>
      <c r="U479" s="1"/>
      <c r="V479" s="1">
        <v>0</v>
      </c>
      <c r="W479" s="1">
        <v>0</v>
      </c>
      <c r="X479" s="1">
        <f>0</f>
        <v>0</v>
      </c>
      <c r="Y479" s="1">
        <f>0</f>
        <v>0</v>
      </c>
      <c r="Z479" s="1">
        <f>0</f>
        <v>0</v>
      </c>
      <c r="AA479" s="1"/>
      <c r="AB479" s="5"/>
      <c r="AC479" s="5"/>
      <c r="AD479" s="1">
        <f>0</f>
        <v>0</v>
      </c>
      <c r="AE479" s="1">
        <f>0</f>
        <v>0</v>
      </c>
      <c r="AF479" s="1">
        <f>0</f>
        <v>0</v>
      </c>
      <c r="AG479" s="1">
        <f>0</f>
        <v>0</v>
      </c>
      <c r="AH479" s="1">
        <f>0</f>
        <v>0</v>
      </c>
      <c r="AI479" s="1">
        <f>0</f>
        <v>0</v>
      </c>
      <c r="AJ479" s="1"/>
      <c r="AK479" s="1" t="b">
        <v>1</v>
      </c>
      <c r="AL479" s="1"/>
      <c r="AM479" s="1"/>
      <c r="AN479" s="1"/>
      <c r="AO479" s="1"/>
      <c r="AP479" s="1"/>
      <c r="AQ479" s="1"/>
      <c r="AR479" s="1"/>
      <c r="AS479" s="1"/>
      <c r="AT479" s="1"/>
      <c r="AU479" s="1"/>
      <c r="AV479" s="1"/>
      <c r="AW479" s="1"/>
      <c r="AX479" s="1"/>
      <c r="AY479" s="1"/>
      <c r="AZ479" s="1"/>
    </row>
    <row r="480" spans="1:52" ht="15" customHeight="1" x14ac:dyDescent="0.35">
      <c r="A480" s="1" t="s">
        <v>1755</v>
      </c>
      <c r="B480" s="1" t="s">
        <v>211</v>
      </c>
      <c r="C480" s="1" t="s">
        <v>640</v>
      </c>
      <c r="D480" s="1"/>
      <c r="E480" s="1" t="s">
        <v>614</v>
      </c>
      <c r="F480" s="9" t="s">
        <v>1756</v>
      </c>
      <c r="G480" s="1" t="s">
        <v>38</v>
      </c>
      <c r="H4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0" s="11">
        <f>0</f>
        <v>0</v>
      </c>
      <c r="J480" s="1">
        <f>0</f>
        <v>0</v>
      </c>
      <c r="K480" s="1"/>
      <c r="L480" s="1">
        <v>0</v>
      </c>
      <c r="M480" s="1">
        <f>0</f>
        <v>0</v>
      </c>
      <c r="N480" s="1">
        <f>0</f>
        <v>0</v>
      </c>
      <c r="O480" s="1">
        <f>0</f>
        <v>0</v>
      </c>
      <c r="P480" s="1"/>
      <c r="Q480" s="1">
        <v>0</v>
      </c>
      <c r="R480" s="1">
        <v>0</v>
      </c>
      <c r="S480" s="1">
        <f>0</f>
        <v>0</v>
      </c>
      <c r="T480" s="1">
        <f>0</f>
        <v>0</v>
      </c>
      <c r="U480" s="1"/>
      <c r="V480" s="1">
        <v>0</v>
      </c>
      <c r="W480" s="1">
        <v>0</v>
      </c>
      <c r="X480" s="1">
        <f>0</f>
        <v>0</v>
      </c>
      <c r="Y480" s="1">
        <f>0</f>
        <v>0</v>
      </c>
      <c r="Z480" s="1">
        <f>0</f>
        <v>0</v>
      </c>
      <c r="AA480" s="1"/>
      <c r="AB480" s="5"/>
      <c r="AC480" s="5"/>
      <c r="AD480" s="1">
        <f>0</f>
        <v>0</v>
      </c>
      <c r="AE480" s="1">
        <f>0</f>
        <v>0</v>
      </c>
      <c r="AF480" s="1">
        <f>0</f>
        <v>0</v>
      </c>
      <c r="AG480" s="1">
        <f>0</f>
        <v>0</v>
      </c>
      <c r="AH480" s="1">
        <f>0</f>
        <v>0</v>
      </c>
      <c r="AI480" s="1">
        <f>0</f>
        <v>0</v>
      </c>
      <c r="AJ480" s="1"/>
      <c r="AK480" s="1" t="b">
        <v>1</v>
      </c>
      <c r="AL480" s="1"/>
      <c r="AM480" s="1"/>
      <c r="AN480" s="1"/>
      <c r="AO480" s="1"/>
      <c r="AP480" s="1"/>
      <c r="AQ480" s="1"/>
      <c r="AR480" s="1"/>
      <c r="AS480" s="1"/>
      <c r="AT480" s="1"/>
      <c r="AU480" s="1"/>
      <c r="AV480" s="1"/>
      <c r="AW480" s="1"/>
      <c r="AX480" s="1"/>
      <c r="AY480" s="1"/>
      <c r="AZ480" s="1"/>
    </row>
    <row r="481" spans="1:52" ht="15" customHeight="1" x14ac:dyDescent="0.35">
      <c r="A481" s="1" t="s">
        <v>1757</v>
      </c>
      <c r="B481" s="1" t="s">
        <v>212</v>
      </c>
      <c r="C481" s="1" t="s">
        <v>640</v>
      </c>
      <c r="D481" s="1"/>
      <c r="E481" s="1" t="s">
        <v>614</v>
      </c>
      <c r="F481" s="9" t="s">
        <v>1758</v>
      </c>
      <c r="G481" s="1" t="s">
        <v>38</v>
      </c>
      <c r="H4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1" s="11">
        <f>0</f>
        <v>0</v>
      </c>
      <c r="J481" s="1">
        <f>0</f>
        <v>0</v>
      </c>
      <c r="K481" s="1"/>
      <c r="L481" s="1">
        <v>0</v>
      </c>
      <c r="M481" s="1">
        <f>0</f>
        <v>0</v>
      </c>
      <c r="N481" s="1">
        <f>0</f>
        <v>0</v>
      </c>
      <c r="O481" s="1">
        <f>0</f>
        <v>0</v>
      </c>
      <c r="P481" s="1"/>
      <c r="Q481" s="1">
        <v>0</v>
      </c>
      <c r="R481" s="1">
        <v>0</v>
      </c>
      <c r="S481" s="1">
        <f>0</f>
        <v>0</v>
      </c>
      <c r="T481" s="1">
        <f>0</f>
        <v>0</v>
      </c>
      <c r="U481" s="1"/>
      <c r="V481" s="1">
        <v>0</v>
      </c>
      <c r="W481" s="1">
        <v>0</v>
      </c>
      <c r="X481" s="1">
        <f>0</f>
        <v>0</v>
      </c>
      <c r="Y481" s="1">
        <f>0</f>
        <v>0</v>
      </c>
      <c r="Z481" s="1">
        <f>0</f>
        <v>0</v>
      </c>
      <c r="AA481" s="1"/>
      <c r="AB481" s="5"/>
      <c r="AC481" s="5"/>
      <c r="AD481" s="1">
        <f>0</f>
        <v>0</v>
      </c>
      <c r="AE481" s="1">
        <f>0</f>
        <v>0</v>
      </c>
      <c r="AF481" s="1">
        <f>0</f>
        <v>0</v>
      </c>
      <c r="AG481" s="1">
        <f>0</f>
        <v>0</v>
      </c>
      <c r="AH481" s="1">
        <f>0</f>
        <v>0</v>
      </c>
      <c r="AI481" s="1">
        <f>0</f>
        <v>0</v>
      </c>
      <c r="AJ481" s="1"/>
      <c r="AK481" s="1" t="b">
        <v>1</v>
      </c>
      <c r="AL481" s="1"/>
      <c r="AM481" s="1"/>
      <c r="AN481" s="1"/>
      <c r="AO481" s="1"/>
      <c r="AP481" s="1"/>
      <c r="AQ481" s="1"/>
      <c r="AR481" s="1"/>
      <c r="AS481" s="1"/>
      <c r="AT481" s="1"/>
      <c r="AU481" s="1"/>
      <c r="AV481" s="1"/>
      <c r="AW481" s="1"/>
      <c r="AX481" s="1"/>
      <c r="AY481" s="1"/>
      <c r="AZ481" s="1"/>
    </row>
    <row r="482" spans="1:52" ht="15" customHeight="1" x14ac:dyDescent="0.35">
      <c r="A482" s="1" t="s">
        <v>1759</v>
      </c>
      <c r="B482" s="1" t="s">
        <v>213</v>
      </c>
      <c r="C482" s="1" t="s">
        <v>640</v>
      </c>
      <c r="D482" s="1"/>
      <c r="E482" s="1" t="s">
        <v>614</v>
      </c>
      <c r="F482" s="9" t="s">
        <v>1760</v>
      </c>
      <c r="G482" s="1" t="s">
        <v>38</v>
      </c>
      <c r="H4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2" s="11">
        <f>0</f>
        <v>0</v>
      </c>
      <c r="J482" s="1">
        <f>0</f>
        <v>0</v>
      </c>
      <c r="K482" s="1"/>
      <c r="L482" s="1">
        <v>0</v>
      </c>
      <c r="M482" s="1">
        <f>0</f>
        <v>0</v>
      </c>
      <c r="N482" s="1">
        <f>0</f>
        <v>0</v>
      </c>
      <c r="O482" s="1">
        <f>0</f>
        <v>0</v>
      </c>
      <c r="P482" s="1"/>
      <c r="Q482" s="1">
        <v>0</v>
      </c>
      <c r="R482" s="1">
        <v>0</v>
      </c>
      <c r="S482" s="1">
        <f>0</f>
        <v>0</v>
      </c>
      <c r="T482" s="1">
        <f>0</f>
        <v>0</v>
      </c>
      <c r="U482" s="1"/>
      <c r="V482" s="1">
        <v>0</v>
      </c>
      <c r="W482" s="1">
        <v>0</v>
      </c>
      <c r="X482" s="1">
        <f>0</f>
        <v>0</v>
      </c>
      <c r="Y482" s="1">
        <f>0</f>
        <v>0</v>
      </c>
      <c r="Z482" s="1">
        <f>0</f>
        <v>0</v>
      </c>
      <c r="AA482" s="1"/>
      <c r="AB482" s="5"/>
      <c r="AC482" s="5"/>
      <c r="AD482" s="1">
        <f>0</f>
        <v>0</v>
      </c>
      <c r="AE482" s="1">
        <f>0</f>
        <v>0</v>
      </c>
      <c r="AF482" s="1">
        <f>0</f>
        <v>0</v>
      </c>
      <c r="AG482" s="1">
        <f>0</f>
        <v>0</v>
      </c>
      <c r="AH482" s="1">
        <f>0</f>
        <v>0</v>
      </c>
      <c r="AI482" s="1">
        <f>0</f>
        <v>0</v>
      </c>
      <c r="AJ482" s="1"/>
      <c r="AK482" s="1" t="b">
        <v>1</v>
      </c>
      <c r="AL482" s="1"/>
      <c r="AM482" s="1"/>
      <c r="AN482" s="1"/>
      <c r="AO482" s="1"/>
      <c r="AP482" s="1"/>
      <c r="AQ482" s="1"/>
      <c r="AR482" s="1"/>
      <c r="AS482" s="1"/>
      <c r="AT482" s="1"/>
      <c r="AU482" s="1"/>
      <c r="AV482" s="1"/>
      <c r="AW482" s="1"/>
      <c r="AX482" s="1"/>
      <c r="AY482" s="1"/>
      <c r="AZ482" s="1"/>
    </row>
    <row r="483" spans="1:52" ht="15" customHeight="1" x14ac:dyDescent="0.35">
      <c r="A483" s="1" t="s">
        <v>1761</v>
      </c>
      <c r="B483" s="1" t="s">
        <v>214</v>
      </c>
      <c r="C483" s="1" t="s">
        <v>640</v>
      </c>
      <c r="D483" s="1"/>
      <c r="E483" s="1" t="s">
        <v>614</v>
      </c>
      <c r="F483" s="9" t="s">
        <v>1762</v>
      </c>
      <c r="G483" s="1" t="s">
        <v>38</v>
      </c>
      <c r="H4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3" s="11">
        <f>0</f>
        <v>0</v>
      </c>
      <c r="J483" s="1">
        <f>0</f>
        <v>0</v>
      </c>
      <c r="K483" s="1"/>
      <c r="L483" s="1">
        <v>0</v>
      </c>
      <c r="M483" s="1">
        <f>0</f>
        <v>0</v>
      </c>
      <c r="N483" s="1">
        <f>0</f>
        <v>0</v>
      </c>
      <c r="O483" s="1">
        <f>0</f>
        <v>0</v>
      </c>
      <c r="P483" s="1"/>
      <c r="Q483" s="1">
        <v>0</v>
      </c>
      <c r="R483" s="1">
        <v>0</v>
      </c>
      <c r="S483" s="1">
        <f>0</f>
        <v>0</v>
      </c>
      <c r="T483" s="1">
        <f>0</f>
        <v>0</v>
      </c>
      <c r="U483" s="1"/>
      <c r="V483" s="1">
        <v>0</v>
      </c>
      <c r="W483" s="1">
        <v>0</v>
      </c>
      <c r="X483" s="1">
        <f>0</f>
        <v>0</v>
      </c>
      <c r="Y483" s="1">
        <f>0</f>
        <v>0</v>
      </c>
      <c r="Z483" s="1">
        <f>0</f>
        <v>0</v>
      </c>
      <c r="AA483" s="1"/>
      <c r="AB483" s="5"/>
      <c r="AC483" s="5"/>
      <c r="AD483" s="1">
        <f>0</f>
        <v>0</v>
      </c>
      <c r="AE483" s="1">
        <f>0</f>
        <v>0</v>
      </c>
      <c r="AF483" s="1">
        <f>0</f>
        <v>0</v>
      </c>
      <c r="AG483" s="1">
        <f>0</f>
        <v>0</v>
      </c>
      <c r="AH483" s="1">
        <f>0</f>
        <v>0</v>
      </c>
      <c r="AI483" s="1">
        <f>0</f>
        <v>0</v>
      </c>
      <c r="AJ483" s="1"/>
      <c r="AK483" s="1" t="b">
        <v>1</v>
      </c>
      <c r="AL483" s="1"/>
      <c r="AM483" s="1"/>
      <c r="AN483" s="1"/>
      <c r="AO483" s="1"/>
      <c r="AP483" s="1"/>
      <c r="AQ483" s="1"/>
      <c r="AR483" s="1"/>
      <c r="AS483" s="1"/>
      <c r="AT483" s="1"/>
      <c r="AU483" s="1"/>
      <c r="AV483" s="1"/>
      <c r="AW483" s="1"/>
      <c r="AX483" s="1"/>
      <c r="AY483" s="1"/>
      <c r="AZ483" s="1"/>
    </row>
    <row r="484" spans="1:52" ht="15" customHeight="1" x14ac:dyDescent="0.35">
      <c r="A484" s="1" t="s">
        <v>1763</v>
      </c>
      <c r="B484" s="1" t="s">
        <v>215</v>
      </c>
      <c r="C484" s="1" t="s">
        <v>640</v>
      </c>
      <c r="D484" s="1"/>
      <c r="E484" s="1" t="s">
        <v>614</v>
      </c>
      <c r="F484" s="9" t="s">
        <v>1764</v>
      </c>
      <c r="G484" s="1" t="s">
        <v>38</v>
      </c>
      <c r="H4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4" s="11">
        <f>0</f>
        <v>0</v>
      </c>
      <c r="J484" s="1">
        <f>0</f>
        <v>0</v>
      </c>
      <c r="K484" s="1"/>
      <c r="L484" s="1">
        <v>0</v>
      </c>
      <c r="M484" s="1">
        <f>0</f>
        <v>0</v>
      </c>
      <c r="N484" s="1">
        <f>0</f>
        <v>0</v>
      </c>
      <c r="O484" s="1">
        <f>0</f>
        <v>0</v>
      </c>
      <c r="P484" s="1"/>
      <c r="Q484" s="1">
        <v>0</v>
      </c>
      <c r="R484" s="1">
        <v>0</v>
      </c>
      <c r="S484" s="1">
        <f>0</f>
        <v>0</v>
      </c>
      <c r="T484" s="1">
        <f>0</f>
        <v>0</v>
      </c>
      <c r="U484" s="1"/>
      <c r="V484" s="1">
        <v>0</v>
      </c>
      <c r="W484" s="1">
        <v>0</v>
      </c>
      <c r="X484" s="1">
        <f>0</f>
        <v>0</v>
      </c>
      <c r="Y484" s="1">
        <f>0</f>
        <v>0</v>
      </c>
      <c r="Z484" s="1">
        <f>0</f>
        <v>0</v>
      </c>
      <c r="AA484" s="1"/>
      <c r="AB484" s="5"/>
      <c r="AC484" s="5"/>
      <c r="AD484" s="1">
        <f>0</f>
        <v>0</v>
      </c>
      <c r="AE484" s="1">
        <f>0</f>
        <v>0</v>
      </c>
      <c r="AF484" s="1">
        <f>0</f>
        <v>0</v>
      </c>
      <c r="AG484" s="1">
        <f>0</f>
        <v>0</v>
      </c>
      <c r="AH484" s="1">
        <f>0</f>
        <v>0</v>
      </c>
      <c r="AI484" s="1">
        <f>0</f>
        <v>0</v>
      </c>
      <c r="AJ484" s="1"/>
      <c r="AK484" s="1" t="b">
        <v>1</v>
      </c>
      <c r="AL484" s="1"/>
      <c r="AM484" s="1"/>
      <c r="AN484" s="1"/>
      <c r="AO484" s="1"/>
      <c r="AP484" s="1"/>
      <c r="AQ484" s="1"/>
      <c r="AR484" s="1"/>
      <c r="AS484" s="1"/>
      <c r="AT484" s="1"/>
      <c r="AU484" s="1"/>
      <c r="AV484" s="1"/>
      <c r="AW484" s="1"/>
      <c r="AX484" s="1"/>
      <c r="AY484" s="1"/>
      <c r="AZ484" s="1"/>
    </row>
    <row r="485" spans="1:52" ht="15" customHeight="1" x14ac:dyDescent="0.35">
      <c r="A485" s="1" t="s">
        <v>1765</v>
      </c>
      <c r="B485" s="1" t="s">
        <v>216</v>
      </c>
      <c r="C485" s="1" t="s">
        <v>640</v>
      </c>
      <c r="D485" s="1"/>
      <c r="E485" s="1" t="s">
        <v>614</v>
      </c>
      <c r="F485" s="9" t="s">
        <v>1766</v>
      </c>
      <c r="G485" s="1" t="s">
        <v>38</v>
      </c>
      <c r="H4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5" s="11">
        <f>0</f>
        <v>0</v>
      </c>
      <c r="J485" s="1">
        <f>0</f>
        <v>0</v>
      </c>
      <c r="K485" s="1"/>
      <c r="L485" s="1">
        <v>0</v>
      </c>
      <c r="M485" s="1">
        <f>0</f>
        <v>0</v>
      </c>
      <c r="N485" s="1">
        <f>0</f>
        <v>0</v>
      </c>
      <c r="O485" s="1">
        <f>0</f>
        <v>0</v>
      </c>
      <c r="P485" s="1"/>
      <c r="Q485" s="1">
        <v>0</v>
      </c>
      <c r="R485" s="1">
        <v>0</v>
      </c>
      <c r="S485" s="1">
        <f>0</f>
        <v>0</v>
      </c>
      <c r="T485" s="1">
        <f>0</f>
        <v>0</v>
      </c>
      <c r="U485" s="1"/>
      <c r="V485" s="1">
        <v>0</v>
      </c>
      <c r="W485" s="1">
        <v>0</v>
      </c>
      <c r="X485" s="1">
        <f>0</f>
        <v>0</v>
      </c>
      <c r="Y485" s="1">
        <f>0</f>
        <v>0</v>
      </c>
      <c r="Z485" s="1">
        <f>0</f>
        <v>0</v>
      </c>
      <c r="AA485" s="1"/>
      <c r="AB485" s="5"/>
      <c r="AC485" s="5"/>
      <c r="AD485" s="1">
        <f>0</f>
        <v>0</v>
      </c>
      <c r="AE485" s="1">
        <f>0</f>
        <v>0</v>
      </c>
      <c r="AF485" s="1">
        <f>0</f>
        <v>0</v>
      </c>
      <c r="AG485" s="1">
        <f>0</f>
        <v>0</v>
      </c>
      <c r="AH485" s="1">
        <f>0</f>
        <v>0</v>
      </c>
      <c r="AI485" s="1">
        <f>0</f>
        <v>0</v>
      </c>
      <c r="AJ485" s="1"/>
      <c r="AK485" s="1" t="b">
        <v>1</v>
      </c>
      <c r="AL485" s="1"/>
      <c r="AM485" s="1"/>
      <c r="AN485" s="1"/>
      <c r="AO485" s="1"/>
      <c r="AP485" s="1"/>
      <c r="AQ485" s="1"/>
      <c r="AR485" s="1"/>
      <c r="AS485" s="1"/>
      <c r="AT485" s="1"/>
      <c r="AU485" s="1"/>
      <c r="AV485" s="1"/>
      <c r="AW485" s="1"/>
      <c r="AX485" s="1"/>
      <c r="AY485" s="1"/>
      <c r="AZ485" s="1"/>
    </row>
    <row r="486" spans="1:52" ht="15" customHeight="1" x14ac:dyDescent="0.35">
      <c r="A486" s="1" t="s">
        <v>1767</v>
      </c>
      <c r="B486" s="1" t="s">
        <v>217</v>
      </c>
      <c r="C486" s="1" t="s">
        <v>640</v>
      </c>
      <c r="D486" s="1"/>
      <c r="E486" s="1" t="s">
        <v>614</v>
      </c>
      <c r="F486" s="9" t="s">
        <v>1768</v>
      </c>
      <c r="G486" s="1" t="s">
        <v>38</v>
      </c>
      <c r="H4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6" s="11">
        <f>0</f>
        <v>0</v>
      </c>
      <c r="J486" s="1">
        <f>0</f>
        <v>0</v>
      </c>
      <c r="K486" s="1"/>
      <c r="L486" s="1">
        <v>0</v>
      </c>
      <c r="M486" s="1">
        <f>0</f>
        <v>0</v>
      </c>
      <c r="N486" s="1">
        <f>0</f>
        <v>0</v>
      </c>
      <c r="O486" s="1">
        <f>0</f>
        <v>0</v>
      </c>
      <c r="P486" s="1"/>
      <c r="Q486" s="1">
        <v>0</v>
      </c>
      <c r="R486" s="1">
        <v>0</v>
      </c>
      <c r="S486" s="1">
        <f>0</f>
        <v>0</v>
      </c>
      <c r="T486" s="1">
        <f>0</f>
        <v>0</v>
      </c>
      <c r="U486" s="1"/>
      <c r="V486" s="1">
        <v>0</v>
      </c>
      <c r="W486" s="1">
        <v>0</v>
      </c>
      <c r="X486" s="1">
        <f>0</f>
        <v>0</v>
      </c>
      <c r="Y486" s="1">
        <f>0</f>
        <v>0</v>
      </c>
      <c r="Z486" s="1">
        <f>0</f>
        <v>0</v>
      </c>
      <c r="AA486" s="1"/>
      <c r="AB486" s="5"/>
      <c r="AC486" s="5"/>
      <c r="AD486" s="1">
        <f>0</f>
        <v>0</v>
      </c>
      <c r="AE486" s="1">
        <f>0</f>
        <v>0</v>
      </c>
      <c r="AF486" s="1">
        <f>0</f>
        <v>0</v>
      </c>
      <c r="AG486" s="1">
        <f>0</f>
        <v>0</v>
      </c>
      <c r="AH486" s="1">
        <f>0</f>
        <v>0</v>
      </c>
      <c r="AI486" s="1">
        <f>0</f>
        <v>0</v>
      </c>
      <c r="AJ486" s="1"/>
      <c r="AK486" s="1" t="b">
        <v>1</v>
      </c>
      <c r="AL486" s="1"/>
      <c r="AM486" s="1"/>
      <c r="AN486" s="1"/>
      <c r="AO486" s="1"/>
      <c r="AP486" s="1"/>
      <c r="AQ486" s="1"/>
      <c r="AR486" s="1"/>
      <c r="AS486" s="1"/>
      <c r="AT486" s="1"/>
      <c r="AU486" s="1"/>
      <c r="AV486" s="1"/>
      <c r="AW486" s="1"/>
      <c r="AX486" s="1"/>
      <c r="AY486" s="1"/>
      <c r="AZ486" s="1"/>
    </row>
    <row r="487" spans="1:52" ht="15" customHeight="1" x14ac:dyDescent="0.35">
      <c r="A487" s="1" t="s">
        <v>1769</v>
      </c>
      <c r="B487" s="1" t="s">
        <v>218</v>
      </c>
      <c r="C487" s="1" t="s">
        <v>640</v>
      </c>
      <c r="D487" s="1"/>
      <c r="E487" s="1" t="s">
        <v>614</v>
      </c>
      <c r="F487" s="9" t="s">
        <v>1770</v>
      </c>
      <c r="G487" s="1" t="s">
        <v>38</v>
      </c>
      <c r="H4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7" s="11">
        <f>0</f>
        <v>0</v>
      </c>
      <c r="J487" s="1">
        <f>0</f>
        <v>0</v>
      </c>
      <c r="K487" s="1"/>
      <c r="L487" s="1">
        <v>0</v>
      </c>
      <c r="M487" s="1">
        <f>0</f>
        <v>0</v>
      </c>
      <c r="N487" s="1">
        <f>0</f>
        <v>0</v>
      </c>
      <c r="O487" s="1">
        <f>0</f>
        <v>0</v>
      </c>
      <c r="P487" s="1"/>
      <c r="Q487" s="1">
        <v>0</v>
      </c>
      <c r="R487" s="1">
        <v>0</v>
      </c>
      <c r="S487" s="1">
        <f>0</f>
        <v>0</v>
      </c>
      <c r="T487" s="1">
        <f>0</f>
        <v>0</v>
      </c>
      <c r="U487" s="1"/>
      <c r="V487" s="1">
        <v>0</v>
      </c>
      <c r="W487" s="1">
        <v>0</v>
      </c>
      <c r="X487" s="1">
        <f>0</f>
        <v>0</v>
      </c>
      <c r="Y487" s="1">
        <f>0</f>
        <v>0</v>
      </c>
      <c r="Z487" s="1">
        <f>0</f>
        <v>0</v>
      </c>
      <c r="AA487" s="1"/>
      <c r="AB487" s="5"/>
      <c r="AC487" s="5"/>
      <c r="AD487" s="1">
        <f>0</f>
        <v>0</v>
      </c>
      <c r="AE487" s="1">
        <f>0</f>
        <v>0</v>
      </c>
      <c r="AF487" s="1">
        <f>0</f>
        <v>0</v>
      </c>
      <c r="AG487" s="1">
        <f>0</f>
        <v>0</v>
      </c>
      <c r="AH487" s="1">
        <f>0</f>
        <v>0</v>
      </c>
      <c r="AI487" s="1">
        <f>0</f>
        <v>0</v>
      </c>
      <c r="AJ487" s="1"/>
      <c r="AK487" s="1" t="b">
        <v>1</v>
      </c>
      <c r="AL487" s="1"/>
      <c r="AM487" s="1"/>
      <c r="AN487" s="1"/>
      <c r="AO487" s="1"/>
      <c r="AP487" s="1"/>
      <c r="AQ487" s="1"/>
      <c r="AR487" s="1"/>
      <c r="AS487" s="1"/>
      <c r="AT487" s="1"/>
      <c r="AU487" s="1"/>
      <c r="AV487" s="1"/>
      <c r="AW487" s="1"/>
      <c r="AX487" s="1"/>
      <c r="AY487" s="1"/>
      <c r="AZ487" s="1"/>
    </row>
    <row r="488" spans="1:52" ht="15" customHeight="1" x14ac:dyDescent="0.35">
      <c r="A488" s="1" t="s">
        <v>1771</v>
      </c>
      <c r="B488" s="1" t="s">
        <v>219</v>
      </c>
      <c r="C488" s="1" t="s">
        <v>640</v>
      </c>
      <c r="D488" s="1"/>
      <c r="E488" s="1" t="s">
        <v>614</v>
      </c>
      <c r="F488" s="9" t="s">
        <v>1772</v>
      </c>
      <c r="G488" s="1" t="s">
        <v>38</v>
      </c>
      <c r="H4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8" s="11">
        <f>0</f>
        <v>0</v>
      </c>
      <c r="J488" s="1">
        <f>0</f>
        <v>0</v>
      </c>
      <c r="K488" s="1"/>
      <c r="L488" s="1">
        <v>0</v>
      </c>
      <c r="M488" s="1">
        <f>0</f>
        <v>0</v>
      </c>
      <c r="N488" s="1">
        <f>0</f>
        <v>0</v>
      </c>
      <c r="O488" s="1">
        <f>0</f>
        <v>0</v>
      </c>
      <c r="P488" s="1"/>
      <c r="Q488" s="1">
        <v>0</v>
      </c>
      <c r="R488" s="1">
        <v>0</v>
      </c>
      <c r="S488" s="1">
        <f>0</f>
        <v>0</v>
      </c>
      <c r="T488" s="1">
        <f>0</f>
        <v>0</v>
      </c>
      <c r="U488" s="1"/>
      <c r="V488" s="1">
        <v>0</v>
      </c>
      <c r="W488" s="1">
        <v>0</v>
      </c>
      <c r="X488" s="1">
        <f>0</f>
        <v>0</v>
      </c>
      <c r="Y488" s="1">
        <f>0</f>
        <v>0</v>
      </c>
      <c r="Z488" s="1">
        <f>0</f>
        <v>0</v>
      </c>
      <c r="AA488" s="1"/>
      <c r="AB488" s="5"/>
      <c r="AC488" s="5"/>
      <c r="AD488" s="1">
        <f>0</f>
        <v>0</v>
      </c>
      <c r="AE488" s="1">
        <f>0</f>
        <v>0</v>
      </c>
      <c r="AF488" s="1">
        <f>0</f>
        <v>0</v>
      </c>
      <c r="AG488" s="1">
        <f>0</f>
        <v>0</v>
      </c>
      <c r="AH488" s="1">
        <f>0</f>
        <v>0</v>
      </c>
      <c r="AI488" s="1">
        <f>0</f>
        <v>0</v>
      </c>
      <c r="AJ488" s="1"/>
      <c r="AK488" s="1" t="b">
        <v>1</v>
      </c>
      <c r="AL488" s="1"/>
      <c r="AM488" s="1"/>
      <c r="AN488" s="1"/>
      <c r="AO488" s="1"/>
      <c r="AP488" s="1"/>
      <c r="AQ488" s="1"/>
      <c r="AR488" s="1"/>
      <c r="AS488" s="1"/>
      <c r="AT488" s="1"/>
      <c r="AU488" s="1"/>
      <c r="AV488" s="1"/>
      <c r="AW488" s="1"/>
      <c r="AX488" s="1"/>
      <c r="AY488" s="1"/>
      <c r="AZ488" s="1"/>
    </row>
    <row r="489" spans="1:52" ht="15" customHeight="1" x14ac:dyDescent="0.35">
      <c r="A489" s="1" t="s">
        <v>1773</v>
      </c>
      <c r="B489" s="1" t="s">
        <v>220</v>
      </c>
      <c r="C489" s="1" t="s">
        <v>640</v>
      </c>
      <c r="D489" s="1"/>
      <c r="E489" s="1" t="s">
        <v>614</v>
      </c>
      <c r="F489" s="9" t="s">
        <v>1774</v>
      </c>
      <c r="G489" s="1" t="s">
        <v>38</v>
      </c>
      <c r="H4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89" s="11">
        <f>0</f>
        <v>0</v>
      </c>
      <c r="J489" s="1">
        <f>0</f>
        <v>0</v>
      </c>
      <c r="K489" s="1"/>
      <c r="L489" s="1">
        <v>0</v>
      </c>
      <c r="M489" s="1">
        <f>0</f>
        <v>0</v>
      </c>
      <c r="N489" s="1">
        <f>0</f>
        <v>0</v>
      </c>
      <c r="O489" s="1">
        <f>0</f>
        <v>0</v>
      </c>
      <c r="P489" s="1"/>
      <c r="Q489" s="1">
        <v>0</v>
      </c>
      <c r="R489" s="1">
        <v>0</v>
      </c>
      <c r="S489" s="1">
        <f>0</f>
        <v>0</v>
      </c>
      <c r="T489" s="1">
        <f>0</f>
        <v>0</v>
      </c>
      <c r="U489" s="1"/>
      <c r="V489" s="1">
        <v>0</v>
      </c>
      <c r="W489" s="1">
        <v>0</v>
      </c>
      <c r="X489" s="1">
        <f>0</f>
        <v>0</v>
      </c>
      <c r="Y489" s="1">
        <f>0</f>
        <v>0</v>
      </c>
      <c r="Z489" s="1">
        <f>0</f>
        <v>0</v>
      </c>
      <c r="AA489" s="1"/>
      <c r="AB489" s="5"/>
      <c r="AC489" s="5"/>
      <c r="AD489" s="1">
        <f>0</f>
        <v>0</v>
      </c>
      <c r="AE489" s="1">
        <f>0</f>
        <v>0</v>
      </c>
      <c r="AF489" s="1">
        <f>0</f>
        <v>0</v>
      </c>
      <c r="AG489" s="1">
        <f>0</f>
        <v>0</v>
      </c>
      <c r="AH489" s="1">
        <f>0</f>
        <v>0</v>
      </c>
      <c r="AI489" s="1">
        <f>0</f>
        <v>0</v>
      </c>
      <c r="AJ489" s="1"/>
      <c r="AK489" s="1" t="b">
        <v>1</v>
      </c>
      <c r="AL489" s="1"/>
      <c r="AM489" s="1"/>
      <c r="AN489" s="1"/>
      <c r="AO489" s="1"/>
      <c r="AP489" s="1"/>
      <c r="AQ489" s="1"/>
      <c r="AR489" s="1"/>
      <c r="AS489" s="1"/>
      <c r="AT489" s="1"/>
      <c r="AU489" s="1"/>
      <c r="AV489" s="1"/>
      <c r="AW489" s="1"/>
      <c r="AX489" s="1"/>
      <c r="AY489" s="1"/>
      <c r="AZ489" s="1"/>
    </row>
    <row r="490" spans="1:52" ht="15" customHeight="1" x14ac:dyDescent="0.35">
      <c r="A490" s="1" t="s">
        <v>1775</v>
      </c>
      <c r="B490" s="1" t="s">
        <v>221</v>
      </c>
      <c r="C490" s="1" t="s">
        <v>640</v>
      </c>
      <c r="D490" s="1"/>
      <c r="E490" s="1" t="s">
        <v>614</v>
      </c>
      <c r="F490" s="9" t="s">
        <v>1776</v>
      </c>
      <c r="G490" s="1" t="s">
        <v>38</v>
      </c>
      <c r="H4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0" s="11">
        <f>0</f>
        <v>0</v>
      </c>
      <c r="J490" s="1">
        <f>0</f>
        <v>0</v>
      </c>
      <c r="K490" s="1"/>
      <c r="L490" s="1">
        <v>0</v>
      </c>
      <c r="M490" s="1">
        <f>0</f>
        <v>0</v>
      </c>
      <c r="N490" s="1">
        <f>0</f>
        <v>0</v>
      </c>
      <c r="O490" s="1">
        <f>0</f>
        <v>0</v>
      </c>
      <c r="P490" s="1"/>
      <c r="Q490" s="1">
        <v>0</v>
      </c>
      <c r="R490" s="1">
        <v>0</v>
      </c>
      <c r="S490" s="1">
        <f>0</f>
        <v>0</v>
      </c>
      <c r="T490" s="1">
        <f>0</f>
        <v>0</v>
      </c>
      <c r="U490" s="1"/>
      <c r="V490" s="1">
        <v>0</v>
      </c>
      <c r="W490" s="1">
        <v>0</v>
      </c>
      <c r="X490" s="1">
        <f>0</f>
        <v>0</v>
      </c>
      <c r="Y490" s="1">
        <f>0</f>
        <v>0</v>
      </c>
      <c r="Z490" s="1">
        <f>0</f>
        <v>0</v>
      </c>
      <c r="AA490" s="1"/>
      <c r="AB490" s="5"/>
      <c r="AC490" s="5"/>
      <c r="AD490" s="1">
        <f>0</f>
        <v>0</v>
      </c>
      <c r="AE490" s="1">
        <f>0</f>
        <v>0</v>
      </c>
      <c r="AF490" s="1">
        <f>0</f>
        <v>0</v>
      </c>
      <c r="AG490" s="1">
        <f>0</f>
        <v>0</v>
      </c>
      <c r="AH490" s="1">
        <f>0</f>
        <v>0</v>
      </c>
      <c r="AI490" s="1">
        <f>0</f>
        <v>0</v>
      </c>
      <c r="AJ490" s="1"/>
      <c r="AK490" s="1" t="b">
        <v>1</v>
      </c>
      <c r="AL490" s="1"/>
      <c r="AM490" s="1"/>
      <c r="AN490" s="1"/>
      <c r="AO490" s="1"/>
      <c r="AP490" s="1"/>
      <c r="AQ490" s="1"/>
      <c r="AR490" s="1"/>
      <c r="AS490" s="1"/>
      <c r="AT490" s="1"/>
      <c r="AU490" s="1"/>
      <c r="AV490" s="1"/>
      <c r="AW490" s="1"/>
      <c r="AX490" s="1"/>
      <c r="AY490" s="1"/>
      <c r="AZ490" s="1"/>
    </row>
    <row r="491" spans="1:52" ht="15" customHeight="1" x14ac:dyDescent="0.35">
      <c r="A491" s="1" t="s">
        <v>1777</v>
      </c>
      <c r="B491" s="1" t="s">
        <v>222</v>
      </c>
      <c r="C491" s="1" t="s">
        <v>640</v>
      </c>
      <c r="D491" s="1"/>
      <c r="E491" s="1" t="s">
        <v>614</v>
      </c>
      <c r="F491" s="9" t="s">
        <v>1778</v>
      </c>
      <c r="G491" s="1" t="s">
        <v>38</v>
      </c>
      <c r="H4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1" s="11">
        <f>0</f>
        <v>0</v>
      </c>
      <c r="J491" s="1">
        <f>0</f>
        <v>0</v>
      </c>
      <c r="K491" s="1"/>
      <c r="L491" s="1">
        <v>0</v>
      </c>
      <c r="M491" s="1">
        <f>0</f>
        <v>0</v>
      </c>
      <c r="N491" s="1">
        <f>0</f>
        <v>0</v>
      </c>
      <c r="O491" s="1">
        <f>0</f>
        <v>0</v>
      </c>
      <c r="P491" s="1"/>
      <c r="Q491" s="1">
        <v>0</v>
      </c>
      <c r="R491" s="1">
        <v>0</v>
      </c>
      <c r="S491" s="1">
        <f>0</f>
        <v>0</v>
      </c>
      <c r="T491" s="1">
        <f>0</f>
        <v>0</v>
      </c>
      <c r="U491" s="1"/>
      <c r="V491" s="1">
        <v>0</v>
      </c>
      <c r="W491" s="1">
        <v>0</v>
      </c>
      <c r="X491" s="1">
        <f>0</f>
        <v>0</v>
      </c>
      <c r="Y491" s="1">
        <f>0</f>
        <v>0</v>
      </c>
      <c r="Z491" s="1">
        <f>0</f>
        <v>0</v>
      </c>
      <c r="AA491" s="1"/>
      <c r="AB491" s="5"/>
      <c r="AC491" s="5"/>
      <c r="AD491" s="1">
        <f>0</f>
        <v>0</v>
      </c>
      <c r="AE491" s="1">
        <f>0</f>
        <v>0</v>
      </c>
      <c r="AF491" s="1">
        <f>0</f>
        <v>0</v>
      </c>
      <c r="AG491" s="1">
        <f>0</f>
        <v>0</v>
      </c>
      <c r="AH491" s="1">
        <f>0</f>
        <v>0</v>
      </c>
      <c r="AI491" s="1">
        <f>0</f>
        <v>0</v>
      </c>
      <c r="AJ491" s="1"/>
      <c r="AK491" s="1" t="b">
        <v>1</v>
      </c>
      <c r="AL491" s="1"/>
      <c r="AM491" s="1"/>
      <c r="AN491" s="1"/>
      <c r="AO491" s="1"/>
      <c r="AP491" s="1"/>
      <c r="AQ491" s="1"/>
      <c r="AR491" s="1"/>
      <c r="AS491" s="1"/>
      <c r="AT491" s="1"/>
      <c r="AU491" s="1"/>
      <c r="AV491" s="1"/>
      <c r="AW491" s="1"/>
      <c r="AX491" s="1"/>
      <c r="AY491" s="1"/>
      <c r="AZ491" s="1"/>
    </row>
    <row r="492" spans="1:52" ht="15" customHeight="1" x14ac:dyDescent="0.35">
      <c r="A492" s="1" t="s">
        <v>1779</v>
      </c>
      <c r="B492" s="1" t="s">
        <v>223</v>
      </c>
      <c r="C492" s="1" t="s">
        <v>640</v>
      </c>
      <c r="D492" s="1"/>
      <c r="E492" s="1" t="s">
        <v>614</v>
      </c>
      <c r="F492" s="9" t="s">
        <v>1780</v>
      </c>
      <c r="G492" s="1" t="s">
        <v>38</v>
      </c>
      <c r="H4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2" s="11">
        <f>0</f>
        <v>0</v>
      </c>
      <c r="J492" s="1">
        <f>0</f>
        <v>0</v>
      </c>
      <c r="K492" s="1"/>
      <c r="L492" s="1">
        <v>0</v>
      </c>
      <c r="M492" s="1">
        <f>0</f>
        <v>0</v>
      </c>
      <c r="N492" s="1">
        <f>0</f>
        <v>0</v>
      </c>
      <c r="O492" s="1">
        <f>0</f>
        <v>0</v>
      </c>
      <c r="P492" s="1"/>
      <c r="Q492" s="1">
        <v>0</v>
      </c>
      <c r="R492" s="1">
        <v>0</v>
      </c>
      <c r="S492" s="1">
        <f>0</f>
        <v>0</v>
      </c>
      <c r="T492" s="1">
        <f>0</f>
        <v>0</v>
      </c>
      <c r="U492" s="1"/>
      <c r="V492" s="1">
        <v>0</v>
      </c>
      <c r="W492" s="1">
        <v>0</v>
      </c>
      <c r="X492" s="1">
        <f>0</f>
        <v>0</v>
      </c>
      <c r="Y492" s="1">
        <f>0</f>
        <v>0</v>
      </c>
      <c r="Z492" s="1">
        <f>0</f>
        <v>0</v>
      </c>
      <c r="AA492" s="1"/>
      <c r="AB492" s="5"/>
      <c r="AC492" s="5"/>
      <c r="AD492" s="1">
        <f>0</f>
        <v>0</v>
      </c>
      <c r="AE492" s="1">
        <f>0</f>
        <v>0</v>
      </c>
      <c r="AF492" s="1">
        <f>0</f>
        <v>0</v>
      </c>
      <c r="AG492" s="1">
        <f>0</f>
        <v>0</v>
      </c>
      <c r="AH492" s="1">
        <f>0</f>
        <v>0</v>
      </c>
      <c r="AI492" s="1">
        <f>0</f>
        <v>0</v>
      </c>
      <c r="AJ492" s="1"/>
      <c r="AK492" s="1" t="b">
        <v>1</v>
      </c>
      <c r="AL492" s="1"/>
      <c r="AM492" s="1"/>
      <c r="AN492" s="1"/>
      <c r="AO492" s="1"/>
      <c r="AP492" s="1"/>
      <c r="AQ492" s="1"/>
      <c r="AR492" s="1"/>
      <c r="AS492" s="1"/>
      <c r="AT492" s="1"/>
      <c r="AU492" s="1"/>
      <c r="AV492" s="1"/>
      <c r="AW492" s="1"/>
      <c r="AX492" s="1"/>
      <c r="AY492" s="1"/>
      <c r="AZ492" s="1"/>
    </row>
    <row r="493" spans="1:52" ht="15" customHeight="1" x14ac:dyDescent="0.35">
      <c r="A493" s="1" t="s">
        <v>1781</v>
      </c>
      <c r="B493" s="1" t="s">
        <v>224</v>
      </c>
      <c r="C493" s="1" t="s">
        <v>640</v>
      </c>
      <c r="D493" s="1"/>
      <c r="E493" s="1" t="s">
        <v>614</v>
      </c>
      <c r="F493" s="9" t="s">
        <v>1782</v>
      </c>
      <c r="G493" s="1" t="s">
        <v>38</v>
      </c>
      <c r="H4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3" s="11">
        <f>0</f>
        <v>0</v>
      </c>
      <c r="J493" s="1">
        <f>0</f>
        <v>0</v>
      </c>
      <c r="K493" s="1"/>
      <c r="L493" s="1">
        <v>0</v>
      </c>
      <c r="M493" s="1">
        <f>0</f>
        <v>0</v>
      </c>
      <c r="N493" s="1">
        <f>0</f>
        <v>0</v>
      </c>
      <c r="O493" s="1">
        <f>0</f>
        <v>0</v>
      </c>
      <c r="P493" s="1"/>
      <c r="Q493" s="1">
        <v>0</v>
      </c>
      <c r="R493" s="1">
        <v>0</v>
      </c>
      <c r="S493" s="1">
        <f>0</f>
        <v>0</v>
      </c>
      <c r="T493" s="1">
        <f>0</f>
        <v>0</v>
      </c>
      <c r="U493" s="1"/>
      <c r="V493" s="1">
        <v>0</v>
      </c>
      <c r="W493" s="1">
        <v>0</v>
      </c>
      <c r="X493" s="1">
        <f>0</f>
        <v>0</v>
      </c>
      <c r="Y493" s="1">
        <f>0</f>
        <v>0</v>
      </c>
      <c r="Z493" s="1">
        <f>0</f>
        <v>0</v>
      </c>
      <c r="AA493" s="1"/>
      <c r="AB493" s="5"/>
      <c r="AC493" s="5"/>
      <c r="AD493" s="1">
        <f>0</f>
        <v>0</v>
      </c>
      <c r="AE493" s="1">
        <f>0</f>
        <v>0</v>
      </c>
      <c r="AF493" s="1">
        <f>0</f>
        <v>0</v>
      </c>
      <c r="AG493" s="1">
        <f>0</f>
        <v>0</v>
      </c>
      <c r="AH493" s="1">
        <f>0</f>
        <v>0</v>
      </c>
      <c r="AI493" s="1">
        <f>0</f>
        <v>0</v>
      </c>
      <c r="AJ493" s="1"/>
      <c r="AK493" s="1" t="b">
        <v>1</v>
      </c>
      <c r="AL493" s="1"/>
      <c r="AM493" s="1"/>
      <c r="AN493" s="1"/>
      <c r="AO493" s="1"/>
      <c r="AP493" s="1"/>
      <c r="AQ493" s="1"/>
      <c r="AR493" s="1"/>
      <c r="AS493" s="1"/>
      <c r="AT493" s="1"/>
      <c r="AU493" s="1"/>
      <c r="AV493" s="1"/>
      <c r="AW493" s="1"/>
      <c r="AX493" s="1"/>
      <c r="AY493" s="1"/>
      <c r="AZ493" s="1"/>
    </row>
    <row r="494" spans="1:52" ht="15" customHeight="1" x14ac:dyDescent="0.35">
      <c r="A494" s="1" t="s">
        <v>1783</v>
      </c>
      <c r="B494" s="1" t="s">
        <v>225</v>
      </c>
      <c r="C494" s="1" t="s">
        <v>640</v>
      </c>
      <c r="D494" s="1"/>
      <c r="E494" s="1" t="s">
        <v>614</v>
      </c>
      <c r="F494" s="9" t="s">
        <v>1784</v>
      </c>
      <c r="G494" s="1" t="s">
        <v>38</v>
      </c>
      <c r="H4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4" s="11">
        <f>0</f>
        <v>0</v>
      </c>
      <c r="J494" s="1">
        <f>0</f>
        <v>0</v>
      </c>
      <c r="K494" s="1"/>
      <c r="L494" s="1">
        <v>0</v>
      </c>
      <c r="M494" s="1">
        <f>0</f>
        <v>0</v>
      </c>
      <c r="N494" s="1">
        <f>0</f>
        <v>0</v>
      </c>
      <c r="O494" s="1">
        <f>0</f>
        <v>0</v>
      </c>
      <c r="P494" s="1"/>
      <c r="Q494" s="1">
        <v>0</v>
      </c>
      <c r="R494" s="1">
        <v>0</v>
      </c>
      <c r="S494" s="1">
        <f>0</f>
        <v>0</v>
      </c>
      <c r="T494" s="1">
        <f>0</f>
        <v>0</v>
      </c>
      <c r="U494" s="1"/>
      <c r="V494" s="1">
        <v>0</v>
      </c>
      <c r="W494" s="1">
        <v>0</v>
      </c>
      <c r="X494" s="1">
        <f>0</f>
        <v>0</v>
      </c>
      <c r="Y494" s="1">
        <f>0</f>
        <v>0</v>
      </c>
      <c r="Z494" s="1">
        <f>0</f>
        <v>0</v>
      </c>
      <c r="AA494" s="1"/>
      <c r="AB494" s="5"/>
      <c r="AC494" s="5"/>
      <c r="AD494" s="1">
        <f>0</f>
        <v>0</v>
      </c>
      <c r="AE494" s="1">
        <f>0</f>
        <v>0</v>
      </c>
      <c r="AF494" s="1">
        <f>0</f>
        <v>0</v>
      </c>
      <c r="AG494" s="1">
        <f>0</f>
        <v>0</v>
      </c>
      <c r="AH494" s="1">
        <f>0</f>
        <v>0</v>
      </c>
      <c r="AI494" s="1">
        <f>0</f>
        <v>0</v>
      </c>
      <c r="AJ494" s="1"/>
      <c r="AK494" s="1" t="b">
        <v>1</v>
      </c>
      <c r="AL494" s="1"/>
      <c r="AM494" s="1"/>
      <c r="AN494" s="1"/>
      <c r="AO494" s="1"/>
      <c r="AP494" s="1"/>
      <c r="AQ494" s="1"/>
      <c r="AR494" s="1"/>
      <c r="AS494" s="1"/>
      <c r="AT494" s="1"/>
      <c r="AU494" s="1"/>
      <c r="AV494" s="1"/>
      <c r="AW494" s="1"/>
      <c r="AX494" s="1"/>
      <c r="AY494" s="1"/>
      <c r="AZ494" s="1"/>
    </row>
    <row r="495" spans="1:52" ht="15" customHeight="1" x14ac:dyDescent="0.35">
      <c r="A495" s="1" t="s">
        <v>1785</v>
      </c>
      <c r="B495" s="1" t="s">
        <v>226</v>
      </c>
      <c r="C495" s="1" t="s">
        <v>640</v>
      </c>
      <c r="D495" s="1"/>
      <c r="E495" s="1" t="s">
        <v>614</v>
      </c>
      <c r="F495" s="9" t="s">
        <v>1786</v>
      </c>
      <c r="G495" s="1" t="s">
        <v>38</v>
      </c>
      <c r="H4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5" s="11">
        <f>0</f>
        <v>0</v>
      </c>
      <c r="J495" s="1">
        <f>0</f>
        <v>0</v>
      </c>
      <c r="K495" s="1"/>
      <c r="L495" s="1">
        <v>0</v>
      </c>
      <c r="M495" s="1">
        <f>0</f>
        <v>0</v>
      </c>
      <c r="N495" s="1">
        <f>0</f>
        <v>0</v>
      </c>
      <c r="O495" s="1">
        <f>0</f>
        <v>0</v>
      </c>
      <c r="P495" s="1"/>
      <c r="Q495" s="1">
        <v>0</v>
      </c>
      <c r="R495" s="1">
        <v>0</v>
      </c>
      <c r="S495" s="1">
        <f>0</f>
        <v>0</v>
      </c>
      <c r="T495" s="1">
        <f>0</f>
        <v>0</v>
      </c>
      <c r="U495" s="1"/>
      <c r="V495" s="1">
        <v>0</v>
      </c>
      <c r="W495" s="1">
        <v>0</v>
      </c>
      <c r="X495" s="1">
        <f>0</f>
        <v>0</v>
      </c>
      <c r="Y495" s="1">
        <f>0</f>
        <v>0</v>
      </c>
      <c r="Z495" s="1">
        <f>0</f>
        <v>0</v>
      </c>
      <c r="AA495" s="1"/>
      <c r="AB495" s="5"/>
      <c r="AC495" s="5"/>
      <c r="AD495" s="1">
        <f>0</f>
        <v>0</v>
      </c>
      <c r="AE495" s="1">
        <f>0</f>
        <v>0</v>
      </c>
      <c r="AF495" s="1">
        <f>0</f>
        <v>0</v>
      </c>
      <c r="AG495" s="1">
        <f>0</f>
        <v>0</v>
      </c>
      <c r="AH495" s="1">
        <f>0</f>
        <v>0</v>
      </c>
      <c r="AI495" s="1">
        <f>0</f>
        <v>0</v>
      </c>
      <c r="AJ495" s="1"/>
      <c r="AK495" s="1" t="b">
        <v>1</v>
      </c>
      <c r="AL495" s="1"/>
      <c r="AM495" s="1"/>
      <c r="AN495" s="1"/>
      <c r="AO495" s="1"/>
      <c r="AP495" s="1"/>
      <c r="AQ495" s="1"/>
      <c r="AR495" s="1"/>
      <c r="AS495" s="1"/>
      <c r="AT495" s="1"/>
      <c r="AU495" s="1"/>
      <c r="AV495" s="1"/>
      <c r="AW495" s="1"/>
      <c r="AX495" s="1"/>
      <c r="AY495" s="1"/>
      <c r="AZ495" s="1"/>
    </row>
    <row r="496" spans="1:52" ht="15" customHeight="1" x14ac:dyDescent="0.35">
      <c r="A496" s="1" t="s">
        <v>1787</v>
      </c>
      <c r="B496" s="1" t="s">
        <v>227</v>
      </c>
      <c r="C496" s="1" t="s">
        <v>640</v>
      </c>
      <c r="D496" s="1"/>
      <c r="E496" s="1" t="s">
        <v>614</v>
      </c>
      <c r="F496" s="9" t="s">
        <v>1788</v>
      </c>
      <c r="G496" s="1" t="s">
        <v>38</v>
      </c>
      <c r="H4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6" s="11">
        <f>0</f>
        <v>0</v>
      </c>
      <c r="J496" s="1">
        <f>0</f>
        <v>0</v>
      </c>
      <c r="K496" s="1"/>
      <c r="L496" s="1">
        <v>0</v>
      </c>
      <c r="M496" s="1">
        <f>0</f>
        <v>0</v>
      </c>
      <c r="N496" s="1">
        <f>0</f>
        <v>0</v>
      </c>
      <c r="O496" s="1">
        <f>0</f>
        <v>0</v>
      </c>
      <c r="P496" s="1"/>
      <c r="Q496" s="1">
        <v>0</v>
      </c>
      <c r="R496" s="1">
        <v>0</v>
      </c>
      <c r="S496" s="1">
        <f>0</f>
        <v>0</v>
      </c>
      <c r="T496" s="1">
        <f>0</f>
        <v>0</v>
      </c>
      <c r="U496" s="1"/>
      <c r="V496" s="1">
        <v>0</v>
      </c>
      <c r="W496" s="1">
        <v>0</v>
      </c>
      <c r="X496" s="1">
        <f>0</f>
        <v>0</v>
      </c>
      <c r="Y496" s="1">
        <f>0</f>
        <v>0</v>
      </c>
      <c r="Z496" s="1">
        <f>0</f>
        <v>0</v>
      </c>
      <c r="AA496" s="1"/>
      <c r="AB496" s="5"/>
      <c r="AC496" s="5"/>
      <c r="AD496" s="1">
        <f>0</f>
        <v>0</v>
      </c>
      <c r="AE496" s="1">
        <f>0</f>
        <v>0</v>
      </c>
      <c r="AF496" s="1">
        <f>0</f>
        <v>0</v>
      </c>
      <c r="AG496" s="1">
        <f>0</f>
        <v>0</v>
      </c>
      <c r="AH496" s="1">
        <f>0</f>
        <v>0</v>
      </c>
      <c r="AI496" s="1">
        <f>0</f>
        <v>0</v>
      </c>
      <c r="AJ496" s="1"/>
      <c r="AK496" s="1" t="b">
        <v>1</v>
      </c>
      <c r="AL496" s="1"/>
      <c r="AM496" s="1"/>
      <c r="AN496" s="1"/>
      <c r="AO496" s="1"/>
      <c r="AP496" s="1"/>
      <c r="AQ496" s="1"/>
      <c r="AR496" s="1"/>
      <c r="AS496" s="1"/>
      <c r="AT496" s="1"/>
      <c r="AU496" s="1"/>
      <c r="AV496" s="1"/>
      <c r="AW496" s="1"/>
      <c r="AX496" s="1"/>
      <c r="AY496" s="1"/>
      <c r="AZ496" s="1"/>
    </row>
    <row r="497" spans="1:52" ht="15" customHeight="1" x14ac:dyDescent="0.35">
      <c r="A497" s="1" t="s">
        <v>1789</v>
      </c>
      <c r="B497" s="1" t="s">
        <v>228</v>
      </c>
      <c r="C497" s="1" t="s">
        <v>640</v>
      </c>
      <c r="D497" s="1"/>
      <c r="E497" s="1" t="s">
        <v>614</v>
      </c>
      <c r="F497" s="9" t="s">
        <v>1790</v>
      </c>
      <c r="G497" s="1" t="s">
        <v>38</v>
      </c>
      <c r="H4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7" s="11">
        <f>0</f>
        <v>0</v>
      </c>
      <c r="J497" s="1">
        <f>0</f>
        <v>0</v>
      </c>
      <c r="K497" s="1"/>
      <c r="L497" s="1">
        <v>0</v>
      </c>
      <c r="M497" s="1">
        <f>0</f>
        <v>0</v>
      </c>
      <c r="N497" s="1">
        <f>0</f>
        <v>0</v>
      </c>
      <c r="O497" s="1">
        <f>0</f>
        <v>0</v>
      </c>
      <c r="P497" s="1"/>
      <c r="Q497" s="1">
        <v>0</v>
      </c>
      <c r="R497" s="1">
        <v>0</v>
      </c>
      <c r="S497" s="1">
        <f>0</f>
        <v>0</v>
      </c>
      <c r="T497" s="1">
        <f>0</f>
        <v>0</v>
      </c>
      <c r="U497" s="1"/>
      <c r="V497" s="1">
        <v>0</v>
      </c>
      <c r="W497" s="1">
        <v>0</v>
      </c>
      <c r="X497" s="1">
        <f>0</f>
        <v>0</v>
      </c>
      <c r="Y497" s="1">
        <f>0</f>
        <v>0</v>
      </c>
      <c r="Z497" s="1">
        <f>0</f>
        <v>0</v>
      </c>
      <c r="AA497" s="1"/>
      <c r="AB497" s="5"/>
      <c r="AC497" s="5"/>
      <c r="AD497" s="1">
        <f>0</f>
        <v>0</v>
      </c>
      <c r="AE497" s="1">
        <f>0</f>
        <v>0</v>
      </c>
      <c r="AF497" s="1">
        <f>0</f>
        <v>0</v>
      </c>
      <c r="AG497" s="1">
        <f>0</f>
        <v>0</v>
      </c>
      <c r="AH497" s="1">
        <f>0</f>
        <v>0</v>
      </c>
      <c r="AI497" s="1">
        <f>0</f>
        <v>0</v>
      </c>
      <c r="AJ497" s="1"/>
      <c r="AK497" s="1" t="b">
        <v>1</v>
      </c>
      <c r="AL497" s="1"/>
      <c r="AM497" s="1"/>
      <c r="AN497" s="1"/>
      <c r="AO497" s="1"/>
      <c r="AP497" s="1"/>
      <c r="AQ497" s="1"/>
      <c r="AR497" s="1"/>
      <c r="AS497" s="1"/>
      <c r="AT497" s="1"/>
      <c r="AU497" s="1"/>
      <c r="AV497" s="1"/>
      <c r="AW497" s="1"/>
      <c r="AX497" s="1"/>
      <c r="AY497" s="1"/>
      <c r="AZ497" s="1"/>
    </row>
    <row r="498" spans="1:52" ht="15" customHeight="1" x14ac:dyDescent="0.35">
      <c r="A498" s="1" t="s">
        <v>1791</v>
      </c>
      <c r="B498" s="1" t="s">
        <v>229</v>
      </c>
      <c r="C498" s="1" t="s">
        <v>640</v>
      </c>
      <c r="D498" s="1"/>
      <c r="E498" s="1" t="s">
        <v>614</v>
      </c>
      <c r="F498" s="9" t="s">
        <v>1792</v>
      </c>
      <c r="G498" s="1" t="s">
        <v>38</v>
      </c>
      <c r="H4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8" s="11">
        <f>0</f>
        <v>0</v>
      </c>
      <c r="J498" s="1">
        <f>0</f>
        <v>0</v>
      </c>
      <c r="K498" s="1"/>
      <c r="L498" s="1">
        <v>0</v>
      </c>
      <c r="M498" s="1">
        <f>0</f>
        <v>0</v>
      </c>
      <c r="N498" s="1">
        <f>0</f>
        <v>0</v>
      </c>
      <c r="O498" s="1">
        <f>0</f>
        <v>0</v>
      </c>
      <c r="P498" s="1"/>
      <c r="Q498" s="1">
        <v>0</v>
      </c>
      <c r="R498" s="1">
        <v>0</v>
      </c>
      <c r="S498" s="1">
        <f>0</f>
        <v>0</v>
      </c>
      <c r="T498" s="1">
        <f>0</f>
        <v>0</v>
      </c>
      <c r="U498" s="1"/>
      <c r="V498" s="1">
        <v>0</v>
      </c>
      <c r="W498" s="1">
        <v>0</v>
      </c>
      <c r="X498" s="1">
        <f>0</f>
        <v>0</v>
      </c>
      <c r="Y498" s="1">
        <f>0</f>
        <v>0</v>
      </c>
      <c r="Z498" s="1">
        <f>0</f>
        <v>0</v>
      </c>
      <c r="AA498" s="1"/>
      <c r="AB498" s="5"/>
      <c r="AC498" s="5"/>
      <c r="AD498" s="1">
        <f>0</f>
        <v>0</v>
      </c>
      <c r="AE498" s="1">
        <f>0</f>
        <v>0</v>
      </c>
      <c r="AF498" s="1">
        <f>0</f>
        <v>0</v>
      </c>
      <c r="AG498" s="1">
        <f>0</f>
        <v>0</v>
      </c>
      <c r="AH498" s="1">
        <f>0</f>
        <v>0</v>
      </c>
      <c r="AI498" s="1">
        <f>0</f>
        <v>0</v>
      </c>
      <c r="AJ498" s="1"/>
      <c r="AK498" s="1" t="b">
        <v>1</v>
      </c>
      <c r="AL498" s="1"/>
      <c r="AM498" s="1"/>
      <c r="AN498" s="1"/>
      <c r="AO498" s="1"/>
      <c r="AP498" s="1"/>
      <c r="AQ498" s="1"/>
      <c r="AR498" s="1"/>
      <c r="AS498" s="1"/>
      <c r="AT498" s="1"/>
      <c r="AU498" s="1"/>
      <c r="AV498" s="1"/>
      <c r="AW498" s="1"/>
      <c r="AX498" s="1"/>
      <c r="AY498" s="1"/>
      <c r="AZ498" s="1"/>
    </row>
    <row r="499" spans="1:52" ht="15" customHeight="1" x14ac:dyDescent="0.35">
      <c r="A499" s="1" t="s">
        <v>1793</v>
      </c>
      <c r="B499" s="1" t="s">
        <v>230</v>
      </c>
      <c r="C499" s="1" t="s">
        <v>640</v>
      </c>
      <c r="D499" s="1"/>
      <c r="E499" s="1" t="s">
        <v>614</v>
      </c>
      <c r="F499" s="9" t="s">
        <v>1794</v>
      </c>
      <c r="G499" s="1" t="s">
        <v>38</v>
      </c>
      <c r="H4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499" s="11">
        <f>0</f>
        <v>0</v>
      </c>
      <c r="J499" s="1">
        <f>0</f>
        <v>0</v>
      </c>
      <c r="K499" s="1"/>
      <c r="L499" s="1">
        <v>0</v>
      </c>
      <c r="M499" s="1">
        <f>0</f>
        <v>0</v>
      </c>
      <c r="N499" s="1">
        <f>0</f>
        <v>0</v>
      </c>
      <c r="O499" s="1">
        <f>0</f>
        <v>0</v>
      </c>
      <c r="P499" s="1"/>
      <c r="Q499" s="1">
        <v>0</v>
      </c>
      <c r="R499" s="1">
        <v>0</v>
      </c>
      <c r="S499" s="1">
        <f>0</f>
        <v>0</v>
      </c>
      <c r="T499" s="1">
        <f>0</f>
        <v>0</v>
      </c>
      <c r="U499" s="1"/>
      <c r="V499" s="1">
        <v>0</v>
      </c>
      <c r="W499" s="1">
        <v>0</v>
      </c>
      <c r="X499" s="1">
        <f>0</f>
        <v>0</v>
      </c>
      <c r="Y499" s="1">
        <f>0</f>
        <v>0</v>
      </c>
      <c r="Z499" s="1">
        <f>0</f>
        <v>0</v>
      </c>
      <c r="AA499" s="1"/>
      <c r="AB499" s="5"/>
      <c r="AC499" s="5"/>
      <c r="AD499" s="1">
        <f>0</f>
        <v>0</v>
      </c>
      <c r="AE499" s="1">
        <f>0</f>
        <v>0</v>
      </c>
      <c r="AF499" s="1">
        <f>0</f>
        <v>0</v>
      </c>
      <c r="AG499" s="1">
        <f>0</f>
        <v>0</v>
      </c>
      <c r="AH499" s="1">
        <f>0</f>
        <v>0</v>
      </c>
      <c r="AI499" s="1">
        <f>0</f>
        <v>0</v>
      </c>
      <c r="AJ499" s="1"/>
      <c r="AK499" s="1" t="b">
        <v>1</v>
      </c>
      <c r="AL499" s="1"/>
      <c r="AM499" s="1"/>
      <c r="AN499" s="1"/>
      <c r="AO499" s="1"/>
      <c r="AP499" s="1"/>
      <c r="AQ499" s="1"/>
      <c r="AR499" s="1"/>
      <c r="AS499" s="1"/>
      <c r="AT499" s="1"/>
      <c r="AU499" s="1"/>
      <c r="AV499" s="1"/>
      <c r="AW499" s="1"/>
      <c r="AX499" s="1"/>
      <c r="AY499" s="1"/>
      <c r="AZ499" s="1"/>
    </row>
    <row r="500" spans="1:52" ht="15" customHeight="1" x14ac:dyDescent="0.35">
      <c r="A500" s="1" t="s">
        <v>1795</v>
      </c>
      <c r="B500" s="1" t="s">
        <v>231</v>
      </c>
      <c r="C500" s="1" t="s">
        <v>640</v>
      </c>
      <c r="D500" s="1"/>
      <c r="E500" s="1" t="s">
        <v>614</v>
      </c>
      <c r="F500" s="9" t="s">
        <v>1796</v>
      </c>
      <c r="G500" s="1" t="s">
        <v>38</v>
      </c>
      <c r="H5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0" s="11">
        <f>0</f>
        <v>0</v>
      </c>
      <c r="J500" s="1">
        <f>0</f>
        <v>0</v>
      </c>
      <c r="K500" s="1"/>
      <c r="L500" s="1">
        <v>0</v>
      </c>
      <c r="M500" s="1">
        <f>0</f>
        <v>0</v>
      </c>
      <c r="N500" s="1">
        <f>0</f>
        <v>0</v>
      </c>
      <c r="O500" s="1">
        <f>0</f>
        <v>0</v>
      </c>
      <c r="P500" s="1"/>
      <c r="Q500" s="1">
        <v>0</v>
      </c>
      <c r="R500" s="1">
        <v>0</v>
      </c>
      <c r="S500" s="1">
        <f>0</f>
        <v>0</v>
      </c>
      <c r="T500" s="1">
        <f>0</f>
        <v>0</v>
      </c>
      <c r="U500" s="1"/>
      <c r="V500" s="1">
        <v>0</v>
      </c>
      <c r="W500" s="1">
        <v>0</v>
      </c>
      <c r="X500" s="1">
        <f>0</f>
        <v>0</v>
      </c>
      <c r="Y500" s="1">
        <f>0</f>
        <v>0</v>
      </c>
      <c r="Z500" s="1">
        <f>0</f>
        <v>0</v>
      </c>
      <c r="AA500" s="1"/>
      <c r="AB500" s="5"/>
      <c r="AC500" s="5"/>
      <c r="AD500" s="1">
        <f>0</f>
        <v>0</v>
      </c>
      <c r="AE500" s="1">
        <f>0</f>
        <v>0</v>
      </c>
      <c r="AF500" s="1">
        <f>0</f>
        <v>0</v>
      </c>
      <c r="AG500" s="1">
        <f>0</f>
        <v>0</v>
      </c>
      <c r="AH500" s="1">
        <f>0</f>
        <v>0</v>
      </c>
      <c r="AI500" s="1">
        <f>0</f>
        <v>0</v>
      </c>
      <c r="AJ500" s="1"/>
      <c r="AK500" s="1" t="b">
        <v>1</v>
      </c>
      <c r="AL500" s="1"/>
      <c r="AM500" s="1"/>
      <c r="AN500" s="1"/>
      <c r="AO500" s="1"/>
      <c r="AP500" s="1"/>
      <c r="AQ500" s="1"/>
      <c r="AR500" s="1"/>
      <c r="AS500" s="1"/>
      <c r="AT500" s="1"/>
      <c r="AU500" s="1"/>
      <c r="AV500" s="1"/>
      <c r="AW500" s="1"/>
      <c r="AX500" s="1"/>
      <c r="AY500" s="1"/>
      <c r="AZ500" s="1"/>
    </row>
    <row r="501" spans="1:52" ht="15" customHeight="1" x14ac:dyDescent="0.35">
      <c r="A501" s="1" t="s">
        <v>1797</v>
      </c>
      <c r="B501" s="1" t="s">
        <v>232</v>
      </c>
      <c r="C501" s="1" t="s">
        <v>640</v>
      </c>
      <c r="D501" s="1"/>
      <c r="E501" s="1" t="s">
        <v>614</v>
      </c>
      <c r="F501" s="9" t="s">
        <v>1798</v>
      </c>
      <c r="G501" s="1" t="s">
        <v>38</v>
      </c>
      <c r="H5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1" s="11">
        <f>0</f>
        <v>0</v>
      </c>
      <c r="J501" s="1">
        <f>0</f>
        <v>0</v>
      </c>
      <c r="K501" s="1"/>
      <c r="L501" s="1">
        <v>0</v>
      </c>
      <c r="M501" s="1">
        <f>0</f>
        <v>0</v>
      </c>
      <c r="N501" s="1">
        <f>0</f>
        <v>0</v>
      </c>
      <c r="O501" s="1">
        <f>0</f>
        <v>0</v>
      </c>
      <c r="P501" s="1"/>
      <c r="Q501" s="1">
        <v>0</v>
      </c>
      <c r="R501" s="1">
        <v>0</v>
      </c>
      <c r="S501" s="1">
        <f>0</f>
        <v>0</v>
      </c>
      <c r="T501" s="1">
        <f>0</f>
        <v>0</v>
      </c>
      <c r="U501" s="1"/>
      <c r="V501" s="1">
        <v>0</v>
      </c>
      <c r="W501" s="1">
        <v>0</v>
      </c>
      <c r="X501" s="1">
        <f>0</f>
        <v>0</v>
      </c>
      <c r="Y501" s="1">
        <f>0</f>
        <v>0</v>
      </c>
      <c r="Z501" s="1">
        <f>0</f>
        <v>0</v>
      </c>
      <c r="AA501" s="1"/>
      <c r="AB501" s="5"/>
      <c r="AC501" s="5"/>
      <c r="AD501" s="1">
        <f>0</f>
        <v>0</v>
      </c>
      <c r="AE501" s="1">
        <f>0</f>
        <v>0</v>
      </c>
      <c r="AF501" s="1">
        <f>0</f>
        <v>0</v>
      </c>
      <c r="AG501" s="1">
        <f>0</f>
        <v>0</v>
      </c>
      <c r="AH501" s="1">
        <f>0</f>
        <v>0</v>
      </c>
      <c r="AI501" s="1">
        <f>0</f>
        <v>0</v>
      </c>
      <c r="AJ501" s="1"/>
      <c r="AK501" s="1" t="b">
        <v>1</v>
      </c>
      <c r="AL501" s="1"/>
      <c r="AM501" s="1"/>
      <c r="AN501" s="1"/>
      <c r="AO501" s="1"/>
      <c r="AP501" s="1"/>
      <c r="AQ501" s="1"/>
      <c r="AR501" s="1"/>
      <c r="AS501" s="1"/>
      <c r="AT501" s="1"/>
      <c r="AU501" s="1"/>
      <c r="AV501" s="1"/>
      <c r="AW501" s="1"/>
      <c r="AX501" s="1"/>
      <c r="AY501" s="1"/>
      <c r="AZ501" s="1"/>
    </row>
    <row r="502" spans="1:52" ht="15" customHeight="1" x14ac:dyDescent="0.35">
      <c r="A502" s="1" t="s">
        <v>1799</v>
      </c>
      <c r="B502" s="1" t="s">
        <v>233</v>
      </c>
      <c r="C502" s="1" t="s">
        <v>640</v>
      </c>
      <c r="D502" s="1"/>
      <c r="E502" s="1" t="s">
        <v>614</v>
      </c>
      <c r="F502" s="9" t="s">
        <v>1800</v>
      </c>
      <c r="G502" s="1" t="s">
        <v>38</v>
      </c>
      <c r="H5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2" s="11">
        <f>0</f>
        <v>0</v>
      </c>
      <c r="J502" s="1">
        <f>0</f>
        <v>0</v>
      </c>
      <c r="K502" s="1"/>
      <c r="L502" s="1">
        <v>0</v>
      </c>
      <c r="M502" s="1">
        <f>0</f>
        <v>0</v>
      </c>
      <c r="N502" s="1">
        <f>0</f>
        <v>0</v>
      </c>
      <c r="O502" s="1">
        <f>0</f>
        <v>0</v>
      </c>
      <c r="P502" s="1"/>
      <c r="Q502" s="1">
        <v>0</v>
      </c>
      <c r="R502" s="1">
        <v>0</v>
      </c>
      <c r="S502" s="1">
        <f>0</f>
        <v>0</v>
      </c>
      <c r="T502" s="1">
        <f>0</f>
        <v>0</v>
      </c>
      <c r="U502" s="1"/>
      <c r="V502" s="1">
        <v>0</v>
      </c>
      <c r="W502" s="1">
        <v>0</v>
      </c>
      <c r="X502" s="1">
        <f>0</f>
        <v>0</v>
      </c>
      <c r="Y502" s="1">
        <f>0</f>
        <v>0</v>
      </c>
      <c r="Z502" s="1">
        <f>0</f>
        <v>0</v>
      </c>
      <c r="AA502" s="1"/>
      <c r="AB502" s="5"/>
      <c r="AC502" s="5"/>
      <c r="AD502" s="1">
        <f>0</f>
        <v>0</v>
      </c>
      <c r="AE502" s="1">
        <f>0</f>
        <v>0</v>
      </c>
      <c r="AF502" s="1">
        <f>0</f>
        <v>0</v>
      </c>
      <c r="AG502" s="1">
        <f>0</f>
        <v>0</v>
      </c>
      <c r="AH502" s="1">
        <f>0</f>
        <v>0</v>
      </c>
      <c r="AI502" s="1">
        <f>0</f>
        <v>0</v>
      </c>
      <c r="AJ502" s="1"/>
      <c r="AK502" s="1" t="b">
        <v>1</v>
      </c>
      <c r="AL502" s="1"/>
      <c r="AM502" s="1"/>
      <c r="AN502" s="1"/>
      <c r="AO502" s="1"/>
      <c r="AP502" s="1"/>
      <c r="AQ502" s="1"/>
      <c r="AR502" s="1"/>
      <c r="AS502" s="1"/>
      <c r="AT502" s="1"/>
      <c r="AU502" s="1"/>
      <c r="AV502" s="1"/>
      <c r="AW502" s="1"/>
      <c r="AX502" s="1"/>
      <c r="AY502" s="1"/>
      <c r="AZ502" s="1"/>
    </row>
    <row r="503" spans="1:52" ht="15" customHeight="1" x14ac:dyDescent="0.35">
      <c r="A503" s="1" t="s">
        <v>1801</v>
      </c>
      <c r="B503" s="1" t="s">
        <v>234</v>
      </c>
      <c r="C503" s="1" t="s">
        <v>640</v>
      </c>
      <c r="D503" s="1"/>
      <c r="E503" s="1" t="s">
        <v>614</v>
      </c>
      <c r="F503" s="9" t="s">
        <v>1802</v>
      </c>
      <c r="G503" s="1" t="s">
        <v>38</v>
      </c>
      <c r="H5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3" s="11">
        <f>0</f>
        <v>0</v>
      </c>
      <c r="J503" s="1">
        <f>0</f>
        <v>0</v>
      </c>
      <c r="K503" s="1"/>
      <c r="L503" s="1">
        <v>0</v>
      </c>
      <c r="M503" s="1">
        <f>0</f>
        <v>0</v>
      </c>
      <c r="N503" s="1">
        <f>0</f>
        <v>0</v>
      </c>
      <c r="O503" s="1">
        <f>0</f>
        <v>0</v>
      </c>
      <c r="P503" s="1"/>
      <c r="Q503" s="1">
        <v>0</v>
      </c>
      <c r="R503" s="1">
        <v>0</v>
      </c>
      <c r="S503" s="1">
        <f>0</f>
        <v>0</v>
      </c>
      <c r="T503" s="1">
        <f>0</f>
        <v>0</v>
      </c>
      <c r="U503" s="1"/>
      <c r="V503" s="1">
        <v>0</v>
      </c>
      <c r="W503" s="1">
        <v>0</v>
      </c>
      <c r="X503" s="1">
        <f>0</f>
        <v>0</v>
      </c>
      <c r="Y503" s="1">
        <f>0</f>
        <v>0</v>
      </c>
      <c r="Z503" s="1">
        <f>0</f>
        <v>0</v>
      </c>
      <c r="AA503" s="1"/>
      <c r="AB503" s="5"/>
      <c r="AC503" s="5"/>
      <c r="AD503" s="1">
        <f>0</f>
        <v>0</v>
      </c>
      <c r="AE503" s="1">
        <f>0</f>
        <v>0</v>
      </c>
      <c r="AF503" s="1">
        <f>0</f>
        <v>0</v>
      </c>
      <c r="AG503" s="1">
        <f>0</f>
        <v>0</v>
      </c>
      <c r="AH503" s="1">
        <f>0</f>
        <v>0</v>
      </c>
      <c r="AI503" s="1">
        <f>0</f>
        <v>0</v>
      </c>
      <c r="AJ503" s="1"/>
      <c r="AK503" s="1" t="b">
        <v>1</v>
      </c>
      <c r="AL503" s="1"/>
      <c r="AM503" s="1"/>
      <c r="AN503" s="1"/>
      <c r="AO503" s="1"/>
      <c r="AP503" s="1"/>
      <c r="AQ503" s="1"/>
      <c r="AR503" s="1"/>
      <c r="AS503" s="1"/>
      <c r="AT503" s="1"/>
      <c r="AU503" s="1"/>
      <c r="AV503" s="1"/>
      <c r="AW503" s="1"/>
      <c r="AX503" s="1"/>
      <c r="AY503" s="1"/>
      <c r="AZ503" s="1"/>
    </row>
    <row r="504" spans="1:52" ht="15" customHeight="1" x14ac:dyDescent="0.35">
      <c r="A504" s="1" t="s">
        <v>1803</v>
      </c>
      <c r="B504" s="1" t="s">
        <v>235</v>
      </c>
      <c r="C504" s="1" t="s">
        <v>640</v>
      </c>
      <c r="D504" s="1"/>
      <c r="E504" s="1" t="s">
        <v>614</v>
      </c>
      <c r="F504" s="9" t="s">
        <v>1804</v>
      </c>
      <c r="G504" s="1" t="s">
        <v>38</v>
      </c>
      <c r="H5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4" s="11">
        <f>0</f>
        <v>0</v>
      </c>
      <c r="J504" s="1">
        <f>0</f>
        <v>0</v>
      </c>
      <c r="K504" s="1"/>
      <c r="L504" s="1">
        <v>0</v>
      </c>
      <c r="M504" s="1">
        <f>0</f>
        <v>0</v>
      </c>
      <c r="N504" s="1">
        <f>0</f>
        <v>0</v>
      </c>
      <c r="O504" s="1">
        <f>0</f>
        <v>0</v>
      </c>
      <c r="P504" s="1"/>
      <c r="Q504" s="1">
        <v>0</v>
      </c>
      <c r="R504" s="1">
        <v>0</v>
      </c>
      <c r="S504" s="1">
        <f>0</f>
        <v>0</v>
      </c>
      <c r="T504" s="1">
        <f>0</f>
        <v>0</v>
      </c>
      <c r="U504" s="1"/>
      <c r="V504" s="1">
        <v>0</v>
      </c>
      <c r="W504" s="1">
        <v>0</v>
      </c>
      <c r="X504" s="1">
        <f>0</f>
        <v>0</v>
      </c>
      <c r="Y504" s="1">
        <f>0</f>
        <v>0</v>
      </c>
      <c r="Z504" s="1">
        <f>0</f>
        <v>0</v>
      </c>
      <c r="AA504" s="1"/>
      <c r="AB504" s="5"/>
      <c r="AC504" s="5"/>
      <c r="AD504" s="1">
        <f>0</f>
        <v>0</v>
      </c>
      <c r="AE504" s="1">
        <f>0</f>
        <v>0</v>
      </c>
      <c r="AF504" s="1">
        <f>0</f>
        <v>0</v>
      </c>
      <c r="AG504" s="1">
        <f>0</f>
        <v>0</v>
      </c>
      <c r="AH504" s="1">
        <f>0</f>
        <v>0</v>
      </c>
      <c r="AI504" s="1">
        <f>0</f>
        <v>0</v>
      </c>
      <c r="AJ504" s="1"/>
      <c r="AK504" s="1" t="b">
        <v>1</v>
      </c>
      <c r="AL504" s="1"/>
      <c r="AM504" s="1"/>
      <c r="AN504" s="1"/>
      <c r="AO504" s="1"/>
      <c r="AP504" s="1"/>
      <c r="AQ504" s="1"/>
      <c r="AR504" s="1"/>
      <c r="AS504" s="1"/>
      <c r="AT504" s="1"/>
      <c r="AU504" s="1"/>
      <c r="AV504" s="1"/>
      <c r="AW504" s="1"/>
      <c r="AX504" s="1"/>
      <c r="AY504" s="1"/>
      <c r="AZ504" s="1"/>
    </row>
    <row r="505" spans="1:52" ht="15" customHeight="1" x14ac:dyDescent="0.35">
      <c r="A505" s="1" t="s">
        <v>1805</v>
      </c>
      <c r="B505" s="1" t="s">
        <v>236</v>
      </c>
      <c r="C505" s="1" t="s">
        <v>640</v>
      </c>
      <c r="D505" s="1"/>
      <c r="E505" s="1" t="s">
        <v>1806</v>
      </c>
      <c r="F505" s="9" t="s">
        <v>1807</v>
      </c>
      <c r="G505" s="1" t="s">
        <v>38</v>
      </c>
      <c r="H5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5" s="11">
        <f>0</f>
        <v>0</v>
      </c>
      <c r="J505" s="1">
        <f>0</f>
        <v>0</v>
      </c>
      <c r="K505" s="1"/>
      <c r="L505" s="1">
        <v>0</v>
      </c>
      <c r="M505" s="1">
        <f>0</f>
        <v>0</v>
      </c>
      <c r="N505" s="1">
        <f>0</f>
        <v>0</v>
      </c>
      <c r="O505" s="1">
        <f>0</f>
        <v>0</v>
      </c>
      <c r="P505" s="1"/>
      <c r="Q505" s="1">
        <v>0</v>
      </c>
      <c r="R505" s="1">
        <v>0</v>
      </c>
      <c r="S505" s="1">
        <f>0</f>
        <v>0</v>
      </c>
      <c r="T505" s="1">
        <f>0</f>
        <v>0</v>
      </c>
      <c r="U505" s="1"/>
      <c r="V505" s="1">
        <v>0</v>
      </c>
      <c r="W505" s="1">
        <v>0</v>
      </c>
      <c r="X505" s="1">
        <f>0</f>
        <v>0</v>
      </c>
      <c r="Y505" s="1">
        <f>0</f>
        <v>0</v>
      </c>
      <c r="Z505" s="1">
        <f>0</f>
        <v>0</v>
      </c>
      <c r="AA505" s="1"/>
      <c r="AB505" s="5"/>
      <c r="AC505" s="5"/>
      <c r="AD505" s="1">
        <f>0</f>
        <v>0</v>
      </c>
      <c r="AE505" s="1">
        <f>0</f>
        <v>0</v>
      </c>
      <c r="AF505" s="1">
        <f>0</f>
        <v>0</v>
      </c>
      <c r="AG505" s="1">
        <f>0</f>
        <v>0</v>
      </c>
      <c r="AH505" s="1">
        <f>0</f>
        <v>0</v>
      </c>
      <c r="AI505" s="1">
        <f>0</f>
        <v>0</v>
      </c>
      <c r="AJ505" s="1"/>
      <c r="AK505" s="1" t="b">
        <v>1</v>
      </c>
      <c r="AL505" s="1"/>
      <c r="AM505" s="1"/>
      <c r="AN505" s="1"/>
      <c r="AO505" s="1"/>
      <c r="AP505" s="1" t="b">
        <v>1</v>
      </c>
      <c r="AQ505" s="1"/>
      <c r="AR505" s="1"/>
      <c r="AS505" s="1"/>
      <c r="AT505" s="1"/>
      <c r="AU505" s="1"/>
      <c r="AV505" s="1"/>
      <c r="AW505" s="1"/>
      <c r="AX505" s="1"/>
      <c r="AY505" s="1"/>
      <c r="AZ505" s="1"/>
    </row>
    <row r="506" spans="1:52" ht="15" customHeight="1" x14ac:dyDescent="0.35">
      <c r="A506" s="1" t="s">
        <v>1808</v>
      </c>
      <c r="B506" s="1" t="s">
        <v>237</v>
      </c>
      <c r="C506" s="1" t="s">
        <v>640</v>
      </c>
      <c r="D506" s="1"/>
      <c r="E506" s="1" t="s">
        <v>614</v>
      </c>
      <c r="F506" s="9" t="s">
        <v>1809</v>
      </c>
      <c r="G506" s="1" t="s">
        <v>38</v>
      </c>
      <c r="H5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6" s="11">
        <f>0</f>
        <v>0</v>
      </c>
      <c r="J506" s="1">
        <f>0</f>
        <v>0</v>
      </c>
      <c r="K506" s="1"/>
      <c r="L506" s="1">
        <v>0</v>
      </c>
      <c r="M506" s="1">
        <f>0</f>
        <v>0</v>
      </c>
      <c r="N506" s="1">
        <f>0</f>
        <v>0</v>
      </c>
      <c r="O506" s="1">
        <f>0</f>
        <v>0</v>
      </c>
      <c r="P506" s="1"/>
      <c r="Q506" s="1">
        <v>0</v>
      </c>
      <c r="R506" s="1">
        <v>0</v>
      </c>
      <c r="S506" s="1">
        <f>0</f>
        <v>0</v>
      </c>
      <c r="T506" s="1">
        <f>0</f>
        <v>0</v>
      </c>
      <c r="U506" s="1"/>
      <c r="V506" s="1">
        <v>0</v>
      </c>
      <c r="W506" s="1">
        <v>0</v>
      </c>
      <c r="X506" s="1">
        <f>0</f>
        <v>0</v>
      </c>
      <c r="Y506" s="1">
        <f>0</f>
        <v>0</v>
      </c>
      <c r="Z506" s="1">
        <f>0</f>
        <v>0</v>
      </c>
      <c r="AA506" s="1"/>
      <c r="AB506" s="5"/>
      <c r="AC506" s="5"/>
      <c r="AD506" s="1">
        <f>0</f>
        <v>0</v>
      </c>
      <c r="AE506" s="1">
        <f>0</f>
        <v>0</v>
      </c>
      <c r="AF506" s="1">
        <f>0</f>
        <v>0</v>
      </c>
      <c r="AG506" s="1">
        <f>0</f>
        <v>0</v>
      </c>
      <c r="AH506" s="1">
        <f>0</f>
        <v>0</v>
      </c>
      <c r="AI506" s="1">
        <f>0</f>
        <v>0</v>
      </c>
      <c r="AJ506" s="1"/>
      <c r="AK506" s="1" t="b">
        <v>1</v>
      </c>
      <c r="AL506" s="1"/>
      <c r="AM506" s="1"/>
      <c r="AN506" s="1"/>
      <c r="AO506" s="1"/>
      <c r="AP506" s="1"/>
      <c r="AQ506" s="1"/>
      <c r="AR506" s="1"/>
      <c r="AS506" s="1"/>
      <c r="AT506" s="1"/>
      <c r="AU506" s="1"/>
      <c r="AV506" s="1"/>
      <c r="AW506" s="1"/>
      <c r="AX506" s="1"/>
      <c r="AY506" s="1"/>
      <c r="AZ506" s="1"/>
    </row>
    <row r="507" spans="1:52" ht="15" customHeight="1" x14ac:dyDescent="0.35">
      <c r="A507" s="1" t="s">
        <v>1810</v>
      </c>
      <c r="B507" s="1" t="s">
        <v>238</v>
      </c>
      <c r="C507" s="1" t="s">
        <v>640</v>
      </c>
      <c r="D507" s="1"/>
      <c r="E507" s="1" t="s">
        <v>614</v>
      </c>
      <c r="F507" s="9" t="s">
        <v>1811</v>
      </c>
      <c r="G507" s="1" t="s">
        <v>38</v>
      </c>
      <c r="H5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7" s="11">
        <f>0</f>
        <v>0</v>
      </c>
      <c r="J507" s="1">
        <f>0</f>
        <v>0</v>
      </c>
      <c r="K507" s="1"/>
      <c r="L507" s="1">
        <v>0</v>
      </c>
      <c r="M507" s="1">
        <f>0</f>
        <v>0</v>
      </c>
      <c r="N507" s="1">
        <f>0</f>
        <v>0</v>
      </c>
      <c r="O507" s="1">
        <f>0</f>
        <v>0</v>
      </c>
      <c r="P507" s="1"/>
      <c r="Q507" s="1">
        <v>0</v>
      </c>
      <c r="R507" s="1">
        <v>0</v>
      </c>
      <c r="S507" s="1">
        <f>0</f>
        <v>0</v>
      </c>
      <c r="T507" s="1">
        <f>0</f>
        <v>0</v>
      </c>
      <c r="U507" s="1"/>
      <c r="V507" s="1">
        <v>0</v>
      </c>
      <c r="W507" s="1">
        <v>0</v>
      </c>
      <c r="X507" s="1">
        <f>0</f>
        <v>0</v>
      </c>
      <c r="Y507" s="1">
        <f>0</f>
        <v>0</v>
      </c>
      <c r="Z507" s="1">
        <f>0</f>
        <v>0</v>
      </c>
      <c r="AA507" s="1"/>
      <c r="AB507" s="5"/>
      <c r="AC507" s="5"/>
      <c r="AD507" s="1">
        <f>0</f>
        <v>0</v>
      </c>
      <c r="AE507" s="1">
        <f>0</f>
        <v>0</v>
      </c>
      <c r="AF507" s="1">
        <f>0</f>
        <v>0</v>
      </c>
      <c r="AG507" s="1">
        <f>0</f>
        <v>0</v>
      </c>
      <c r="AH507" s="1">
        <f>0</f>
        <v>0</v>
      </c>
      <c r="AI507" s="1">
        <f>0</f>
        <v>0</v>
      </c>
      <c r="AJ507" s="1"/>
      <c r="AK507" s="1" t="b">
        <v>1</v>
      </c>
      <c r="AL507" s="1"/>
      <c r="AM507" s="1"/>
      <c r="AN507" s="1"/>
      <c r="AO507" s="1"/>
      <c r="AP507" s="1"/>
      <c r="AQ507" s="1"/>
      <c r="AR507" s="1"/>
      <c r="AS507" s="1"/>
      <c r="AT507" s="1"/>
      <c r="AU507" s="1"/>
      <c r="AV507" s="1"/>
      <c r="AW507" s="1"/>
      <c r="AX507" s="1"/>
      <c r="AY507" s="1"/>
      <c r="AZ507" s="1"/>
    </row>
    <row r="508" spans="1:52" ht="15" customHeight="1" x14ac:dyDescent="0.35">
      <c r="A508" s="1" t="s">
        <v>1812</v>
      </c>
      <c r="B508" s="1" t="s">
        <v>239</v>
      </c>
      <c r="C508" s="1" t="s">
        <v>640</v>
      </c>
      <c r="D508" s="1"/>
      <c r="E508" s="1" t="s">
        <v>614</v>
      </c>
      <c r="F508" s="9" t="s">
        <v>1813</v>
      </c>
      <c r="G508" s="1" t="s">
        <v>38</v>
      </c>
      <c r="H5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8" s="11">
        <f>0</f>
        <v>0</v>
      </c>
      <c r="J508" s="1">
        <f>0</f>
        <v>0</v>
      </c>
      <c r="K508" s="1"/>
      <c r="L508" s="1">
        <v>0</v>
      </c>
      <c r="M508" s="1">
        <f>0</f>
        <v>0</v>
      </c>
      <c r="N508" s="1">
        <f>0</f>
        <v>0</v>
      </c>
      <c r="O508" s="1">
        <f>0</f>
        <v>0</v>
      </c>
      <c r="P508" s="1"/>
      <c r="Q508" s="1">
        <v>0</v>
      </c>
      <c r="R508" s="1">
        <v>0</v>
      </c>
      <c r="S508" s="1">
        <f>0</f>
        <v>0</v>
      </c>
      <c r="T508" s="1">
        <f>0</f>
        <v>0</v>
      </c>
      <c r="U508" s="1"/>
      <c r="V508" s="1">
        <v>0</v>
      </c>
      <c r="W508" s="1">
        <v>0</v>
      </c>
      <c r="X508" s="1">
        <f>0</f>
        <v>0</v>
      </c>
      <c r="Y508" s="1">
        <f>0</f>
        <v>0</v>
      </c>
      <c r="Z508" s="1">
        <f>0</f>
        <v>0</v>
      </c>
      <c r="AA508" s="1"/>
      <c r="AB508" s="5"/>
      <c r="AC508" s="5"/>
      <c r="AD508" s="1">
        <f>0</f>
        <v>0</v>
      </c>
      <c r="AE508" s="1">
        <f>0</f>
        <v>0</v>
      </c>
      <c r="AF508" s="1">
        <f>0</f>
        <v>0</v>
      </c>
      <c r="AG508" s="1">
        <f>0</f>
        <v>0</v>
      </c>
      <c r="AH508" s="1">
        <f>0</f>
        <v>0</v>
      </c>
      <c r="AI508" s="1">
        <f>0</f>
        <v>0</v>
      </c>
      <c r="AJ508" s="1"/>
      <c r="AK508" s="1" t="b">
        <v>1</v>
      </c>
      <c r="AL508" s="1"/>
      <c r="AM508" s="1"/>
      <c r="AN508" s="1"/>
      <c r="AO508" s="1"/>
      <c r="AP508" s="1"/>
      <c r="AQ508" s="1"/>
      <c r="AR508" s="1"/>
      <c r="AS508" s="1"/>
      <c r="AT508" s="1"/>
      <c r="AU508" s="1"/>
      <c r="AV508" s="1"/>
      <c r="AW508" s="1"/>
      <c r="AX508" s="1"/>
      <c r="AY508" s="1"/>
      <c r="AZ508" s="1"/>
    </row>
    <row r="509" spans="1:52" ht="15" customHeight="1" x14ac:dyDescent="0.35">
      <c r="A509" s="1" t="s">
        <v>1814</v>
      </c>
      <c r="B509" s="1" t="s">
        <v>240</v>
      </c>
      <c r="C509" s="1" t="s">
        <v>640</v>
      </c>
      <c r="D509" s="1"/>
      <c r="E509" s="1" t="s">
        <v>614</v>
      </c>
      <c r="F509" s="9" t="s">
        <v>1815</v>
      </c>
      <c r="G509" s="1" t="s">
        <v>38</v>
      </c>
      <c r="H5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09" s="11">
        <f>0</f>
        <v>0</v>
      </c>
      <c r="J509" s="1">
        <f>0</f>
        <v>0</v>
      </c>
      <c r="K509" s="1"/>
      <c r="L509" s="1">
        <v>0</v>
      </c>
      <c r="M509" s="1">
        <f>0</f>
        <v>0</v>
      </c>
      <c r="N509" s="1">
        <f>0</f>
        <v>0</v>
      </c>
      <c r="O509" s="1">
        <f>0</f>
        <v>0</v>
      </c>
      <c r="P509" s="1"/>
      <c r="Q509" s="1">
        <v>0</v>
      </c>
      <c r="R509" s="1">
        <v>0</v>
      </c>
      <c r="S509" s="1">
        <f>0</f>
        <v>0</v>
      </c>
      <c r="T509" s="1">
        <f>0</f>
        <v>0</v>
      </c>
      <c r="U509" s="1"/>
      <c r="V509" s="1">
        <v>0</v>
      </c>
      <c r="W509" s="1">
        <v>0</v>
      </c>
      <c r="X509" s="1">
        <f>0</f>
        <v>0</v>
      </c>
      <c r="Y509" s="1">
        <f>0</f>
        <v>0</v>
      </c>
      <c r="Z509" s="1">
        <f>0</f>
        <v>0</v>
      </c>
      <c r="AA509" s="1"/>
      <c r="AB509" s="5"/>
      <c r="AC509" s="5"/>
      <c r="AD509" s="1">
        <f>0</f>
        <v>0</v>
      </c>
      <c r="AE509" s="1">
        <f>0</f>
        <v>0</v>
      </c>
      <c r="AF509" s="1">
        <f>0</f>
        <v>0</v>
      </c>
      <c r="AG509" s="1">
        <f>0</f>
        <v>0</v>
      </c>
      <c r="AH509" s="1">
        <f>0</f>
        <v>0</v>
      </c>
      <c r="AI509" s="1">
        <f>0</f>
        <v>0</v>
      </c>
      <c r="AJ509" s="1"/>
      <c r="AK509" s="1" t="b">
        <v>1</v>
      </c>
      <c r="AL509" s="1"/>
      <c r="AM509" s="1"/>
      <c r="AN509" s="1"/>
      <c r="AO509" s="1"/>
      <c r="AP509" s="1"/>
      <c r="AQ509" s="1"/>
      <c r="AR509" s="1"/>
      <c r="AS509" s="1"/>
      <c r="AT509" s="1"/>
      <c r="AU509" s="1"/>
      <c r="AV509" s="1"/>
      <c r="AW509" s="1"/>
      <c r="AX509" s="1"/>
      <c r="AY509" s="1"/>
      <c r="AZ509" s="1"/>
    </row>
    <row r="510" spans="1:52" ht="15" customHeight="1" x14ac:dyDescent="0.35">
      <c r="A510" s="1" t="s">
        <v>1816</v>
      </c>
      <c r="B510" s="1" t="s">
        <v>241</v>
      </c>
      <c r="C510" s="1" t="s">
        <v>640</v>
      </c>
      <c r="D510" s="1"/>
      <c r="E510" s="1" t="s">
        <v>614</v>
      </c>
      <c r="F510" s="9" t="s">
        <v>1817</v>
      </c>
      <c r="G510" s="1" t="s">
        <v>38</v>
      </c>
      <c r="H5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0" s="11">
        <f>0</f>
        <v>0</v>
      </c>
      <c r="J510" s="1">
        <f>0</f>
        <v>0</v>
      </c>
      <c r="K510" s="1"/>
      <c r="L510" s="1">
        <v>0</v>
      </c>
      <c r="M510" s="1">
        <f>0</f>
        <v>0</v>
      </c>
      <c r="N510" s="1">
        <f>0</f>
        <v>0</v>
      </c>
      <c r="O510" s="1">
        <f>0</f>
        <v>0</v>
      </c>
      <c r="P510" s="1"/>
      <c r="Q510" s="1">
        <v>0</v>
      </c>
      <c r="R510" s="1">
        <v>0</v>
      </c>
      <c r="S510" s="1">
        <f>0</f>
        <v>0</v>
      </c>
      <c r="T510" s="1">
        <f>0</f>
        <v>0</v>
      </c>
      <c r="U510" s="1"/>
      <c r="V510" s="1">
        <v>0</v>
      </c>
      <c r="W510" s="1">
        <v>0</v>
      </c>
      <c r="X510" s="1">
        <f>0</f>
        <v>0</v>
      </c>
      <c r="Y510" s="1">
        <f>0</f>
        <v>0</v>
      </c>
      <c r="Z510" s="1">
        <f>0</f>
        <v>0</v>
      </c>
      <c r="AA510" s="1"/>
      <c r="AB510" s="5"/>
      <c r="AC510" s="5"/>
      <c r="AD510" s="1">
        <f>0</f>
        <v>0</v>
      </c>
      <c r="AE510" s="1">
        <f>0</f>
        <v>0</v>
      </c>
      <c r="AF510" s="1">
        <f>0</f>
        <v>0</v>
      </c>
      <c r="AG510" s="1">
        <f>0</f>
        <v>0</v>
      </c>
      <c r="AH510" s="1">
        <f>0</f>
        <v>0</v>
      </c>
      <c r="AI510" s="1">
        <f>0</f>
        <v>0</v>
      </c>
      <c r="AJ510" s="1"/>
      <c r="AK510" s="1" t="b">
        <v>1</v>
      </c>
      <c r="AL510" s="1"/>
      <c r="AM510" s="1"/>
      <c r="AN510" s="1"/>
      <c r="AO510" s="1"/>
      <c r="AP510" s="1"/>
      <c r="AQ510" s="1"/>
      <c r="AR510" s="1"/>
      <c r="AS510" s="1"/>
      <c r="AT510" s="1"/>
      <c r="AU510" s="1"/>
      <c r="AV510" s="1"/>
      <c r="AW510" s="1"/>
      <c r="AX510" s="1"/>
      <c r="AY510" s="1"/>
      <c r="AZ510" s="1"/>
    </row>
    <row r="511" spans="1:52" ht="15" customHeight="1" x14ac:dyDescent="0.35">
      <c r="A511" s="1" t="s">
        <v>1818</v>
      </c>
      <c r="B511" s="1" t="s">
        <v>242</v>
      </c>
      <c r="C511" s="1" t="s">
        <v>640</v>
      </c>
      <c r="D511" s="1"/>
      <c r="E511" s="1" t="s">
        <v>614</v>
      </c>
      <c r="F511" s="9" t="s">
        <v>1819</v>
      </c>
      <c r="G511" s="1" t="s">
        <v>38</v>
      </c>
      <c r="H5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1" s="11">
        <f>0</f>
        <v>0</v>
      </c>
      <c r="J511" s="1">
        <f>0</f>
        <v>0</v>
      </c>
      <c r="K511" s="1"/>
      <c r="L511" s="1">
        <v>0</v>
      </c>
      <c r="M511" s="1">
        <f>0</f>
        <v>0</v>
      </c>
      <c r="N511" s="1">
        <f>0</f>
        <v>0</v>
      </c>
      <c r="O511" s="1">
        <f>0</f>
        <v>0</v>
      </c>
      <c r="P511" s="1"/>
      <c r="Q511" s="1">
        <v>0</v>
      </c>
      <c r="R511" s="1">
        <v>0</v>
      </c>
      <c r="S511" s="1">
        <f>0</f>
        <v>0</v>
      </c>
      <c r="T511" s="1">
        <f>0</f>
        <v>0</v>
      </c>
      <c r="U511" s="1"/>
      <c r="V511" s="1">
        <v>0</v>
      </c>
      <c r="W511" s="1">
        <v>0</v>
      </c>
      <c r="X511" s="1">
        <f>0</f>
        <v>0</v>
      </c>
      <c r="Y511" s="1">
        <f>0</f>
        <v>0</v>
      </c>
      <c r="Z511" s="1">
        <f>0</f>
        <v>0</v>
      </c>
      <c r="AA511" s="1"/>
      <c r="AB511" s="5"/>
      <c r="AC511" s="5"/>
      <c r="AD511" s="1">
        <f>0</f>
        <v>0</v>
      </c>
      <c r="AE511" s="1">
        <f>0</f>
        <v>0</v>
      </c>
      <c r="AF511" s="1">
        <f>0</f>
        <v>0</v>
      </c>
      <c r="AG511" s="1">
        <f>0</f>
        <v>0</v>
      </c>
      <c r="AH511" s="1">
        <f>0</f>
        <v>0</v>
      </c>
      <c r="AI511" s="1">
        <f>0</f>
        <v>0</v>
      </c>
      <c r="AJ511" s="1"/>
      <c r="AK511" s="1" t="b">
        <v>1</v>
      </c>
      <c r="AL511" s="1"/>
      <c r="AM511" s="1"/>
      <c r="AN511" s="1"/>
      <c r="AO511" s="1"/>
      <c r="AP511" s="1"/>
      <c r="AQ511" s="1"/>
      <c r="AR511" s="1"/>
      <c r="AS511" s="1"/>
      <c r="AT511" s="1"/>
      <c r="AU511" s="1"/>
      <c r="AV511" s="1"/>
      <c r="AW511" s="1"/>
      <c r="AX511" s="1"/>
      <c r="AY511" s="1"/>
      <c r="AZ511" s="1"/>
    </row>
    <row r="512" spans="1:52" ht="15" customHeight="1" x14ac:dyDescent="0.35">
      <c r="A512" s="1" t="s">
        <v>1820</v>
      </c>
      <c r="B512" s="1" t="s">
        <v>243</v>
      </c>
      <c r="C512" s="1" t="s">
        <v>640</v>
      </c>
      <c r="D512" s="1"/>
      <c r="E512" s="1" t="s">
        <v>614</v>
      </c>
      <c r="F512" s="9" t="s">
        <v>1821</v>
      </c>
      <c r="G512" s="1" t="s">
        <v>38</v>
      </c>
      <c r="H5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2" s="11">
        <f>0</f>
        <v>0</v>
      </c>
      <c r="J512" s="1">
        <f>0</f>
        <v>0</v>
      </c>
      <c r="K512" s="1"/>
      <c r="L512" s="1">
        <v>0</v>
      </c>
      <c r="M512" s="1">
        <f>0</f>
        <v>0</v>
      </c>
      <c r="N512" s="1">
        <f>0</f>
        <v>0</v>
      </c>
      <c r="O512" s="1">
        <f>0</f>
        <v>0</v>
      </c>
      <c r="P512" s="1"/>
      <c r="Q512" s="1">
        <v>0</v>
      </c>
      <c r="R512" s="1">
        <v>0</v>
      </c>
      <c r="S512" s="1">
        <f>0</f>
        <v>0</v>
      </c>
      <c r="T512" s="1">
        <f>0</f>
        <v>0</v>
      </c>
      <c r="U512" s="1"/>
      <c r="V512" s="1">
        <v>0</v>
      </c>
      <c r="W512" s="1">
        <v>0</v>
      </c>
      <c r="X512" s="1">
        <f>0</f>
        <v>0</v>
      </c>
      <c r="Y512" s="1">
        <f>0</f>
        <v>0</v>
      </c>
      <c r="Z512" s="1">
        <f>0</f>
        <v>0</v>
      </c>
      <c r="AA512" s="1"/>
      <c r="AB512" s="5"/>
      <c r="AC512" s="5"/>
      <c r="AD512" s="1">
        <f>0</f>
        <v>0</v>
      </c>
      <c r="AE512" s="1">
        <f>0</f>
        <v>0</v>
      </c>
      <c r="AF512" s="1">
        <f>0</f>
        <v>0</v>
      </c>
      <c r="AG512" s="1">
        <f>0</f>
        <v>0</v>
      </c>
      <c r="AH512" s="1">
        <f>0</f>
        <v>0</v>
      </c>
      <c r="AI512" s="1">
        <f>0</f>
        <v>0</v>
      </c>
      <c r="AJ512" s="1"/>
      <c r="AK512" s="1" t="b">
        <v>1</v>
      </c>
      <c r="AL512" s="1"/>
      <c r="AM512" s="1"/>
      <c r="AN512" s="1"/>
      <c r="AO512" s="1"/>
      <c r="AP512" s="1"/>
      <c r="AQ512" s="1"/>
      <c r="AR512" s="1"/>
      <c r="AS512" s="1"/>
      <c r="AT512" s="1"/>
      <c r="AU512" s="1"/>
      <c r="AV512" s="1"/>
      <c r="AW512" s="1"/>
      <c r="AX512" s="1"/>
      <c r="AY512" s="1"/>
      <c r="AZ512" s="1"/>
    </row>
    <row r="513" spans="1:52" ht="15" customHeight="1" x14ac:dyDescent="0.35">
      <c r="A513" s="1" t="s">
        <v>1822</v>
      </c>
      <c r="B513" s="1" t="s">
        <v>244</v>
      </c>
      <c r="C513" s="1" t="s">
        <v>640</v>
      </c>
      <c r="D513" s="1"/>
      <c r="E513" s="1" t="s">
        <v>614</v>
      </c>
      <c r="F513" s="9" t="s">
        <v>1823</v>
      </c>
      <c r="G513" s="1" t="s">
        <v>38</v>
      </c>
      <c r="H5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3" s="11">
        <f>0</f>
        <v>0</v>
      </c>
      <c r="J513" s="1">
        <f>0</f>
        <v>0</v>
      </c>
      <c r="K513" s="1"/>
      <c r="L513" s="1">
        <v>0</v>
      </c>
      <c r="M513" s="1">
        <f>0</f>
        <v>0</v>
      </c>
      <c r="N513" s="1">
        <f>0</f>
        <v>0</v>
      </c>
      <c r="O513" s="1">
        <f>0</f>
        <v>0</v>
      </c>
      <c r="P513" s="1"/>
      <c r="Q513" s="1">
        <v>0</v>
      </c>
      <c r="R513" s="1">
        <v>0</v>
      </c>
      <c r="S513" s="1">
        <f>0</f>
        <v>0</v>
      </c>
      <c r="T513" s="1">
        <f>0</f>
        <v>0</v>
      </c>
      <c r="U513" s="1"/>
      <c r="V513" s="1">
        <v>0</v>
      </c>
      <c r="W513" s="1">
        <v>0</v>
      </c>
      <c r="X513" s="1">
        <f>0</f>
        <v>0</v>
      </c>
      <c r="Y513" s="1">
        <f>0</f>
        <v>0</v>
      </c>
      <c r="Z513" s="1">
        <f>0</f>
        <v>0</v>
      </c>
      <c r="AA513" s="1"/>
      <c r="AB513" s="5"/>
      <c r="AC513" s="5"/>
      <c r="AD513" s="1">
        <f>0</f>
        <v>0</v>
      </c>
      <c r="AE513" s="1">
        <f>0</f>
        <v>0</v>
      </c>
      <c r="AF513" s="1">
        <f>0</f>
        <v>0</v>
      </c>
      <c r="AG513" s="1">
        <f>0</f>
        <v>0</v>
      </c>
      <c r="AH513" s="1">
        <f>0</f>
        <v>0</v>
      </c>
      <c r="AI513" s="1">
        <f>0</f>
        <v>0</v>
      </c>
      <c r="AJ513" s="1"/>
      <c r="AK513" s="1" t="b">
        <v>1</v>
      </c>
      <c r="AL513" s="1"/>
      <c r="AM513" s="1"/>
      <c r="AN513" s="1"/>
      <c r="AO513" s="1"/>
      <c r="AP513" s="1"/>
      <c r="AQ513" s="1"/>
      <c r="AR513" s="1"/>
      <c r="AS513" s="1"/>
      <c r="AT513" s="1"/>
      <c r="AU513" s="1"/>
      <c r="AV513" s="1"/>
      <c r="AW513" s="1"/>
      <c r="AX513" s="1"/>
      <c r="AY513" s="1"/>
      <c r="AZ513" s="1"/>
    </row>
    <row r="514" spans="1:52" ht="15" customHeight="1" x14ac:dyDescent="0.35">
      <c r="A514" s="1" t="s">
        <v>1824</v>
      </c>
      <c r="B514" s="1" t="s">
        <v>245</v>
      </c>
      <c r="C514" s="1" t="s">
        <v>640</v>
      </c>
      <c r="D514" s="1"/>
      <c r="E514" s="1" t="s">
        <v>614</v>
      </c>
      <c r="F514" s="9" t="s">
        <v>1825</v>
      </c>
      <c r="G514" s="1" t="s">
        <v>38</v>
      </c>
      <c r="H5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4" s="11">
        <f>0</f>
        <v>0</v>
      </c>
      <c r="J514" s="1">
        <f>0</f>
        <v>0</v>
      </c>
      <c r="K514" s="1"/>
      <c r="L514" s="1">
        <v>0</v>
      </c>
      <c r="M514" s="1">
        <f>0</f>
        <v>0</v>
      </c>
      <c r="N514" s="1">
        <f>0</f>
        <v>0</v>
      </c>
      <c r="O514" s="1">
        <f>0</f>
        <v>0</v>
      </c>
      <c r="P514" s="1"/>
      <c r="Q514" s="1">
        <v>0</v>
      </c>
      <c r="R514" s="1">
        <v>0</v>
      </c>
      <c r="S514" s="1">
        <f>0</f>
        <v>0</v>
      </c>
      <c r="T514" s="1">
        <f>0</f>
        <v>0</v>
      </c>
      <c r="U514" s="1"/>
      <c r="V514" s="1">
        <v>0</v>
      </c>
      <c r="W514" s="1">
        <v>0</v>
      </c>
      <c r="X514" s="1">
        <f>0</f>
        <v>0</v>
      </c>
      <c r="Y514" s="1">
        <f>0</f>
        <v>0</v>
      </c>
      <c r="Z514" s="1">
        <f>0</f>
        <v>0</v>
      </c>
      <c r="AA514" s="1"/>
      <c r="AB514" s="5"/>
      <c r="AC514" s="5"/>
      <c r="AD514" s="1">
        <f>0</f>
        <v>0</v>
      </c>
      <c r="AE514" s="1">
        <f>0</f>
        <v>0</v>
      </c>
      <c r="AF514" s="1">
        <f>0</f>
        <v>0</v>
      </c>
      <c r="AG514" s="1">
        <f>0</f>
        <v>0</v>
      </c>
      <c r="AH514" s="1">
        <f>0</f>
        <v>0</v>
      </c>
      <c r="AI514" s="1">
        <f>0</f>
        <v>0</v>
      </c>
      <c r="AJ514" s="1"/>
      <c r="AK514" s="1" t="b">
        <v>1</v>
      </c>
      <c r="AL514" s="1"/>
      <c r="AM514" s="1"/>
      <c r="AN514" s="1"/>
      <c r="AO514" s="1"/>
      <c r="AP514" s="1"/>
      <c r="AQ514" s="1"/>
      <c r="AR514" s="1"/>
      <c r="AS514" s="1"/>
      <c r="AT514" s="1"/>
      <c r="AU514" s="1"/>
      <c r="AV514" s="1"/>
      <c r="AW514" s="1"/>
      <c r="AX514" s="1"/>
      <c r="AY514" s="1"/>
      <c r="AZ514" s="1"/>
    </row>
    <row r="515" spans="1:52" ht="15" customHeight="1" x14ac:dyDescent="0.35">
      <c r="A515" s="1" t="s">
        <v>1826</v>
      </c>
      <c r="B515" s="1" t="s">
        <v>246</v>
      </c>
      <c r="C515" s="1" t="s">
        <v>640</v>
      </c>
      <c r="D515" s="1"/>
      <c r="E515" s="1" t="s">
        <v>614</v>
      </c>
      <c r="F515" s="9" t="s">
        <v>1827</v>
      </c>
      <c r="G515" s="1" t="s">
        <v>38</v>
      </c>
      <c r="H5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5" s="11">
        <f>0</f>
        <v>0</v>
      </c>
      <c r="J515" s="1">
        <f>0</f>
        <v>0</v>
      </c>
      <c r="K515" s="1"/>
      <c r="L515" s="1">
        <v>0</v>
      </c>
      <c r="M515" s="1">
        <f>0</f>
        <v>0</v>
      </c>
      <c r="N515" s="1">
        <f>0</f>
        <v>0</v>
      </c>
      <c r="O515" s="1">
        <f>0</f>
        <v>0</v>
      </c>
      <c r="P515" s="1"/>
      <c r="Q515" s="1">
        <v>0</v>
      </c>
      <c r="R515" s="1">
        <v>0</v>
      </c>
      <c r="S515" s="1">
        <f>0</f>
        <v>0</v>
      </c>
      <c r="T515" s="1">
        <f>0</f>
        <v>0</v>
      </c>
      <c r="U515" s="1"/>
      <c r="V515" s="1">
        <v>0</v>
      </c>
      <c r="W515" s="1">
        <v>0</v>
      </c>
      <c r="X515" s="1">
        <f>0</f>
        <v>0</v>
      </c>
      <c r="Y515" s="1">
        <f>0</f>
        <v>0</v>
      </c>
      <c r="Z515" s="1">
        <f>0</f>
        <v>0</v>
      </c>
      <c r="AA515" s="1"/>
      <c r="AB515" s="5"/>
      <c r="AC515" s="5"/>
      <c r="AD515" s="1">
        <f>0</f>
        <v>0</v>
      </c>
      <c r="AE515" s="1">
        <f>0</f>
        <v>0</v>
      </c>
      <c r="AF515" s="1">
        <f>0</f>
        <v>0</v>
      </c>
      <c r="AG515" s="1">
        <f>0</f>
        <v>0</v>
      </c>
      <c r="AH515" s="1">
        <f>0</f>
        <v>0</v>
      </c>
      <c r="AI515" s="1">
        <f>0</f>
        <v>0</v>
      </c>
      <c r="AJ515" s="1"/>
      <c r="AK515" s="1" t="b">
        <v>1</v>
      </c>
      <c r="AL515" s="1"/>
      <c r="AM515" s="1"/>
      <c r="AN515" s="1"/>
      <c r="AO515" s="1"/>
      <c r="AP515" s="1"/>
      <c r="AQ515" s="1"/>
      <c r="AR515" s="1"/>
      <c r="AS515" s="1"/>
      <c r="AT515" s="1"/>
      <c r="AU515" s="1"/>
      <c r="AV515" s="1"/>
      <c r="AW515" s="1"/>
      <c r="AX515" s="1"/>
      <c r="AY515" s="1"/>
      <c r="AZ515" s="1"/>
    </row>
    <row r="516" spans="1:52" ht="15" customHeight="1" x14ac:dyDescent="0.35">
      <c r="A516" s="1" t="s">
        <v>1828</v>
      </c>
      <c r="B516" s="1" t="s">
        <v>247</v>
      </c>
      <c r="C516" s="1" t="s">
        <v>640</v>
      </c>
      <c r="D516" s="1"/>
      <c r="E516" s="1" t="s">
        <v>614</v>
      </c>
      <c r="F516" s="9" t="s">
        <v>1829</v>
      </c>
      <c r="G516" s="1" t="s">
        <v>38</v>
      </c>
      <c r="H5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6" s="11">
        <f>0</f>
        <v>0</v>
      </c>
      <c r="J516" s="1">
        <f>0</f>
        <v>0</v>
      </c>
      <c r="K516" s="1"/>
      <c r="L516" s="1">
        <v>0</v>
      </c>
      <c r="M516" s="1">
        <f>0</f>
        <v>0</v>
      </c>
      <c r="N516" s="1">
        <f>0</f>
        <v>0</v>
      </c>
      <c r="O516" s="1">
        <f>0</f>
        <v>0</v>
      </c>
      <c r="P516" s="1"/>
      <c r="Q516" s="1">
        <v>0</v>
      </c>
      <c r="R516" s="1">
        <v>0</v>
      </c>
      <c r="S516" s="1">
        <f>0</f>
        <v>0</v>
      </c>
      <c r="T516" s="1">
        <f>0</f>
        <v>0</v>
      </c>
      <c r="U516" s="1"/>
      <c r="V516" s="1">
        <v>0</v>
      </c>
      <c r="W516" s="1">
        <v>0</v>
      </c>
      <c r="X516" s="1">
        <f>0</f>
        <v>0</v>
      </c>
      <c r="Y516" s="1">
        <f>0</f>
        <v>0</v>
      </c>
      <c r="Z516" s="1">
        <f>0</f>
        <v>0</v>
      </c>
      <c r="AA516" s="1"/>
      <c r="AB516" s="5"/>
      <c r="AC516" s="5"/>
      <c r="AD516" s="1">
        <f>0</f>
        <v>0</v>
      </c>
      <c r="AE516" s="1">
        <f>0</f>
        <v>0</v>
      </c>
      <c r="AF516" s="1">
        <f>0</f>
        <v>0</v>
      </c>
      <c r="AG516" s="1">
        <f>0</f>
        <v>0</v>
      </c>
      <c r="AH516" s="1">
        <f>0</f>
        <v>0</v>
      </c>
      <c r="AI516" s="1">
        <f>0</f>
        <v>0</v>
      </c>
      <c r="AJ516" s="1"/>
      <c r="AK516" s="1" t="b">
        <v>1</v>
      </c>
      <c r="AL516" s="1"/>
      <c r="AM516" s="1"/>
      <c r="AN516" s="1"/>
      <c r="AO516" s="1"/>
      <c r="AP516" s="1"/>
      <c r="AQ516" s="1"/>
      <c r="AR516" s="1"/>
      <c r="AS516" s="1"/>
      <c r="AT516" s="1"/>
      <c r="AU516" s="1"/>
      <c r="AV516" s="1"/>
      <c r="AW516" s="1"/>
      <c r="AX516" s="1"/>
      <c r="AY516" s="1"/>
      <c r="AZ516" s="1"/>
    </row>
    <row r="517" spans="1:52" ht="15" customHeight="1" x14ac:dyDescent="0.35">
      <c r="A517" s="1" t="s">
        <v>1830</v>
      </c>
      <c r="B517" s="1" t="s">
        <v>248</v>
      </c>
      <c r="C517" s="1" t="s">
        <v>640</v>
      </c>
      <c r="D517" s="1"/>
      <c r="E517" s="1" t="s">
        <v>614</v>
      </c>
      <c r="F517" s="9" t="s">
        <v>1831</v>
      </c>
      <c r="G517" s="1" t="s">
        <v>38</v>
      </c>
      <c r="H5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7" s="11">
        <f>0</f>
        <v>0</v>
      </c>
      <c r="J517" s="1">
        <f>0</f>
        <v>0</v>
      </c>
      <c r="K517" s="1"/>
      <c r="L517" s="1">
        <v>0</v>
      </c>
      <c r="M517" s="1">
        <f>0</f>
        <v>0</v>
      </c>
      <c r="N517" s="1">
        <f>0</f>
        <v>0</v>
      </c>
      <c r="O517" s="1">
        <f>0</f>
        <v>0</v>
      </c>
      <c r="P517" s="1"/>
      <c r="Q517" s="1">
        <v>0</v>
      </c>
      <c r="R517" s="1">
        <v>0</v>
      </c>
      <c r="S517" s="1">
        <f>0</f>
        <v>0</v>
      </c>
      <c r="T517" s="1">
        <f>0</f>
        <v>0</v>
      </c>
      <c r="U517" s="1"/>
      <c r="V517" s="1">
        <v>0</v>
      </c>
      <c r="W517" s="1">
        <v>0</v>
      </c>
      <c r="X517" s="1">
        <f>0</f>
        <v>0</v>
      </c>
      <c r="Y517" s="1">
        <f>0</f>
        <v>0</v>
      </c>
      <c r="Z517" s="1">
        <f>0</f>
        <v>0</v>
      </c>
      <c r="AA517" s="1"/>
      <c r="AB517" s="5"/>
      <c r="AC517" s="5"/>
      <c r="AD517" s="1">
        <f>0</f>
        <v>0</v>
      </c>
      <c r="AE517" s="1">
        <f>0</f>
        <v>0</v>
      </c>
      <c r="AF517" s="1">
        <f>0</f>
        <v>0</v>
      </c>
      <c r="AG517" s="1">
        <f>0</f>
        <v>0</v>
      </c>
      <c r="AH517" s="1">
        <f>0</f>
        <v>0</v>
      </c>
      <c r="AI517" s="1">
        <f>0</f>
        <v>0</v>
      </c>
      <c r="AJ517" s="1"/>
      <c r="AK517" s="1" t="b">
        <v>1</v>
      </c>
      <c r="AL517" s="1"/>
      <c r="AM517" s="1"/>
      <c r="AN517" s="1"/>
      <c r="AO517" s="1"/>
      <c r="AP517" s="1"/>
      <c r="AQ517" s="1"/>
      <c r="AR517" s="1"/>
      <c r="AS517" s="1"/>
      <c r="AT517" s="1"/>
      <c r="AU517" s="1"/>
      <c r="AV517" s="1"/>
      <c r="AW517" s="1"/>
      <c r="AX517" s="1"/>
      <c r="AY517" s="1"/>
      <c r="AZ517" s="1"/>
    </row>
    <row r="518" spans="1:52" ht="15" customHeight="1" x14ac:dyDescent="0.35">
      <c r="A518" s="1" t="s">
        <v>1832</v>
      </c>
      <c r="B518" s="1" t="s">
        <v>249</v>
      </c>
      <c r="C518" s="1" t="s">
        <v>640</v>
      </c>
      <c r="D518" s="1"/>
      <c r="E518" s="1" t="s">
        <v>614</v>
      </c>
      <c r="F518" s="9" t="s">
        <v>1833</v>
      </c>
      <c r="G518" s="1" t="s">
        <v>38</v>
      </c>
      <c r="H5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8" s="11">
        <f>0</f>
        <v>0</v>
      </c>
      <c r="J518" s="1">
        <f>0</f>
        <v>0</v>
      </c>
      <c r="K518" s="1"/>
      <c r="L518" s="1">
        <v>0</v>
      </c>
      <c r="M518" s="1">
        <f>0</f>
        <v>0</v>
      </c>
      <c r="N518" s="1">
        <f>0</f>
        <v>0</v>
      </c>
      <c r="O518" s="1">
        <f>0</f>
        <v>0</v>
      </c>
      <c r="P518" s="1"/>
      <c r="Q518" s="1">
        <v>0</v>
      </c>
      <c r="R518" s="1">
        <v>0</v>
      </c>
      <c r="S518" s="1">
        <f>0</f>
        <v>0</v>
      </c>
      <c r="T518" s="1">
        <f>0</f>
        <v>0</v>
      </c>
      <c r="U518" s="1"/>
      <c r="V518" s="1">
        <v>0</v>
      </c>
      <c r="W518" s="1">
        <v>0</v>
      </c>
      <c r="X518" s="1">
        <f>0</f>
        <v>0</v>
      </c>
      <c r="Y518" s="1">
        <f>0</f>
        <v>0</v>
      </c>
      <c r="Z518" s="1">
        <f>0</f>
        <v>0</v>
      </c>
      <c r="AA518" s="1"/>
      <c r="AB518" s="5"/>
      <c r="AC518" s="5"/>
      <c r="AD518" s="1">
        <f>0</f>
        <v>0</v>
      </c>
      <c r="AE518" s="1">
        <f>0</f>
        <v>0</v>
      </c>
      <c r="AF518" s="1">
        <f>0</f>
        <v>0</v>
      </c>
      <c r="AG518" s="1">
        <f>0</f>
        <v>0</v>
      </c>
      <c r="AH518" s="1">
        <f>0</f>
        <v>0</v>
      </c>
      <c r="AI518" s="1">
        <f>0</f>
        <v>0</v>
      </c>
      <c r="AJ518" s="1"/>
      <c r="AK518" s="1" t="b">
        <v>1</v>
      </c>
      <c r="AL518" s="1"/>
      <c r="AM518" s="1"/>
      <c r="AN518" s="1"/>
      <c r="AO518" s="1"/>
      <c r="AP518" s="1"/>
      <c r="AQ518" s="1"/>
      <c r="AR518" s="1"/>
      <c r="AS518" s="1"/>
      <c r="AT518" s="1"/>
      <c r="AU518" s="1"/>
      <c r="AV518" s="1"/>
      <c r="AW518" s="1"/>
      <c r="AX518" s="1"/>
      <c r="AY518" s="1"/>
      <c r="AZ518" s="1"/>
    </row>
    <row r="519" spans="1:52" ht="15" customHeight="1" x14ac:dyDescent="0.35">
      <c r="A519" s="1" t="s">
        <v>1834</v>
      </c>
      <c r="B519" s="1" t="s">
        <v>250</v>
      </c>
      <c r="C519" s="1" t="s">
        <v>640</v>
      </c>
      <c r="D519" s="1"/>
      <c r="E519" s="1" t="s">
        <v>614</v>
      </c>
      <c r="F519" s="9" t="s">
        <v>1835</v>
      </c>
      <c r="G519" s="1" t="s">
        <v>38</v>
      </c>
      <c r="H5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19" s="11">
        <f>0</f>
        <v>0</v>
      </c>
      <c r="J519" s="1">
        <f>0</f>
        <v>0</v>
      </c>
      <c r="K519" s="1"/>
      <c r="L519" s="1">
        <v>0</v>
      </c>
      <c r="M519" s="1">
        <f>0</f>
        <v>0</v>
      </c>
      <c r="N519" s="1">
        <f>0</f>
        <v>0</v>
      </c>
      <c r="O519" s="1">
        <f>0</f>
        <v>0</v>
      </c>
      <c r="P519" s="1"/>
      <c r="Q519" s="1">
        <v>0</v>
      </c>
      <c r="R519" s="1">
        <v>0</v>
      </c>
      <c r="S519" s="1">
        <f>0</f>
        <v>0</v>
      </c>
      <c r="T519" s="1">
        <f>0</f>
        <v>0</v>
      </c>
      <c r="U519" s="1"/>
      <c r="V519" s="1">
        <v>0</v>
      </c>
      <c r="W519" s="1">
        <v>0</v>
      </c>
      <c r="X519" s="1">
        <f>0</f>
        <v>0</v>
      </c>
      <c r="Y519" s="1">
        <f>0</f>
        <v>0</v>
      </c>
      <c r="Z519" s="1">
        <f>0</f>
        <v>0</v>
      </c>
      <c r="AA519" s="1"/>
      <c r="AB519" s="5"/>
      <c r="AC519" s="5"/>
      <c r="AD519" s="1">
        <f>0</f>
        <v>0</v>
      </c>
      <c r="AE519" s="1">
        <f>0</f>
        <v>0</v>
      </c>
      <c r="AF519" s="1">
        <f>0</f>
        <v>0</v>
      </c>
      <c r="AG519" s="1">
        <f>0</f>
        <v>0</v>
      </c>
      <c r="AH519" s="1">
        <f>0</f>
        <v>0</v>
      </c>
      <c r="AI519" s="1">
        <f>0</f>
        <v>0</v>
      </c>
      <c r="AJ519" s="1"/>
      <c r="AK519" s="1" t="b">
        <v>1</v>
      </c>
      <c r="AL519" s="1"/>
      <c r="AM519" s="1"/>
      <c r="AN519" s="1"/>
      <c r="AO519" s="1"/>
      <c r="AP519" s="1"/>
      <c r="AQ519" s="1"/>
      <c r="AR519" s="1"/>
      <c r="AS519" s="1"/>
      <c r="AT519" s="1"/>
      <c r="AU519" s="1"/>
      <c r="AV519" s="1"/>
      <c r="AW519" s="1"/>
      <c r="AX519" s="1"/>
      <c r="AY519" s="1"/>
      <c r="AZ519" s="1"/>
    </row>
    <row r="520" spans="1:52" ht="15" customHeight="1" x14ac:dyDescent="0.35">
      <c r="A520" s="1" t="s">
        <v>1836</v>
      </c>
      <c r="B520" s="1" t="s">
        <v>251</v>
      </c>
      <c r="C520" s="1" t="s">
        <v>640</v>
      </c>
      <c r="D520" s="1"/>
      <c r="E520" s="1" t="s">
        <v>614</v>
      </c>
      <c r="F520" s="9" t="s">
        <v>1837</v>
      </c>
      <c r="G520" s="1" t="s">
        <v>38</v>
      </c>
      <c r="H5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0" s="11">
        <f>0</f>
        <v>0</v>
      </c>
      <c r="J520" s="1">
        <f>0</f>
        <v>0</v>
      </c>
      <c r="K520" s="1"/>
      <c r="L520" s="1">
        <v>0</v>
      </c>
      <c r="M520" s="1">
        <f>0</f>
        <v>0</v>
      </c>
      <c r="N520" s="1">
        <f>0</f>
        <v>0</v>
      </c>
      <c r="O520" s="1">
        <f>0</f>
        <v>0</v>
      </c>
      <c r="P520" s="1"/>
      <c r="Q520" s="1">
        <v>0</v>
      </c>
      <c r="R520" s="1">
        <v>0</v>
      </c>
      <c r="S520" s="1">
        <f>0</f>
        <v>0</v>
      </c>
      <c r="T520" s="1">
        <f>0</f>
        <v>0</v>
      </c>
      <c r="U520" s="1"/>
      <c r="V520" s="1">
        <v>0</v>
      </c>
      <c r="W520" s="1">
        <v>0</v>
      </c>
      <c r="X520" s="1">
        <f>0</f>
        <v>0</v>
      </c>
      <c r="Y520" s="1">
        <f>0</f>
        <v>0</v>
      </c>
      <c r="Z520" s="1">
        <f>0</f>
        <v>0</v>
      </c>
      <c r="AA520" s="1"/>
      <c r="AB520" s="5"/>
      <c r="AC520" s="5"/>
      <c r="AD520" s="1">
        <f>0</f>
        <v>0</v>
      </c>
      <c r="AE520" s="1">
        <f>0</f>
        <v>0</v>
      </c>
      <c r="AF520" s="1">
        <f>0</f>
        <v>0</v>
      </c>
      <c r="AG520" s="1">
        <f>0</f>
        <v>0</v>
      </c>
      <c r="AH520" s="1">
        <f>0</f>
        <v>0</v>
      </c>
      <c r="AI520" s="1">
        <f>0</f>
        <v>0</v>
      </c>
      <c r="AJ520" s="1"/>
      <c r="AK520" s="1" t="b">
        <v>1</v>
      </c>
      <c r="AL520" s="1"/>
      <c r="AM520" s="1"/>
      <c r="AN520" s="1"/>
      <c r="AO520" s="1"/>
      <c r="AP520" s="1"/>
      <c r="AQ520" s="1"/>
      <c r="AR520" s="1"/>
      <c r="AS520" s="1"/>
      <c r="AT520" s="1"/>
      <c r="AU520" s="1"/>
      <c r="AV520" s="1"/>
      <c r="AW520" s="1"/>
      <c r="AX520" s="1"/>
      <c r="AY520" s="1"/>
      <c r="AZ520" s="1"/>
    </row>
    <row r="521" spans="1:52" ht="15" customHeight="1" x14ac:dyDescent="0.35">
      <c r="A521" s="1" t="s">
        <v>1838</v>
      </c>
      <c r="B521" s="1" t="s">
        <v>252</v>
      </c>
      <c r="C521" s="1" t="s">
        <v>640</v>
      </c>
      <c r="D521" s="1"/>
      <c r="E521" s="1" t="s">
        <v>614</v>
      </c>
      <c r="F521" s="9" t="s">
        <v>1839</v>
      </c>
      <c r="G521" s="1" t="s">
        <v>38</v>
      </c>
      <c r="H5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1" s="11">
        <f>0</f>
        <v>0</v>
      </c>
      <c r="J521" s="1">
        <f>0</f>
        <v>0</v>
      </c>
      <c r="K521" s="1"/>
      <c r="L521" s="1">
        <v>0</v>
      </c>
      <c r="M521" s="1">
        <f>0</f>
        <v>0</v>
      </c>
      <c r="N521" s="1">
        <f>0</f>
        <v>0</v>
      </c>
      <c r="O521" s="1">
        <f>0</f>
        <v>0</v>
      </c>
      <c r="P521" s="1"/>
      <c r="Q521" s="1">
        <v>0</v>
      </c>
      <c r="R521" s="1">
        <v>0</v>
      </c>
      <c r="S521" s="1">
        <f>0</f>
        <v>0</v>
      </c>
      <c r="T521" s="1">
        <f>0</f>
        <v>0</v>
      </c>
      <c r="U521" s="1"/>
      <c r="V521" s="1">
        <v>0</v>
      </c>
      <c r="W521" s="1">
        <v>0</v>
      </c>
      <c r="X521" s="1">
        <f>0</f>
        <v>0</v>
      </c>
      <c r="Y521" s="1">
        <f>0</f>
        <v>0</v>
      </c>
      <c r="Z521" s="1">
        <f>0</f>
        <v>0</v>
      </c>
      <c r="AA521" s="1"/>
      <c r="AB521" s="5"/>
      <c r="AC521" s="5"/>
      <c r="AD521" s="1">
        <f>0</f>
        <v>0</v>
      </c>
      <c r="AE521" s="1">
        <f>0</f>
        <v>0</v>
      </c>
      <c r="AF521" s="1">
        <f>0</f>
        <v>0</v>
      </c>
      <c r="AG521" s="1">
        <f>0</f>
        <v>0</v>
      </c>
      <c r="AH521" s="1">
        <f>0</f>
        <v>0</v>
      </c>
      <c r="AI521" s="1">
        <f>0</f>
        <v>0</v>
      </c>
      <c r="AJ521" s="1"/>
      <c r="AK521" s="1" t="b">
        <v>1</v>
      </c>
      <c r="AL521" s="1"/>
      <c r="AM521" s="1"/>
      <c r="AN521" s="1"/>
      <c r="AO521" s="1"/>
      <c r="AP521" s="1"/>
      <c r="AQ521" s="1"/>
      <c r="AR521" s="1"/>
      <c r="AS521" s="1"/>
      <c r="AT521" s="1"/>
      <c r="AU521" s="1"/>
      <c r="AV521" s="1"/>
      <c r="AW521" s="1"/>
      <c r="AX521" s="1"/>
      <c r="AY521" s="1"/>
      <c r="AZ521" s="1"/>
    </row>
    <row r="522" spans="1:52" ht="15" customHeight="1" x14ac:dyDescent="0.35">
      <c r="A522" s="1" t="s">
        <v>1840</v>
      </c>
      <c r="B522" s="1" t="s">
        <v>253</v>
      </c>
      <c r="C522" s="1" t="s">
        <v>640</v>
      </c>
      <c r="D522" s="1"/>
      <c r="E522" s="1" t="s">
        <v>614</v>
      </c>
      <c r="F522" s="9" t="s">
        <v>1841</v>
      </c>
      <c r="G522" s="1" t="s">
        <v>38</v>
      </c>
      <c r="H5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2" s="11">
        <f>0</f>
        <v>0</v>
      </c>
      <c r="J522" s="1">
        <f>0</f>
        <v>0</v>
      </c>
      <c r="K522" s="1"/>
      <c r="L522" s="1">
        <v>0</v>
      </c>
      <c r="M522" s="1">
        <f>0</f>
        <v>0</v>
      </c>
      <c r="N522" s="1">
        <f>0</f>
        <v>0</v>
      </c>
      <c r="O522" s="1">
        <f>0</f>
        <v>0</v>
      </c>
      <c r="P522" s="1"/>
      <c r="Q522" s="1">
        <v>0</v>
      </c>
      <c r="R522" s="1">
        <v>0</v>
      </c>
      <c r="S522" s="1">
        <f>0</f>
        <v>0</v>
      </c>
      <c r="T522" s="1">
        <f>0</f>
        <v>0</v>
      </c>
      <c r="U522" s="1"/>
      <c r="V522" s="1">
        <v>0</v>
      </c>
      <c r="W522" s="1">
        <v>0</v>
      </c>
      <c r="X522" s="1">
        <f>0</f>
        <v>0</v>
      </c>
      <c r="Y522" s="1">
        <f>0</f>
        <v>0</v>
      </c>
      <c r="Z522" s="1">
        <f>0</f>
        <v>0</v>
      </c>
      <c r="AA522" s="1"/>
      <c r="AB522" s="5"/>
      <c r="AC522" s="5"/>
      <c r="AD522" s="1">
        <f>0</f>
        <v>0</v>
      </c>
      <c r="AE522" s="1">
        <f>0</f>
        <v>0</v>
      </c>
      <c r="AF522" s="1">
        <f>0</f>
        <v>0</v>
      </c>
      <c r="AG522" s="1">
        <f>0</f>
        <v>0</v>
      </c>
      <c r="AH522" s="1">
        <f>0</f>
        <v>0</v>
      </c>
      <c r="AI522" s="1">
        <f>0</f>
        <v>0</v>
      </c>
      <c r="AJ522" s="1"/>
      <c r="AK522" s="1" t="b">
        <v>1</v>
      </c>
      <c r="AL522" s="1"/>
      <c r="AM522" s="1"/>
      <c r="AN522" s="1"/>
      <c r="AO522" s="1"/>
      <c r="AP522" s="1"/>
      <c r="AQ522" s="1"/>
      <c r="AR522" s="1"/>
      <c r="AS522" s="1"/>
      <c r="AT522" s="1"/>
      <c r="AU522" s="1"/>
      <c r="AV522" s="1"/>
      <c r="AW522" s="1"/>
      <c r="AX522" s="1"/>
      <c r="AY522" s="1"/>
      <c r="AZ522" s="1"/>
    </row>
    <row r="523" spans="1:52" ht="15" customHeight="1" x14ac:dyDescent="0.35">
      <c r="A523" s="1" t="s">
        <v>1842</v>
      </c>
      <c r="B523" s="1" t="s">
        <v>254</v>
      </c>
      <c r="C523" s="1" t="s">
        <v>640</v>
      </c>
      <c r="D523" s="1"/>
      <c r="E523" s="1" t="s">
        <v>614</v>
      </c>
      <c r="F523" s="9" t="s">
        <v>1843</v>
      </c>
      <c r="G523" s="1" t="s">
        <v>38</v>
      </c>
      <c r="H5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3" s="11">
        <f>0</f>
        <v>0</v>
      </c>
      <c r="J523" s="1">
        <f>0</f>
        <v>0</v>
      </c>
      <c r="K523" s="1"/>
      <c r="L523" s="1">
        <v>0</v>
      </c>
      <c r="M523" s="1">
        <f>0</f>
        <v>0</v>
      </c>
      <c r="N523" s="1">
        <f>0</f>
        <v>0</v>
      </c>
      <c r="O523" s="1">
        <f>0</f>
        <v>0</v>
      </c>
      <c r="P523" s="1"/>
      <c r="Q523" s="1">
        <v>0</v>
      </c>
      <c r="R523" s="1">
        <v>0</v>
      </c>
      <c r="S523" s="1">
        <f>0</f>
        <v>0</v>
      </c>
      <c r="T523" s="1">
        <f>0</f>
        <v>0</v>
      </c>
      <c r="U523" s="1"/>
      <c r="V523" s="1">
        <v>0</v>
      </c>
      <c r="W523" s="1">
        <v>0</v>
      </c>
      <c r="X523" s="1">
        <f>0</f>
        <v>0</v>
      </c>
      <c r="Y523" s="1">
        <f>0</f>
        <v>0</v>
      </c>
      <c r="Z523" s="1">
        <f>0</f>
        <v>0</v>
      </c>
      <c r="AA523" s="1"/>
      <c r="AB523" s="5"/>
      <c r="AC523" s="5"/>
      <c r="AD523" s="1">
        <f>0</f>
        <v>0</v>
      </c>
      <c r="AE523" s="1">
        <f>0</f>
        <v>0</v>
      </c>
      <c r="AF523" s="1">
        <f>0</f>
        <v>0</v>
      </c>
      <c r="AG523" s="1">
        <f>0</f>
        <v>0</v>
      </c>
      <c r="AH523" s="1">
        <f>0</f>
        <v>0</v>
      </c>
      <c r="AI523" s="1">
        <f>0</f>
        <v>0</v>
      </c>
      <c r="AJ523" s="1"/>
      <c r="AK523" s="1" t="b">
        <v>1</v>
      </c>
      <c r="AL523" s="1"/>
      <c r="AM523" s="1"/>
      <c r="AN523" s="1"/>
      <c r="AO523" s="1"/>
      <c r="AP523" s="1"/>
      <c r="AQ523" s="1"/>
      <c r="AR523" s="1"/>
      <c r="AS523" s="1"/>
      <c r="AT523" s="1"/>
      <c r="AU523" s="1"/>
      <c r="AV523" s="1"/>
      <c r="AW523" s="1"/>
      <c r="AX523" s="1"/>
      <c r="AY523" s="1"/>
      <c r="AZ523" s="1"/>
    </row>
    <row r="524" spans="1:52" ht="15" customHeight="1" x14ac:dyDescent="0.35">
      <c r="A524" s="1" t="s">
        <v>1844</v>
      </c>
      <c r="B524" s="1" t="s">
        <v>255</v>
      </c>
      <c r="C524" s="1" t="s">
        <v>640</v>
      </c>
      <c r="D524" s="1"/>
      <c r="E524" s="1" t="s">
        <v>614</v>
      </c>
      <c r="F524" s="9" t="s">
        <v>1845</v>
      </c>
      <c r="G524" s="1" t="s">
        <v>38</v>
      </c>
      <c r="H5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4" s="11">
        <f>0</f>
        <v>0</v>
      </c>
      <c r="J524" s="1">
        <f>0</f>
        <v>0</v>
      </c>
      <c r="K524" s="1"/>
      <c r="L524" s="1">
        <v>0</v>
      </c>
      <c r="M524" s="1">
        <f>0</f>
        <v>0</v>
      </c>
      <c r="N524" s="1">
        <f>0</f>
        <v>0</v>
      </c>
      <c r="O524" s="1">
        <f>0</f>
        <v>0</v>
      </c>
      <c r="P524" s="1"/>
      <c r="Q524" s="1">
        <v>0</v>
      </c>
      <c r="R524" s="1">
        <v>0</v>
      </c>
      <c r="S524" s="1">
        <f>0</f>
        <v>0</v>
      </c>
      <c r="T524" s="1">
        <f>0</f>
        <v>0</v>
      </c>
      <c r="U524" s="1"/>
      <c r="V524" s="1">
        <v>0</v>
      </c>
      <c r="W524" s="1">
        <v>0</v>
      </c>
      <c r="X524" s="1">
        <f>0</f>
        <v>0</v>
      </c>
      <c r="Y524" s="1">
        <f>0</f>
        <v>0</v>
      </c>
      <c r="Z524" s="1">
        <f>0</f>
        <v>0</v>
      </c>
      <c r="AA524" s="1"/>
      <c r="AB524" s="5"/>
      <c r="AC524" s="5"/>
      <c r="AD524" s="1">
        <f>0</f>
        <v>0</v>
      </c>
      <c r="AE524" s="1">
        <f>0</f>
        <v>0</v>
      </c>
      <c r="AF524" s="1">
        <f>0</f>
        <v>0</v>
      </c>
      <c r="AG524" s="1">
        <f>0</f>
        <v>0</v>
      </c>
      <c r="AH524" s="1">
        <f>0</f>
        <v>0</v>
      </c>
      <c r="AI524" s="1">
        <f>0</f>
        <v>0</v>
      </c>
      <c r="AJ524" s="1"/>
      <c r="AK524" s="1" t="b">
        <v>1</v>
      </c>
      <c r="AL524" s="1"/>
      <c r="AM524" s="1"/>
      <c r="AN524" s="1"/>
      <c r="AO524" s="1"/>
      <c r="AP524" s="1"/>
      <c r="AQ524" s="1"/>
      <c r="AR524" s="1"/>
      <c r="AS524" s="1"/>
      <c r="AT524" s="1"/>
      <c r="AU524" s="1"/>
      <c r="AV524" s="1"/>
      <c r="AW524" s="1"/>
      <c r="AX524" s="1"/>
      <c r="AY524" s="1"/>
      <c r="AZ524" s="1"/>
    </row>
    <row r="525" spans="1:52" ht="15" customHeight="1" x14ac:dyDescent="0.35">
      <c r="A525" s="1" t="s">
        <v>1846</v>
      </c>
      <c r="B525" s="1" t="s">
        <v>256</v>
      </c>
      <c r="C525" s="1" t="s">
        <v>640</v>
      </c>
      <c r="D525" s="1"/>
      <c r="E525" s="1" t="s">
        <v>614</v>
      </c>
      <c r="F525" s="9" t="s">
        <v>1847</v>
      </c>
      <c r="G525" s="1" t="s">
        <v>38</v>
      </c>
      <c r="H5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5" s="11">
        <f>0</f>
        <v>0</v>
      </c>
      <c r="J525" s="1">
        <f>0</f>
        <v>0</v>
      </c>
      <c r="K525" s="1"/>
      <c r="L525" s="1">
        <v>0</v>
      </c>
      <c r="M525" s="1">
        <f>0</f>
        <v>0</v>
      </c>
      <c r="N525" s="1">
        <f>0</f>
        <v>0</v>
      </c>
      <c r="O525" s="1">
        <f>0</f>
        <v>0</v>
      </c>
      <c r="P525" s="1"/>
      <c r="Q525" s="1">
        <v>0</v>
      </c>
      <c r="R525" s="1">
        <v>0</v>
      </c>
      <c r="S525" s="1">
        <f>0</f>
        <v>0</v>
      </c>
      <c r="T525" s="1">
        <f>0</f>
        <v>0</v>
      </c>
      <c r="U525" s="1"/>
      <c r="V525" s="1">
        <v>0</v>
      </c>
      <c r="W525" s="1">
        <v>0</v>
      </c>
      <c r="X525" s="1">
        <f>0</f>
        <v>0</v>
      </c>
      <c r="Y525" s="1">
        <f>0</f>
        <v>0</v>
      </c>
      <c r="Z525" s="1">
        <f>0</f>
        <v>0</v>
      </c>
      <c r="AA525" s="1"/>
      <c r="AB525" s="5"/>
      <c r="AC525" s="5"/>
      <c r="AD525" s="1">
        <f>0</f>
        <v>0</v>
      </c>
      <c r="AE525" s="1">
        <f>0</f>
        <v>0</v>
      </c>
      <c r="AF525" s="1">
        <f>0</f>
        <v>0</v>
      </c>
      <c r="AG525" s="1">
        <f>0</f>
        <v>0</v>
      </c>
      <c r="AH525" s="1">
        <f>0</f>
        <v>0</v>
      </c>
      <c r="AI525" s="1">
        <f>0</f>
        <v>0</v>
      </c>
      <c r="AJ525" s="1"/>
      <c r="AK525" s="1" t="b">
        <v>1</v>
      </c>
      <c r="AL525" s="1"/>
      <c r="AM525" s="1"/>
      <c r="AN525" s="1"/>
      <c r="AO525" s="1"/>
      <c r="AP525" s="1"/>
      <c r="AQ525" s="1"/>
      <c r="AR525" s="1"/>
      <c r="AS525" s="1"/>
      <c r="AT525" s="1"/>
      <c r="AU525" s="1"/>
      <c r="AV525" s="1"/>
      <c r="AW525" s="1"/>
      <c r="AX525" s="1"/>
      <c r="AY525" s="1"/>
      <c r="AZ525" s="1"/>
    </row>
    <row r="526" spans="1:52" ht="15" customHeight="1" x14ac:dyDescent="0.35">
      <c r="A526" s="1" t="s">
        <v>1848</v>
      </c>
      <c r="B526" s="1" t="s">
        <v>257</v>
      </c>
      <c r="C526" s="1" t="s">
        <v>640</v>
      </c>
      <c r="D526" s="1"/>
      <c r="E526" s="1" t="s">
        <v>614</v>
      </c>
      <c r="F526" s="9" t="s">
        <v>1849</v>
      </c>
      <c r="G526" s="1" t="s">
        <v>38</v>
      </c>
      <c r="H5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6" s="11">
        <f>0</f>
        <v>0</v>
      </c>
      <c r="J526" s="1">
        <f>0</f>
        <v>0</v>
      </c>
      <c r="K526" s="1"/>
      <c r="L526" s="1">
        <v>0</v>
      </c>
      <c r="M526" s="1">
        <f>0</f>
        <v>0</v>
      </c>
      <c r="N526" s="1">
        <f>0</f>
        <v>0</v>
      </c>
      <c r="O526" s="1">
        <f>0</f>
        <v>0</v>
      </c>
      <c r="P526" s="1"/>
      <c r="Q526" s="1">
        <v>0</v>
      </c>
      <c r="R526" s="1">
        <v>0</v>
      </c>
      <c r="S526" s="1">
        <f>0</f>
        <v>0</v>
      </c>
      <c r="T526" s="1">
        <f>0</f>
        <v>0</v>
      </c>
      <c r="U526" s="1"/>
      <c r="V526" s="1">
        <v>0</v>
      </c>
      <c r="W526" s="1">
        <v>0</v>
      </c>
      <c r="X526" s="1">
        <f>0</f>
        <v>0</v>
      </c>
      <c r="Y526" s="1">
        <f>0</f>
        <v>0</v>
      </c>
      <c r="Z526" s="1">
        <f>0</f>
        <v>0</v>
      </c>
      <c r="AA526" s="1"/>
      <c r="AB526" s="5"/>
      <c r="AC526" s="5"/>
      <c r="AD526" s="1">
        <f>0</f>
        <v>0</v>
      </c>
      <c r="AE526" s="1">
        <f>0</f>
        <v>0</v>
      </c>
      <c r="AF526" s="1">
        <f>0</f>
        <v>0</v>
      </c>
      <c r="AG526" s="1">
        <f>0</f>
        <v>0</v>
      </c>
      <c r="AH526" s="1">
        <f>0</f>
        <v>0</v>
      </c>
      <c r="AI526" s="1">
        <f>0</f>
        <v>0</v>
      </c>
      <c r="AJ526" s="1"/>
      <c r="AK526" s="1" t="b">
        <v>1</v>
      </c>
      <c r="AL526" s="1"/>
      <c r="AM526" s="1"/>
      <c r="AN526" s="1"/>
      <c r="AO526" s="1"/>
      <c r="AP526" s="1"/>
      <c r="AQ526" s="1"/>
      <c r="AR526" s="1"/>
      <c r="AS526" s="1"/>
      <c r="AT526" s="1"/>
      <c r="AU526" s="1"/>
      <c r="AV526" s="1"/>
      <c r="AW526" s="1"/>
      <c r="AX526" s="1"/>
      <c r="AY526" s="1"/>
      <c r="AZ526" s="1"/>
    </row>
    <row r="527" spans="1:52" ht="15" customHeight="1" x14ac:dyDescent="0.35">
      <c r="A527" s="1" t="s">
        <v>1850</v>
      </c>
      <c r="B527" s="1" t="s">
        <v>258</v>
      </c>
      <c r="C527" s="1" t="s">
        <v>640</v>
      </c>
      <c r="D527" s="1"/>
      <c r="E527" s="1" t="s">
        <v>614</v>
      </c>
      <c r="F527" s="9" t="s">
        <v>1851</v>
      </c>
      <c r="G527" s="1" t="s">
        <v>38</v>
      </c>
      <c r="H5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7" s="11">
        <f>0</f>
        <v>0</v>
      </c>
      <c r="J527" s="1">
        <f>0</f>
        <v>0</v>
      </c>
      <c r="K527" s="1"/>
      <c r="L527" s="1">
        <v>0</v>
      </c>
      <c r="M527" s="1">
        <f>0</f>
        <v>0</v>
      </c>
      <c r="N527" s="1">
        <f>0</f>
        <v>0</v>
      </c>
      <c r="O527" s="1">
        <f>0</f>
        <v>0</v>
      </c>
      <c r="P527" s="1"/>
      <c r="Q527" s="1">
        <v>0</v>
      </c>
      <c r="R527" s="1">
        <v>0</v>
      </c>
      <c r="S527" s="1">
        <f>0</f>
        <v>0</v>
      </c>
      <c r="T527" s="1">
        <f>0</f>
        <v>0</v>
      </c>
      <c r="U527" s="1"/>
      <c r="V527" s="1">
        <v>0</v>
      </c>
      <c r="W527" s="1">
        <v>0</v>
      </c>
      <c r="X527" s="1">
        <f>0</f>
        <v>0</v>
      </c>
      <c r="Y527" s="1">
        <f>0</f>
        <v>0</v>
      </c>
      <c r="Z527" s="1">
        <f>0</f>
        <v>0</v>
      </c>
      <c r="AA527" s="1"/>
      <c r="AB527" s="5"/>
      <c r="AC527" s="5"/>
      <c r="AD527" s="1">
        <f>0</f>
        <v>0</v>
      </c>
      <c r="AE527" s="1">
        <f>0</f>
        <v>0</v>
      </c>
      <c r="AF527" s="1">
        <f>0</f>
        <v>0</v>
      </c>
      <c r="AG527" s="1">
        <f>0</f>
        <v>0</v>
      </c>
      <c r="AH527" s="1">
        <f>0</f>
        <v>0</v>
      </c>
      <c r="AI527" s="1">
        <f>0</f>
        <v>0</v>
      </c>
      <c r="AJ527" s="1"/>
      <c r="AK527" s="1" t="b">
        <v>1</v>
      </c>
      <c r="AL527" s="1"/>
      <c r="AM527" s="1"/>
      <c r="AN527" s="1"/>
      <c r="AO527" s="1"/>
      <c r="AP527" s="1"/>
      <c r="AQ527" s="1"/>
      <c r="AR527" s="1"/>
      <c r="AS527" s="1"/>
      <c r="AT527" s="1"/>
      <c r="AU527" s="1"/>
      <c r="AV527" s="1"/>
      <c r="AW527" s="1"/>
      <c r="AX527" s="1"/>
      <c r="AY527" s="1"/>
      <c r="AZ527" s="1"/>
    </row>
    <row r="528" spans="1:52" ht="15" customHeight="1" x14ac:dyDescent="0.35">
      <c r="A528" s="1" t="s">
        <v>1852</v>
      </c>
      <c r="B528" s="1" t="s">
        <v>259</v>
      </c>
      <c r="C528" s="1" t="s">
        <v>640</v>
      </c>
      <c r="D528" s="1"/>
      <c r="E528" s="1" t="s">
        <v>614</v>
      </c>
      <c r="F528" s="9" t="s">
        <v>1853</v>
      </c>
      <c r="G528" s="1" t="s">
        <v>38</v>
      </c>
      <c r="H5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8" s="11">
        <f>0</f>
        <v>0</v>
      </c>
      <c r="J528" s="1">
        <f>0</f>
        <v>0</v>
      </c>
      <c r="K528" s="1"/>
      <c r="L528" s="1">
        <v>0</v>
      </c>
      <c r="M528" s="1">
        <f>0</f>
        <v>0</v>
      </c>
      <c r="N528" s="1">
        <f>0</f>
        <v>0</v>
      </c>
      <c r="O528" s="1">
        <f>0</f>
        <v>0</v>
      </c>
      <c r="P528" s="1"/>
      <c r="Q528" s="1">
        <v>0</v>
      </c>
      <c r="R528" s="1">
        <v>0</v>
      </c>
      <c r="S528" s="1">
        <f>0</f>
        <v>0</v>
      </c>
      <c r="T528" s="1">
        <f>0</f>
        <v>0</v>
      </c>
      <c r="U528" s="1"/>
      <c r="V528" s="1">
        <v>0</v>
      </c>
      <c r="W528" s="1">
        <v>0</v>
      </c>
      <c r="X528" s="1">
        <f>0</f>
        <v>0</v>
      </c>
      <c r="Y528" s="1">
        <f>0</f>
        <v>0</v>
      </c>
      <c r="Z528" s="1">
        <f>0</f>
        <v>0</v>
      </c>
      <c r="AA528" s="1"/>
      <c r="AB528" s="5"/>
      <c r="AC528" s="5"/>
      <c r="AD528" s="1">
        <f>0</f>
        <v>0</v>
      </c>
      <c r="AE528" s="1">
        <f>0</f>
        <v>0</v>
      </c>
      <c r="AF528" s="1">
        <f>0</f>
        <v>0</v>
      </c>
      <c r="AG528" s="1">
        <f>0</f>
        <v>0</v>
      </c>
      <c r="AH528" s="1">
        <f>0</f>
        <v>0</v>
      </c>
      <c r="AI528" s="1">
        <f>0</f>
        <v>0</v>
      </c>
      <c r="AJ528" s="1"/>
      <c r="AK528" s="1" t="b">
        <v>1</v>
      </c>
      <c r="AL528" s="1"/>
      <c r="AM528" s="1"/>
      <c r="AN528" s="1"/>
      <c r="AO528" s="1"/>
      <c r="AP528" s="1"/>
      <c r="AQ528" s="1"/>
      <c r="AR528" s="1"/>
      <c r="AS528" s="1"/>
      <c r="AT528" s="1"/>
      <c r="AU528" s="1"/>
      <c r="AV528" s="1"/>
      <c r="AW528" s="1"/>
      <c r="AX528" s="1"/>
      <c r="AY528" s="1"/>
      <c r="AZ528" s="1"/>
    </row>
    <row r="529" spans="1:52" ht="15" customHeight="1" x14ac:dyDescent="0.35">
      <c r="A529" s="1" t="s">
        <v>1854</v>
      </c>
      <c r="B529" s="1" t="s">
        <v>260</v>
      </c>
      <c r="C529" s="1" t="s">
        <v>640</v>
      </c>
      <c r="D529" s="1"/>
      <c r="E529" s="1" t="s">
        <v>614</v>
      </c>
      <c r="F529" s="9" t="s">
        <v>1855</v>
      </c>
      <c r="G529" s="1" t="s">
        <v>38</v>
      </c>
      <c r="H5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29" s="11">
        <f>0</f>
        <v>0</v>
      </c>
      <c r="J529" s="1">
        <f>0</f>
        <v>0</v>
      </c>
      <c r="K529" s="1"/>
      <c r="L529" s="1">
        <v>0</v>
      </c>
      <c r="M529" s="1">
        <f>0</f>
        <v>0</v>
      </c>
      <c r="N529" s="1">
        <f>0</f>
        <v>0</v>
      </c>
      <c r="O529" s="1">
        <f>0</f>
        <v>0</v>
      </c>
      <c r="P529" s="1"/>
      <c r="Q529" s="1">
        <v>0</v>
      </c>
      <c r="R529" s="1">
        <v>0</v>
      </c>
      <c r="S529" s="1">
        <f>0</f>
        <v>0</v>
      </c>
      <c r="T529" s="1">
        <f>0</f>
        <v>0</v>
      </c>
      <c r="U529" s="1"/>
      <c r="V529" s="1">
        <v>0</v>
      </c>
      <c r="W529" s="1">
        <v>0</v>
      </c>
      <c r="X529" s="1">
        <f>0</f>
        <v>0</v>
      </c>
      <c r="Y529" s="1">
        <f>0</f>
        <v>0</v>
      </c>
      <c r="Z529" s="1">
        <f>0</f>
        <v>0</v>
      </c>
      <c r="AA529" s="1"/>
      <c r="AB529" s="5"/>
      <c r="AC529" s="5"/>
      <c r="AD529" s="1">
        <f>0</f>
        <v>0</v>
      </c>
      <c r="AE529" s="1">
        <f>0</f>
        <v>0</v>
      </c>
      <c r="AF529" s="1">
        <f>0</f>
        <v>0</v>
      </c>
      <c r="AG529" s="1">
        <f>0</f>
        <v>0</v>
      </c>
      <c r="AH529" s="1">
        <f>0</f>
        <v>0</v>
      </c>
      <c r="AI529" s="1">
        <f>0</f>
        <v>0</v>
      </c>
      <c r="AJ529" s="1"/>
      <c r="AK529" s="1" t="b">
        <v>1</v>
      </c>
      <c r="AL529" s="1"/>
      <c r="AM529" s="1"/>
      <c r="AN529" s="1"/>
      <c r="AO529" s="1"/>
      <c r="AP529" s="1"/>
      <c r="AQ529" s="1"/>
      <c r="AR529" s="1"/>
      <c r="AS529" s="1"/>
      <c r="AT529" s="1"/>
      <c r="AU529" s="1"/>
      <c r="AV529" s="1"/>
      <c r="AW529" s="1"/>
      <c r="AX529" s="1"/>
      <c r="AY529" s="1"/>
      <c r="AZ529" s="1"/>
    </row>
    <row r="530" spans="1:52" ht="15" customHeight="1" x14ac:dyDescent="0.35">
      <c r="A530" s="1" t="s">
        <v>1856</v>
      </c>
      <c r="B530" s="1" t="s">
        <v>261</v>
      </c>
      <c r="C530" s="1" t="s">
        <v>640</v>
      </c>
      <c r="D530" s="1"/>
      <c r="E530" s="1" t="s">
        <v>614</v>
      </c>
      <c r="F530" s="9" t="s">
        <v>1857</v>
      </c>
      <c r="G530" s="1" t="s">
        <v>38</v>
      </c>
      <c r="H5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0" s="11">
        <f>0</f>
        <v>0</v>
      </c>
      <c r="J530" s="1">
        <f>0</f>
        <v>0</v>
      </c>
      <c r="K530" s="1"/>
      <c r="L530" s="1">
        <v>0</v>
      </c>
      <c r="M530" s="1">
        <f>0</f>
        <v>0</v>
      </c>
      <c r="N530" s="1">
        <f>0</f>
        <v>0</v>
      </c>
      <c r="O530" s="1">
        <f>0</f>
        <v>0</v>
      </c>
      <c r="P530" s="1"/>
      <c r="Q530" s="1">
        <v>0</v>
      </c>
      <c r="R530" s="1">
        <v>0</v>
      </c>
      <c r="S530" s="1">
        <f>0</f>
        <v>0</v>
      </c>
      <c r="T530" s="1">
        <f>0</f>
        <v>0</v>
      </c>
      <c r="U530" s="1"/>
      <c r="V530" s="1">
        <v>0</v>
      </c>
      <c r="W530" s="1">
        <v>0</v>
      </c>
      <c r="X530" s="1">
        <f>0</f>
        <v>0</v>
      </c>
      <c r="Y530" s="1">
        <f>0</f>
        <v>0</v>
      </c>
      <c r="Z530" s="1">
        <f>0</f>
        <v>0</v>
      </c>
      <c r="AA530" s="1"/>
      <c r="AB530" s="5"/>
      <c r="AC530" s="5"/>
      <c r="AD530" s="1">
        <f>0</f>
        <v>0</v>
      </c>
      <c r="AE530" s="1">
        <f>0</f>
        <v>0</v>
      </c>
      <c r="AF530" s="1">
        <f>0</f>
        <v>0</v>
      </c>
      <c r="AG530" s="1">
        <f>0</f>
        <v>0</v>
      </c>
      <c r="AH530" s="1">
        <f>0</f>
        <v>0</v>
      </c>
      <c r="AI530" s="1">
        <f>0</f>
        <v>0</v>
      </c>
      <c r="AJ530" s="1"/>
      <c r="AK530" s="1" t="b">
        <v>1</v>
      </c>
      <c r="AL530" s="1"/>
      <c r="AM530" s="1"/>
      <c r="AN530" s="1"/>
      <c r="AO530" s="1"/>
      <c r="AP530" s="1"/>
      <c r="AQ530" s="1"/>
      <c r="AR530" s="1"/>
      <c r="AS530" s="1"/>
      <c r="AT530" s="1"/>
      <c r="AU530" s="1"/>
      <c r="AV530" s="1"/>
      <c r="AW530" s="1"/>
      <c r="AX530" s="1"/>
      <c r="AY530" s="1"/>
      <c r="AZ530" s="1"/>
    </row>
    <row r="531" spans="1:52" ht="15" customHeight="1" x14ac:dyDescent="0.35">
      <c r="A531" s="1" t="s">
        <v>1858</v>
      </c>
      <c r="B531" s="1" t="s">
        <v>262</v>
      </c>
      <c r="C531" s="1" t="s">
        <v>640</v>
      </c>
      <c r="D531" s="1"/>
      <c r="E531" s="1" t="s">
        <v>614</v>
      </c>
      <c r="F531" s="9" t="s">
        <v>1859</v>
      </c>
      <c r="G531" s="1" t="s">
        <v>38</v>
      </c>
      <c r="H5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1" s="11">
        <f>0</f>
        <v>0</v>
      </c>
      <c r="J531" s="1">
        <f>0</f>
        <v>0</v>
      </c>
      <c r="K531" s="1"/>
      <c r="L531" s="1">
        <v>0</v>
      </c>
      <c r="M531" s="1">
        <f>0</f>
        <v>0</v>
      </c>
      <c r="N531" s="1">
        <f>0</f>
        <v>0</v>
      </c>
      <c r="O531" s="1">
        <f>0</f>
        <v>0</v>
      </c>
      <c r="P531" s="1"/>
      <c r="Q531" s="1">
        <v>0</v>
      </c>
      <c r="R531" s="1">
        <v>0</v>
      </c>
      <c r="S531" s="1">
        <f>0</f>
        <v>0</v>
      </c>
      <c r="T531" s="1">
        <f>0</f>
        <v>0</v>
      </c>
      <c r="U531" s="1"/>
      <c r="V531" s="1">
        <v>0</v>
      </c>
      <c r="W531" s="1">
        <v>0</v>
      </c>
      <c r="X531" s="1">
        <f>0</f>
        <v>0</v>
      </c>
      <c r="Y531" s="1">
        <f>0</f>
        <v>0</v>
      </c>
      <c r="Z531" s="1">
        <f>0</f>
        <v>0</v>
      </c>
      <c r="AA531" s="1"/>
      <c r="AB531" s="5"/>
      <c r="AC531" s="5"/>
      <c r="AD531" s="1">
        <f>0</f>
        <v>0</v>
      </c>
      <c r="AE531" s="1">
        <f>0</f>
        <v>0</v>
      </c>
      <c r="AF531" s="1">
        <f>0</f>
        <v>0</v>
      </c>
      <c r="AG531" s="1">
        <f>0</f>
        <v>0</v>
      </c>
      <c r="AH531" s="1">
        <f>0</f>
        <v>0</v>
      </c>
      <c r="AI531" s="1">
        <f>0</f>
        <v>0</v>
      </c>
      <c r="AJ531" s="1"/>
      <c r="AK531" s="1" t="b">
        <v>1</v>
      </c>
      <c r="AL531" s="1"/>
      <c r="AM531" s="1"/>
      <c r="AN531" s="1"/>
      <c r="AO531" s="1"/>
      <c r="AP531" s="1"/>
      <c r="AQ531" s="1"/>
      <c r="AR531" s="1"/>
      <c r="AS531" s="1"/>
      <c r="AT531" s="1"/>
      <c r="AU531" s="1"/>
      <c r="AV531" s="1"/>
      <c r="AW531" s="1"/>
      <c r="AX531" s="1"/>
      <c r="AY531" s="1"/>
      <c r="AZ531" s="1"/>
    </row>
    <row r="532" spans="1:52" ht="15" customHeight="1" x14ac:dyDescent="0.35">
      <c r="A532" s="1" t="s">
        <v>1860</v>
      </c>
      <c r="B532" s="1" t="s">
        <v>263</v>
      </c>
      <c r="C532" s="1" t="s">
        <v>640</v>
      </c>
      <c r="D532" s="1"/>
      <c r="E532" s="1" t="s">
        <v>614</v>
      </c>
      <c r="F532" s="9" t="s">
        <v>1861</v>
      </c>
      <c r="G532" s="1" t="s">
        <v>38</v>
      </c>
      <c r="H5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2" s="11">
        <f>0</f>
        <v>0</v>
      </c>
      <c r="J532" s="1">
        <f>0</f>
        <v>0</v>
      </c>
      <c r="K532" s="1"/>
      <c r="L532" s="1">
        <v>0</v>
      </c>
      <c r="M532" s="1">
        <f>0</f>
        <v>0</v>
      </c>
      <c r="N532" s="1">
        <f>0</f>
        <v>0</v>
      </c>
      <c r="O532" s="1">
        <f>0</f>
        <v>0</v>
      </c>
      <c r="P532" s="1"/>
      <c r="Q532" s="1">
        <v>0</v>
      </c>
      <c r="R532" s="1">
        <v>0</v>
      </c>
      <c r="S532" s="1">
        <f>0</f>
        <v>0</v>
      </c>
      <c r="T532" s="1">
        <f>0</f>
        <v>0</v>
      </c>
      <c r="U532" s="1"/>
      <c r="V532" s="1">
        <v>0</v>
      </c>
      <c r="W532" s="1">
        <v>0</v>
      </c>
      <c r="X532" s="1">
        <f>0</f>
        <v>0</v>
      </c>
      <c r="Y532" s="1">
        <f>0</f>
        <v>0</v>
      </c>
      <c r="Z532" s="1">
        <f>0</f>
        <v>0</v>
      </c>
      <c r="AA532" s="1"/>
      <c r="AB532" s="5"/>
      <c r="AC532" s="5"/>
      <c r="AD532" s="1">
        <f>0</f>
        <v>0</v>
      </c>
      <c r="AE532" s="1">
        <f>0</f>
        <v>0</v>
      </c>
      <c r="AF532" s="1">
        <f>0</f>
        <v>0</v>
      </c>
      <c r="AG532" s="1">
        <f>0</f>
        <v>0</v>
      </c>
      <c r="AH532" s="1">
        <f>0</f>
        <v>0</v>
      </c>
      <c r="AI532" s="1">
        <f>0</f>
        <v>0</v>
      </c>
      <c r="AJ532" s="1"/>
      <c r="AK532" s="1" t="b">
        <v>1</v>
      </c>
      <c r="AL532" s="1"/>
      <c r="AM532" s="1"/>
      <c r="AN532" s="1"/>
      <c r="AO532" s="1"/>
      <c r="AP532" s="1"/>
      <c r="AQ532" s="1"/>
      <c r="AR532" s="1"/>
      <c r="AS532" s="1"/>
      <c r="AT532" s="1"/>
      <c r="AU532" s="1"/>
      <c r="AV532" s="1"/>
      <c r="AW532" s="1"/>
      <c r="AX532" s="1"/>
      <c r="AY532" s="1"/>
      <c r="AZ532" s="1"/>
    </row>
    <row r="533" spans="1:52" ht="15" customHeight="1" x14ac:dyDescent="0.35">
      <c r="A533" s="1" t="s">
        <v>1862</v>
      </c>
      <c r="B533" s="1" t="s">
        <v>264</v>
      </c>
      <c r="C533" s="1" t="s">
        <v>640</v>
      </c>
      <c r="D533" s="1"/>
      <c r="E533" s="1" t="s">
        <v>614</v>
      </c>
      <c r="F533" s="9" t="s">
        <v>1863</v>
      </c>
      <c r="G533" s="1" t="s">
        <v>38</v>
      </c>
      <c r="H5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3" s="11">
        <f>0</f>
        <v>0</v>
      </c>
      <c r="J533" s="1">
        <f>0</f>
        <v>0</v>
      </c>
      <c r="K533" s="1"/>
      <c r="L533" s="1">
        <v>0</v>
      </c>
      <c r="M533" s="1">
        <f>0</f>
        <v>0</v>
      </c>
      <c r="N533" s="1">
        <f>0</f>
        <v>0</v>
      </c>
      <c r="O533" s="1">
        <f>0</f>
        <v>0</v>
      </c>
      <c r="P533" s="1"/>
      <c r="Q533" s="1">
        <v>0</v>
      </c>
      <c r="R533" s="1">
        <v>0</v>
      </c>
      <c r="S533" s="1">
        <f>0</f>
        <v>0</v>
      </c>
      <c r="T533" s="1">
        <f>0</f>
        <v>0</v>
      </c>
      <c r="U533" s="1"/>
      <c r="V533" s="1">
        <v>0</v>
      </c>
      <c r="W533" s="1">
        <v>0</v>
      </c>
      <c r="X533" s="1">
        <f>0</f>
        <v>0</v>
      </c>
      <c r="Y533" s="1">
        <f>0</f>
        <v>0</v>
      </c>
      <c r="Z533" s="1">
        <f>0</f>
        <v>0</v>
      </c>
      <c r="AA533" s="1"/>
      <c r="AB533" s="5"/>
      <c r="AC533" s="5"/>
      <c r="AD533" s="1">
        <f>0</f>
        <v>0</v>
      </c>
      <c r="AE533" s="1">
        <f>0</f>
        <v>0</v>
      </c>
      <c r="AF533" s="1">
        <f>0</f>
        <v>0</v>
      </c>
      <c r="AG533" s="1">
        <f>0</f>
        <v>0</v>
      </c>
      <c r="AH533" s="1">
        <f>0</f>
        <v>0</v>
      </c>
      <c r="AI533" s="1">
        <f>0</f>
        <v>0</v>
      </c>
      <c r="AJ533" s="1"/>
      <c r="AK533" s="1" t="b">
        <v>1</v>
      </c>
      <c r="AL533" s="1"/>
      <c r="AM533" s="1"/>
      <c r="AN533" s="1"/>
      <c r="AO533" s="1"/>
      <c r="AP533" s="1"/>
      <c r="AQ533" s="1"/>
      <c r="AR533" s="1"/>
      <c r="AS533" s="1"/>
      <c r="AT533" s="1"/>
      <c r="AU533" s="1"/>
      <c r="AV533" s="1"/>
      <c r="AW533" s="1"/>
      <c r="AX533" s="1"/>
      <c r="AY533" s="1"/>
      <c r="AZ533" s="1"/>
    </row>
    <row r="534" spans="1:52" ht="15" customHeight="1" x14ac:dyDescent="0.35">
      <c r="A534" s="1" t="s">
        <v>1864</v>
      </c>
      <c r="B534" s="1" t="s">
        <v>265</v>
      </c>
      <c r="C534" s="1" t="s">
        <v>640</v>
      </c>
      <c r="D534" s="1"/>
      <c r="E534" s="1" t="s">
        <v>614</v>
      </c>
      <c r="F534" s="9" t="s">
        <v>1865</v>
      </c>
      <c r="G534" s="1" t="s">
        <v>38</v>
      </c>
      <c r="H5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4" s="11">
        <f>0</f>
        <v>0</v>
      </c>
      <c r="J534" s="1">
        <f>0</f>
        <v>0</v>
      </c>
      <c r="K534" s="1"/>
      <c r="L534" s="1">
        <v>0</v>
      </c>
      <c r="M534" s="1">
        <f>0</f>
        <v>0</v>
      </c>
      <c r="N534" s="1">
        <f>0</f>
        <v>0</v>
      </c>
      <c r="O534" s="1">
        <f>0</f>
        <v>0</v>
      </c>
      <c r="P534" s="1"/>
      <c r="Q534" s="1">
        <v>0</v>
      </c>
      <c r="R534" s="1">
        <v>0</v>
      </c>
      <c r="S534" s="1">
        <f>0</f>
        <v>0</v>
      </c>
      <c r="T534" s="1">
        <f>0</f>
        <v>0</v>
      </c>
      <c r="U534" s="1"/>
      <c r="V534" s="1">
        <v>0</v>
      </c>
      <c r="W534" s="1">
        <v>0</v>
      </c>
      <c r="X534" s="1">
        <f>0</f>
        <v>0</v>
      </c>
      <c r="Y534" s="1">
        <f>0</f>
        <v>0</v>
      </c>
      <c r="Z534" s="1">
        <f>0</f>
        <v>0</v>
      </c>
      <c r="AA534" s="1"/>
      <c r="AB534" s="5"/>
      <c r="AC534" s="5"/>
      <c r="AD534" s="1">
        <f>0</f>
        <v>0</v>
      </c>
      <c r="AE534" s="1">
        <f>0</f>
        <v>0</v>
      </c>
      <c r="AF534" s="1">
        <f>0</f>
        <v>0</v>
      </c>
      <c r="AG534" s="1">
        <f>0</f>
        <v>0</v>
      </c>
      <c r="AH534" s="1">
        <f>0</f>
        <v>0</v>
      </c>
      <c r="AI534" s="1">
        <f>0</f>
        <v>0</v>
      </c>
      <c r="AJ534" s="1"/>
      <c r="AK534" s="1" t="b">
        <v>1</v>
      </c>
      <c r="AL534" s="1"/>
      <c r="AM534" s="1"/>
      <c r="AN534" s="1"/>
      <c r="AO534" s="1"/>
      <c r="AP534" s="1"/>
      <c r="AQ534" s="1"/>
      <c r="AR534" s="1"/>
      <c r="AS534" s="1"/>
      <c r="AT534" s="1"/>
      <c r="AU534" s="1"/>
      <c r="AV534" s="1"/>
      <c r="AW534" s="1"/>
      <c r="AX534" s="1"/>
      <c r="AY534" s="1"/>
      <c r="AZ534" s="1"/>
    </row>
    <row r="535" spans="1:52" ht="15" customHeight="1" x14ac:dyDescent="0.35">
      <c r="A535" s="1" t="s">
        <v>1866</v>
      </c>
      <c r="B535" s="1" t="s">
        <v>266</v>
      </c>
      <c r="C535" s="1" t="s">
        <v>640</v>
      </c>
      <c r="D535" s="1"/>
      <c r="E535" s="1" t="s">
        <v>614</v>
      </c>
      <c r="F535" s="9" t="s">
        <v>1867</v>
      </c>
      <c r="G535" s="1" t="s">
        <v>38</v>
      </c>
      <c r="H5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5" s="11">
        <f>0</f>
        <v>0</v>
      </c>
      <c r="J535" s="1">
        <f>0</f>
        <v>0</v>
      </c>
      <c r="K535" s="1"/>
      <c r="L535" s="1">
        <v>0</v>
      </c>
      <c r="M535" s="1">
        <f>0</f>
        <v>0</v>
      </c>
      <c r="N535" s="1">
        <f>0</f>
        <v>0</v>
      </c>
      <c r="O535" s="1">
        <f>0</f>
        <v>0</v>
      </c>
      <c r="P535" s="1"/>
      <c r="Q535" s="1">
        <v>0</v>
      </c>
      <c r="R535" s="1">
        <v>0</v>
      </c>
      <c r="S535" s="1">
        <f>0</f>
        <v>0</v>
      </c>
      <c r="T535" s="1">
        <f>0</f>
        <v>0</v>
      </c>
      <c r="U535" s="1"/>
      <c r="V535" s="1">
        <v>0</v>
      </c>
      <c r="W535" s="1">
        <v>0</v>
      </c>
      <c r="X535" s="1">
        <f>0</f>
        <v>0</v>
      </c>
      <c r="Y535" s="1">
        <f>0</f>
        <v>0</v>
      </c>
      <c r="Z535" s="1">
        <f>0</f>
        <v>0</v>
      </c>
      <c r="AA535" s="1"/>
      <c r="AB535" s="5"/>
      <c r="AC535" s="5"/>
      <c r="AD535" s="1">
        <f>0</f>
        <v>0</v>
      </c>
      <c r="AE535" s="1">
        <f>0</f>
        <v>0</v>
      </c>
      <c r="AF535" s="1">
        <f>0</f>
        <v>0</v>
      </c>
      <c r="AG535" s="1">
        <f>0</f>
        <v>0</v>
      </c>
      <c r="AH535" s="1">
        <f>0</f>
        <v>0</v>
      </c>
      <c r="AI535" s="1">
        <f>0</f>
        <v>0</v>
      </c>
      <c r="AJ535" s="1"/>
      <c r="AK535" s="1" t="b">
        <v>1</v>
      </c>
      <c r="AL535" s="1"/>
      <c r="AM535" s="1"/>
      <c r="AN535" s="1"/>
      <c r="AO535" s="1"/>
      <c r="AP535" s="1"/>
      <c r="AQ535" s="1"/>
      <c r="AR535" s="1"/>
      <c r="AS535" s="1"/>
      <c r="AT535" s="1"/>
      <c r="AU535" s="1"/>
      <c r="AV535" s="1"/>
      <c r="AW535" s="1"/>
      <c r="AX535" s="1"/>
      <c r="AY535" s="1"/>
      <c r="AZ535" s="1"/>
    </row>
    <row r="536" spans="1:52" ht="15" customHeight="1" x14ac:dyDescent="0.35">
      <c r="A536" s="1" t="s">
        <v>1868</v>
      </c>
      <c r="B536" s="1" t="s">
        <v>267</v>
      </c>
      <c r="C536" s="1" t="s">
        <v>640</v>
      </c>
      <c r="D536" s="1"/>
      <c r="E536" s="1" t="s">
        <v>614</v>
      </c>
      <c r="F536" s="9" t="s">
        <v>1869</v>
      </c>
      <c r="G536" s="1" t="s">
        <v>38</v>
      </c>
      <c r="H5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6" s="11">
        <f>0</f>
        <v>0</v>
      </c>
      <c r="J536" s="1">
        <f>0</f>
        <v>0</v>
      </c>
      <c r="K536" s="1"/>
      <c r="L536" s="1">
        <v>0</v>
      </c>
      <c r="M536" s="1">
        <f>0</f>
        <v>0</v>
      </c>
      <c r="N536" s="1">
        <f>0</f>
        <v>0</v>
      </c>
      <c r="O536" s="1">
        <f>0</f>
        <v>0</v>
      </c>
      <c r="P536" s="1"/>
      <c r="Q536" s="1">
        <v>0</v>
      </c>
      <c r="R536" s="1">
        <v>0</v>
      </c>
      <c r="S536" s="1">
        <f>0</f>
        <v>0</v>
      </c>
      <c r="T536" s="1">
        <f>0</f>
        <v>0</v>
      </c>
      <c r="U536" s="1"/>
      <c r="V536" s="1">
        <v>0</v>
      </c>
      <c r="W536" s="1">
        <v>0</v>
      </c>
      <c r="X536" s="1">
        <f>0</f>
        <v>0</v>
      </c>
      <c r="Y536" s="1">
        <f>0</f>
        <v>0</v>
      </c>
      <c r="Z536" s="1">
        <f>0</f>
        <v>0</v>
      </c>
      <c r="AA536" s="1"/>
      <c r="AB536" s="5"/>
      <c r="AC536" s="5"/>
      <c r="AD536" s="1">
        <f>0</f>
        <v>0</v>
      </c>
      <c r="AE536" s="1">
        <f>0</f>
        <v>0</v>
      </c>
      <c r="AF536" s="1">
        <f>0</f>
        <v>0</v>
      </c>
      <c r="AG536" s="1">
        <f>0</f>
        <v>0</v>
      </c>
      <c r="AH536" s="1">
        <f>0</f>
        <v>0</v>
      </c>
      <c r="AI536" s="1">
        <f>0</f>
        <v>0</v>
      </c>
      <c r="AJ536" s="1"/>
      <c r="AK536" s="1" t="b">
        <v>1</v>
      </c>
      <c r="AL536" s="1"/>
      <c r="AM536" s="1"/>
      <c r="AN536" s="1"/>
      <c r="AO536" s="1"/>
      <c r="AP536" s="1"/>
      <c r="AQ536" s="1"/>
      <c r="AR536" s="1"/>
      <c r="AS536" s="1"/>
      <c r="AT536" s="1"/>
      <c r="AU536" s="1"/>
      <c r="AV536" s="1"/>
      <c r="AW536" s="1"/>
      <c r="AX536" s="1"/>
      <c r="AY536" s="1"/>
      <c r="AZ536" s="1"/>
    </row>
    <row r="537" spans="1:52" ht="15" customHeight="1" x14ac:dyDescent="0.35">
      <c r="A537" s="1" t="s">
        <v>1870</v>
      </c>
      <c r="B537" s="1" t="s">
        <v>268</v>
      </c>
      <c r="C537" s="1" t="s">
        <v>640</v>
      </c>
      <c r="D537" s="1"/>
      <c r="E537" s="1" t="s">
        <v>614</v>
      </c>
      <c r="F537" s="9" t="s">
        <v>1871</v>
      </c>
      <c r="G537" s="1" t="s">
        <v>38</v>
      </c>
      <c r="H5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7" s="11">
        <f>0</f>
        <v>0</v>
      </c>
      <c r="J537" s="1">
        <f>0</f>
        <v>0</v>
      </c>
      <c r="K537" s="1"/>
      <c r="L537" s="1">
        <v>0</v>
      </c>
      <c r="M537" s="1">
        <f>0</f>
        <v>0</v>
      </c>
      <c r="N537" s="1">
        <f>0</f>
        <v>0</v>
      </c>
      <c r="O537" s="1">
        <f>0</f>
        <v>0</v>
      </c>
      <c r="P537" s="1"/>
      <c r="Q537" s="1">
        <v>0</v>
      </c>
      <c r="R537" s="1">
        <v>0</v>
      </c>
      <c r="S537" s="1">
        <f>0</f>
        <v>0</v>
      </c>
      <c r="T537" s="1">
        <f>0</f>
        <v>0</v>
      </c>
      <c r="U537" s="1"/>
      <c r="V537" s="1">
        <v>0</v>
      </c>
      <c r="W537" s="1">
        <v>0</v>
      </c>
      <c r="X537" s="1">
        <f>0</f>
        <v>0</v>
      </c>
      <c r="Y537" s="1">
        <f>0</f>
        <v>0</v>
      </c>
      <c r="Z537" s="1">
        <f>0</f>
        <v>0</v>
      </c>
      <c r="AA537" s="1"/>
      <c r="AB537" s="5"/>
      <c r="AC537" s="5"/>
      <c r="AD537" s="1">
        <f>0</f>
        <v>0</v>
      </c>
      <c r="AE537" s="1">
        <f>0</f>
        <v>0</v>
      </c>
      <c r="AF537" s="1">
        <f>0</f>
        <v>0</v>
      </c>
      <c r="AG537" s="1">
        <f>0</f>
        <v>0</v>
      </c>
      <c r="AH537" s="1">
        <f>0</f>
        <v>0</v>
      </c>
      <c r="AI537" s="1">
        <f>0</f>
        <v>0</v>
      </c>
      <c r="AJ537" s="1"/>
      <c r="AK537" s="1" t="b">
        <v>1</v>
      </c>
      <c r="AL537" s="1"/>
      <c r="AM537" s="1"/>
      <c r="AN537" s="1"/>
      <c r="AO537" s="1"/>
      <c r="AP537" s="1"/>
      <c r="AQ537" s="1"/>
      <c r="AR537" s="1"/>
      <c r="AS537" s="1"/>
      <c r="AT537" s="1"/>
      <c r="AU537" s="1"/>
      <c r="AV537" s="1"/>
      <c r="AW537" s="1"/>
      <c r="AX537" s="1"/>
      <c r="AY537" s="1"/>
      <c r="AZ537" s="1"/>
    </row>
    <row r="538" spans="1:52" ht="15" customHeight="1" x14ac:dyDescent="0.35">
      <c r="A538" s="1" t="s">
        <v>1872</v>
      </c>
      <c r="B538" s="1" t="s">
        <v>269</v>
      </c>
      <c r="C538" s="1" t="s">
        <v>640</v>
      </c>
      <c r="D538" s="1"/>
      <c r="E538" s="1" t="s">
        <v>614</v>
      </c>
      <c r="F538" s="9" t="s">
        <v>1873</v>
      </c>
      <c r="G538" s="1" t="s">
        <v>38</v>
      </c>
      <c r="H5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8" s="11">
        <f>0</f>
        <v>0</v>
      </c>
      <c r="J538" s="1">
        <f>0</f>
        <v>0</v>
      </c>
      <c r="K538" s="1"/>
      <c r="L538" s="1">
        <v>0</v>
      </c>
      <c r="M538" s="1">
        <f>0</f>
        <v>0</v>
      </c>
      <c r="N538" s="1">
        <f>0</f>
        <v>0</v>
      </c>
      <c r="O538" s="1">
        <f>0</f>
        <v>0</v>
      </c>
      <c r="P538" s="1"/>
      <c r="Q538" s="1">
        <v>0</v>
      </c>
      <c r="R538" s="1">
        <v>0</v>
      </c>
      <c r="S538" s="1">
        <f>0</f>
        <v>0</v>
      </c>
      <c r="T538" s="1">
        <f>0</f>
        <v>0</v>
      </c>
      <c r="U538" s="1"/>
      <c r="V538" s="1">
        <v>0</v>
      </c>
      <c r="W538" s="1">
        <v>0</v>
      </c>
      <c r="X538" s="1">
        <f>0</f>
        <v>0</v>
      </c>
      <c r="Y538" s="1">
        <f>0</f>
        <v>0</v>
      </c>
      <c r="Z538" s="1">
        <f>0</f>
        <v>0</v>
      </c>
      <c r="AA538" s="1"/>
      <c r="AB538" s="5"/>
      <c r="AC538" s="5"/>
      <c r="AD538" s="1">
        <f>0</f>
        <v>0</v>
      </c>
      <c r="AE538" s="1">
        <f>0</f>
        <v>0</v>
      </c>
      <c r="AF538" s="1">
        <f>0</f>
        <v>0</v>
      </c>
      <c r="AG538" s="1">
        <f>0</f>
        <v>0</v>
      </c>
      <c r="AH538" s="1">
        <f>0</f>
        <v>0</v>
      </c>
      <c r="AI538" s="1">
        <f>0</f>
        <v>0</v>
      </c>
      <c r="AJ538" s="1"/>
      <c r="AK538" s="1" t="b">
        <v>1</v>
      </c>
      <c r="AL538" s="1"/>
      <c r="AM538" s="1"/>
      <c r="AN538" s="1"/>
      <c r="AO538" s="1"/>
      <c r="AP538" s="1"/>
      <c r="AQ538" s="1"/>
      <c r="AR538" s="1"/>
      <c r="AS538" s="1"/>
      <c r="AT538" s="1"/>
      <c r="AU538" s="1"/>
      <c r="AV538" s="1"/>
      <c r="AW538" s="1"/>
      <c r="AX538" s="1"/>
      <c r="AY538" s="1"/>
      <c r="AZ538" s="1"/>
    </row>
    <row r="539" spans="1:52" ht="15" customHeight="1" x14ac:dyDescent="0.35">
      <c r="A539" s="1" t="s">
        <v>1874</v>
      </c>
      <c r="B539" s="1" t="s">
        <v>270</v>
      </c>
      <c r="C539" s="1" t="s">
        <v>640</v>
      </c>
      <c r="D539" s="1"/>
      <c r="E539" s="1" t="s">
        <v>614</v>
      </c>
      <c r="F539" s="9" t="s">
        <v>1875</v>
      </c>
      <c r="G539" s="1" t="s">
        <v>38</v>
      </c>
      <c r="H5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39" s="11">
        <f>0</f>
        <v>0</v>
      </c>
      <c r="J539" s="1">
        <f>0</f>
        <v>0</v>
      </c>
      <c r="K539" s="1"/>
      <c r="L539" s="1">
        <v>0</v>
      </c>
      <c r="M539" s="1">
        <f>0</f>
        <v>0</v>
      </c>
      <c r="N539" s="1">
        <f>0</f>
        <v>0</v>
      </c>
      <c r="O539" s="1">
        <f>0</f>
        <v>0</v>
      </c>
      <c r="P539" s="1"/>
      <c r="Q539" s="1">
        <v>0</v>
      </c>
      <c r="R539" s="1">
        <v>0</v>
      </c>
      <c r="S539" s="1">
        <f>0</f>
        <v>0</v>
      </c>
      <c r="T539" s="1">
        <f>0</f>
        <v>0</v>
      </c>
      <c r="U539" s="1"/>
      <c r="V539" s="1">
        <v>0</v>
      </c>
      <c r="W539" s="1">
        <v>0</v>
      </c>
      <c r="X539" s="1">
        <f>0</f>
        <v>0</v>
      </c>
      <c r="Y539" s="1">
        <f>0</f>
        <v>0</v>
      </c>
      <c r="Z539" s="1">
        <f>0</f>
        <v>0</v>
      </c>
      <c r="AA539" s="1"/>
      <c r="AB539" s="5"/>
      <c r="AC539" s="5"/>
      <c r="AD539" s="1">
        <f>0</f>
        <v>0</v>
      </c>
      <c r="AE539" s="1">
        <f>0</f>
        <v>0</v>
      </c>
      <c r="AF539" s="1">
        <f>0</f>
        <v>0</v>
      </c>
      <c r="AG539" s="1">
        <f>0</f>
        <v>0</v>
      </c>
      <c r="AH539" s="1">
        <f>0</f>
        <v>0</v>
      </c>
      <c r="AI539" s="1">
        <f>0</f>
        <v>0</v>
      </c>
      <c r="AJ539" s="1"/>
      <c r="AK539" s="1" t="b">
        <v>1</v>
      </c>
      <c r="AL539" s="1"/>
      <c r="AM539" s="1"/>
      <c r="AN539" s="1"/>
      <c r="AO539" s="1"/>
      <c r="AP539" s="1"/>
      <c r="AQ539" s="1"/>
      <c r="AR539" s="1"/>
      <c r="AS539" s="1"/>
      <c r="AT539" s="1"/>
      <c r="AU539" s="1"/>
      <c r="AV539" s="1"/>
      <c r="AW539" s="1"/>
      <c r="AX539" s="1"/>
      <c r="AY539" s="1"/>
      <c r="AZ539" s="1"/>
    </row>
    <row r="540" spans="1:52" ht="15" customHeight="1" x14ac:dyDescent="0.35">
      <c r="A540" s="1" t="s">
        <v>1876</v>
      </c>
      <c r="B540" s="1" t="s">
        <v>271</v>
      </c>
      <c r="C540" s="1" t="s">
        <v>640</v>
      </c>
      <c r="D540" s="1"/>
      <c r="E540" s="1" t="s">
        <v>614</v>
      </c>
      <c r="F540" s="9" t="s">
        <v>1877</v>
      </c>
      <c r="G540" s="1" t="s">
        <v>38</v>
      </c>
      <c r="H5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0" s="11">
        <f>0</f>
        <v>0</v>
      </c>
      <c r="J540" s="1">
        <f>0</f>
        <v>0</v>
      </c>
      <c r="K540" s="1"/>
      <c r="L540" s="1">
        <v>0</v>
      </c>
      <c r="M540" s="1">
        <f>0</f>
        <v>0</v>
      </c>
      <c r="N540" s="1">
        <f>0</f>
        <v>0</v>
      </c>
      <c r="O540" s="1">
        <f>0</f>
        <v>0</v>
      </c>
      <c r="P540" s="1"/>
      <c r="Q540" s="1">
        <v>0</v>
      </c>
      <c r="R540" s="1">
        <v>0</v>
      </c>
      <c r="S540" s="1">
        <f>0</f>
        <v>0</v>
      </c>
      <c r="T540" s="1">
        <f>0</f>
        <v>0</v>
      </c>
      <c r="U540" s="1"/>
      <c r="V540" s="1">
        <v>0</v>
      </c>
      <c r="W540" s="1">
        <v>0</v>
      </c>
      <c r="X540" s="1">
        <f>0</f>
        <v>0</v>
      </c>
      <c r="Y540" s="1">
        <f>0</f>
        <v>0</v>
      </c>
      <c r="Z540" s="1">
        <f>0</f>
        <v>0</v>
      </c>
      <c r="AA540" s="1"/>
      <c r="AB540" s="5"/>
      <c r="AC540" s="5"/>
      <c r="AD540" s="1">
        <f>0</f>
        <v>0</v>
      </c>
      <c r="AE540" s="1">
        <f>0</f>
        <v>0</v>
      </c>
      <c r="AF540" s="1">
        <f>0</f>
        <v>0</v>
      </c>
      <c r="AG540" s="1">
        <f>0</f>
        <v>0</v>
      </c>
      <c r="AH540" s="1">
        <f>0</f>
        <v>0</v>
      </c>
      <c r="AI540" s="1">
        <f>0</f>
        <v>0</v>
      </c>
      <c r="AJ540" s="1"/>
      <c r="AK540" s="1" t="b">
        <v>1</v>
      </c>
      <c r="AL540" s="1"/>
      <c r="AM540" s="1"/>
      <c r="AN540" s="1"/>
      <c r="AO540" s="1"/>
      <c r="AP540" s="1"/>
      <c r="AQ540" s="1"/>
      <c r="AR540" s="1"/>
      <c r="AS540" s="1"/>
      <c r="AT540" s="1"/>
      <c r="AU540" s="1"/>
      <c r="AV540" s="1"/>
      <c r="AW540" s="1"/>
      <c r="AX540" s="1"/>
      <c r="AY540" s="1"/>
      <c r="AZ540" s="1"/>
    </row>
    <row r="541" spans="1:52" ht="15" customHeight="1" x14ac:dyDescent="0.35">
      <c r="A541" s="1" t="s">
        <v>1878</v>
      </c>
      <c r="B541" s="1" t="s">
        <v>272</v>
      </c>
      <c r="C541" s="1" t="s">
        <v>640</v>
      </c>
      <c r="D541" s="1"/>
      <c r="E541" s="1" t="s">
        <v>1806</v>
      </c>
      <c r="F541" s="9" t="s">
        <v>1879</v>
      </c>
      <c r="G541" s="1" t="s">
        <v>38</v>
      </c>
      <c r="H5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1" s="11">
        <f>0</f>
        <v>0</v>
      </c>
      <c r="J541" s="1">
        <f>0</f>
        <v>0</v>
      </c>
      <c r="K541" s="1"/>
      <c r="L541" s="1">
        <v>0</v>
      </c>
      <c r="M541" s="1">
        <f>0</f>
        <v>0</v>
      </c>
      <c r="N541" s="1">
        <f>0</f>
        <v>0</v>
      </c>
      <c r="O541" s="1">
        <f>0</f>
        <v>0</v>
      </c>
      <c r="P541" s="1"/>
      <c r="Q541" s="1">
        <v>0</v>
      </c>
      <c r="R541" s="1">
        <v>0</v>
      </c>
      <c r="S541" s="1">
        <f>0</f>
        <v>0</v>
      </c>
      <c r="T541" s="1">
        <f>0</f>
        <v>0</v>
      </c>
      <c r="U541" s="1"/>
      <c r="V541" s="1">
        <v>0</v>
      </c>
      <c r="W541" s="1">
        <v>0</v>
      </c>
      <c r="X541" s="1">
        <f>0</f>
        <v>0</v>
      </c>
      <c r="Y541" s="1">
        <f>0</f>
        <v>0</v>
      </c>
      <c r="Z541" s="1">
        <f>0</f>
        <v>0</v>
      </c>
      <c r="AA541" s="1"/>
      <c r="AB541" s="5"/>
      <c r="AC541" s="5"/>
      <c r="AD541" s="1">
        <f>0</f>
        <v>0</v>
      </c>
      <c r="AE541" s="1">
        <f>0</f>
        <v>0</v>
      </c>
      <c r="AF541" s="1">
        <f>0</f>
        <v>0</v>
      </c>
      <c r="AG541" s="1">
        <f>0</f>
        <v>0</v>
      </c>
      <c r="AH541" s="1">
        <f>0</f>
        <v>0</v>
      </c>
      <c r="AI541" s="1">
        <f>0</f>
        <v>0</v>
      </c>
      <c r="AJ541" s="1"/>
      <c r="AK541" s="1" t="b">
        <v>1</v>
      </c>
      <c r="AL541" s="1"/>
      <c r="AM541" s="1"/>
      <c r="AN541" s="1"/>
      <c r="AO541" s="1"/>
      <c r="AP541" s="1" t="b">
        <v>1</v>
      </c>
      <c r="AQ541" s="1"/>
      <c r="AR541" s="1"/>
      <c r="AS541" s="1"/>
      <c r="AT541" s="1"/>
      <c r="AU541" s="1"/>
      <c r="AV541" s="1"/>
      <c r="AW541" s="1"/>
      <c r="AX541" s="1"/>
      <c r="AY541" s="1"/>
      <c r="AZ541" s="1"/>
    </row>
    <row r="542" spans="1:52" ht="15" customHeight="1" x14ac:dyDescent="0.35">
      <c r="A542" s="1" t="s">
        <v>1880</v>
      </c>
      <c r="B542" s="1" t="s">
        <v>273</v>
      </c>
      <c r="C542" s="1" t="s">
        <v>640</v>
      </c>
      <c r="D542" s="1"/>
      <c r="E542" s="1" t="s">
        <v>614</v>
      </c>
      <c r="F542" s="9" t="s">
        <v>1881</v>
      </c>
      <c r="G542" s="1" t="s">
        <v>38</v>
      </c>
      <c r="H5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2" s="11">
        <f>0</f>
        <v>0</v>
      </c>
      <c r="J542" s="1">
        <f>0</f>
        <v>0</v>
      </c>
      <c r="K542" s="1"/>
      <c r="L542" s="1">
        <v>0</v>
      </c>
      <c r="M542" s="1">
        <f>0</f>
        <v>0</v>
      </c>
      <c r="N542" s="1">
        <f>0</f>
        <v>0</v>
      </c>
      <c r="O542" s="1">
        <f>0</f>
        <v>0</v>
      </c>
      <c r="P542" s="1"/>
      <c r="Q542" s="1">
        <v>0</v>
      </c>
      <c r="R542" s="1">
        <v>0</v>
      </c>
      <c r="S542" s="1">
        <f>0</f>
        <v>0</v>
      </c>
      <c r="T542" s="1">
        <f>0</f>
        <v>0</v>
      </c>
      <c r="U542" s="1"/>
      <c r="V542" s="1">
        <v>0</v>
      </c>
      <c r="W542" s="1">
        <v>0</v>
      </c>
      <c r="X542" s="1">
        <f>0</f>
        <v>0</v>
      </c>
      <c r="Y542" s="1">
        <f>0</f>
        <v>0</v>
      </c>
      <c r="Z542" s="1">
        <f>0</f>
        <v>0</v>
      </c>
      <c r="AA542" s="1"/>
      <c r="AB542" s="5"/>
      <c r="AC542" s="5"/>
      <c r="AD542" s="1">
        <f>0</f>
        <v>0</v>
      </c>
      <c r="AE542" s="1">
        <f>0</f>
        <v>0</v>
      </c>
      <c r="AF542" s="1">
        <f>0</f>
        <v>0</v>
      </c>
      <c r="AG542" s="1">
        <f>0</f>
        <v>0</v>
      </c>
      <c r="AH542" s="1">
        <f>0</f>
        <v>0</v>
      </c>
      <c r="AI542" s="1">
        <f>0</f>
        <v>0</v>
      </c>
      <c r="AJ542" s="1"/>
      <c r="AK542" s="1" t="b">
        <v>1</v>
      </c>
      <c r="AL542" s="1"/>
      <c r="AM542" s="1"/>
      <c r="AN542" s="1"/>
      <c r="AO542" s="1"/>
      <c r="AP542" s="1"/>
      <c r="AQ542" s="1"/>
      <c r="AR542" s="1"/>
      <c r="AS542" s="1"/>
      <c r="AT542" s="1"/>
      <c r="AU542" s="1"/>
      <c r="AV542" s="1"/>
      <c r="AW542" s="1"/>
      <c r="AX542" s="1"/>
      <c r="AY542" s="1"/>
      <c r="AZ542" s="1"/>
    </row>
    <row r="543" spans="1:52" ht="15" customHeight="1" x14ac:dyDescent="0.35">
      <c r="A543" s="1" t="s">
        <v>1882</v>
      </c>
      <c r="B543" s="1" t="s">
        <v>274</v>
      </c>
      <c r="C543" s="1" t="s">
        <v>640</v>
      </c>
      <c r="D543" s="1"/>
      <c r="E543" s="1" t="s">
        <v>614</v>
      </c>
      <c r="F543" s="9" t="s">
        <v>1883</v>
      </c>
      <c r="G543" s="1" t="s">
        <v>38</v>
      </c>
      <c r="H5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3" s="11">
        <f>0</f>
        <v>0</v>
      </c>
      <c r="J543" s="1">
        <f>0</f>
        <v>0</v>
      </c>
      <c r="K543" s="1"/>
      <c r="L543" s="1">
        <v>0</v>
      </c>
      <c r="M543" s="1">
        <f>0</f>
        <v>0</v>
      </c>
      <c r="N543" s="1">
        <f>0</f>
        <v>0</v>
      </c>
      <c r="O543" s="1">
        <f>0</f>
        <v>0</v>
      </c>
      <c r="P543" s="1"/>
      <c r="Q543" s="1">
        <v>0</v>
      </c>
      <c r="R543" s="1">
        <v>0</v>
      </c>
      <c r="S543" s="1">
        <f>0</f>
        <v>0</v>
      </c>
      <c r="T543" s="1">
        <f>0</f>
        <v>0</v>
      </c>
      <c r="U543" s="1"/>
      <c r="V543" s="1">
        <v>0</v>
      </c>
      <c r="W543" s="1">
        <v>0</v>
      </c>
      <c r="X543" s="1">
        <f>0</f>
        <v>0</v>
      </c>
      <c r="Y543" s="1">
        <f>0</f>
        <v>0</v>
      </c>
      <c r="Z543" s="1">
        <f>0</f>
        <v>0</v>
      </c>
      <c r="AA543" s="1"/>
      <c r="AB543" s="5"/>
      <c r="AC543" s="5"/>
      <c r="AD543" s="1">
        <f>0</f>
        <v>0</v>
      </c>
      <c r="AE543" s="1">
        <f>0</f>
        <v>0</v>
      </c>
      <c r="AF543" s="1">
        <f>0</f>
        <v>0</v>
      </c>
      <c r="AG543" s="1">
        <f>0</f>
        <v>0</v>
      </c>
      <c r="AH543" s="1">
        <f>0</f>
        <v>0</v>
      </c>
      <c r="AI543" s="1">
        <f>0</f>
        <v>0</v>
      </c>
      <c r="AJ543" s="1"/>
      <c r="AK543" s="1" t="b">
        <v>1</v>
      </c>
      <c r="AL543" s="1"/>
      <c r="AM543" s="1"/>
      <c r="AN543" s="1"/>
      <c r="AO543" s="1"/>
      <c r="AP543" s="1"/>
      <c r="AQ543" s="1"/>
      <c r="AR543" s="1"/>
      <c r="AS543" s="1"/>
      <c r="AT543" s="1"/>
      <c r="AU543" s="1"/>
      <c r="AV543" s="1"/>
      <c r="AW543" s="1"/>
      <c r="AX543" s="1"/>
      <c r="AY543" s="1"/>
      <c r="AZ543" s="1"/>
    </row>
    <row r="544" spans="1:52" ht="15" customHeight="1" x14ac:dyDescent="0.35">
      <c r="A544" s="1" t="s">
        <v>1884</v>
      </c>
      <c r="B544" s="1" t="s">
        <v>275</v>
      </c>
      <c r="C544" s="1" t="s">
        <v>640</v>
      </c>
      <c r="D544" s="1"/>
      <c r="E544" s="1" t="s">
        <v>614</v>
      </c>
      <c r="F544" s="9" t="s">
        <v>1885</v>
      </c>
      <c r="G544" s="1" t="s">
        <v>38</v>
      </c>
      <c r="H5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4" s="11">
        <f>0</f>
        <v>0</v>
      </c>
      <c r="J544" s="1">
        <f>0</f>
        <v>0</v>
      </c>
      <c r="K544" s="1"/>
      <c r="L544" s="1">
        <v>0</v>
      </c>
      <c r="M544" s="1">
        <f>0</f>
        <v>0</v>
      </c>
      <c r="N544" s="1">
        <f>0</f>
        <v>0</v>
      </c>
      <c r="O544" s="1">
        <f>0</f>
        <v>0</v>
      </c>
      <c r="P544" s="1"/>
      <c r="Q544" s="1">
        <v>0</v>
      </c>
      <c r="R544" s="1">
        <v>0</v>
      </c>
      <c r="S544" s="1">
        <f>0</f>
        <v>0</v>
      </c>
      <c r="T544" s="1">
        <f>0</f>
        <v>0</v>
      </c>
      <c r="U544" s="1"/>
      <c r="V544" s="1">
        <v>0</v>
      </c>
      <c r="W544" s="1">
        <v>0</v>
      </c>
      <c r="X544" s="1">
        <f>0</f>
        <v>0</v>
      </c>
      <c r="Y544" s="1">
        <f>0</f>
        <v>0</v>
      </c>
      <c r="Z544" s="1">
        <f>0</f>
        <v>0</v>
      </c>
      <c r="AA544" s="1"/>
      <c r="AB544" s="5"/>
      <c r="AC544" s="5"/>
      <c r="AD544" s="1">
        <f>0</f>
        <v>0</v>
      </c>
      <c r="AE544" s="1">
        <f>0</f>
        <v>0</v>
      </c>
      <c r="AF544" s="1">
        <f>0</f>
        <v>0</v>
      </c>
      <c r="AG544" s="1">
        <f>0</f>
        <v>0</v>
      </c>
      <c r="AH544" s="1">
        <f>0</f>
        <v>0</v>
      </c>
      <c r="AI544" s="1">
        <f>0</f>
        <v>0</v>
      </c>
      <c r="AJ544" s="1"/>
      <c r="AK544" s="1" t="b">
        <v>1</v>
      </c>
      <c r="AL544" s="1"/>
      <c r="AM544" s="1"/>
      <c r="AN544" s="1"/>
      <c r="AO544" s="1"/>
      <c r="AP544" s="1"/>
      <c r="AQ544" s="1"/>
      <c r="AR544" s="1"/>
      <c r="AS544" s="1"/>
      <c r="AT544" s="1"/>
      <c r="AU544" s="1"/>
      <c r="AV544" s="1"/>
      <c r="AW544" s="1"/>
      <c r="AX544" s="1"/>
      <c r="AY544" s="1"/>
      <c r="AZ544" s="1"/>
    </row>
    <row r="545" spans="1:52" ht="15" customHeight="1" x14ac:dyDescent="0.35">
      <c r="A545" s="1" t="s">
        <v>1886</v>
      </c>
      <c r="B545" s="1" t="s">
        <v>276</v>
      </c>
      <c r="C545" s="1" t="s">
        <v>640</v>
      </c>
      <c r="D545" s="1"/>
      <c r="E545" s="1" t="s">
        <v>614</v>
      </c>
      <c r="F545" s="9" t="s">
        <v>1887</v>
      </c>
      <c r="G545" s="1" t="s">
        <v>38</v>
      </c>
      <c r="H5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5" s="11">
        <f>0</f>
        <v>0</v>
      </c>
      <c r="J545" s="1">
        <f>0</f>
        <v>0</v>
      </c>
      <c r="K545" s="1"/>
      <c r="L545" s="1">
        <v>0</v>
      </c>
      <c r="M545" s="1">
        <f>0</f>
        <v>0</v>
      </c>
      <c r="N545" s="1">
        <f>0</f>
        <v>0</v>
      </c>
      <c r="O545" s="1">
        <f>0</f>
        <v>0</v>
      </c>
      <c r="P545" s="1"/>
      <c r="Q545" s="1">
        <v>0</v>
      </c>
      <c r="R545" s="1">
        <v>0</v>
      </c>
      <c r="S545" s="1">
        <f>0</f>
        <v>0</v>
      </c>
      <c r="T545" s="1">
        <f>0</f>
        <v>0</v>
      </c>
      <c r="U545" s="1"/>
      <c r="V545" s="1">
        <v>0</v>
      </c>
      <c r="W545" s="1">
        <v>0</v>
      </c>
      <c r="X545" s="1">
        <f>0</f>
        <v>0</v>
      </c>
      <c r="Y545" s="1">
        <f>0</f>
        <v>0</v>
      </c>
      <c r="Z545" s="1">
        <f>0</f>
        <v>0</v>
      </c>
      <c r="AA545" s="1"/>
      <c r="AB545" s="5"/>
      <c r="AC545" s="5"/>
      <c r="AD545" s="1">
        <f>0</f>
        <v>0</v>
      </c>
      <c r="AE545" s="1">
        <f>0</f>
        <v>0</v>
      </c>
      <c r="AF545" s="1">
        <f>0</f>
        <v>0</v>
      </c>
      <c r="AG545" s="1">
        <f>0</f>
        <v>0</v>
      </c>
      <c r="AH545" s="1">
        <f>0</f>
        <v>0</v>
      </c>
      <c r="AI545" s="1">
        <f>0</f>
        <v>0</v>
      </c>
      <c r="AJ545" s="1"/>
      <c r="AK545" s="1" t="b">
        <v>1</v>
      </c>
      <c r="AL545" s="1"/>
      <c r="AM545" s="1"/>
      <c r="AN545" s="1"/>
      <c r="AO545" s="1"/>
      <c r="AP545" s="1"/>
      <c r="AQ545" s="1"/>
      <c r="AR545" s="1"/>
      <c r="AS545" s="1"/>
      <c r="AT545" s="1"/>
      <c r="AU545" s="1"/>
      <c r="AV545" s="1"/>
      <c r="AW545" s="1"/>
      <c r="AX545" s="1"/>
      <c r="AY545" s="1"/>
      <c r="AZ545" s="1"/>
    </row>
    <row r="546" spans="1:52" ht="15" customHeight="1" x14ac:dyDescent="0.35">
      <c r="A546" s="1" t="s">
        <v>1888</v>
      </c>
      <c r="B546" s="1" t="s">
        <v>277</v>
      </c>
      <c r="C546" s="1" t="s">
        <v>640</v>
      </c>
      <c r="D546" s="1"/>
      <c r="E546" s="1" t="s">
        <v>614</v>
      </c>
      <c r="F546" s="9" t="s">
        <v>1889</v>
      </c>
      <c r="G546" s="1" t="s">
        <v>38</v>
      </c>
      <c r="H5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6" s="11">
        <f>0</f>
        <v>0</v>
      </c>
      <c r="J546" s="1">
        <f>0</f>
        <v>0</v>
      </c>
      <c r="K546" s="1"/>
      <c r="L546" s="1">
        <v>0</v>
      </c>
      <c r="M546" s="1">
        <f>0</f>
        <v>0</v>
      </c>
      <c r="N546" s="1">
        <f>0</f>
        <v>0</v>
      </c>
      <c r="O546" s="1">
        <f>0</f>
        <v>0</v>
      </c>
      <c r="P546" s="1"/>
      <c r="Q546" s="1">
        <v>0</v>
      </c>
      <c r="R546" s="1">
        <v>0</v>
      </c>
      <c r="S546" s="1">
        <f>0</f>
        <v>0</v>
      </c>
      <c r="T546" s="1">
        <f>0</f>
        <v>0</v>
      </c>
      <c r="U546" s="1"/>
      <c r="V546" s="1">
        <v>0</v>
      </c>
      <c r="W546" s="1">
        <v>0</v>
      </c>
      <c r="X546" s="1">
        <f>0</f>
        <v>0</v>
      </c>
      <c r="Y546" s="1">
        <f>0</f>
        <v>0</v>
      </c>
      <c r="Z546" s="1">
        <f>0</f>
        <v>0</v>
      </c>
      <c r="AA546" s="1"/>
      <c r="AB546" s="5"/>
      <c r="AC546" s="5"/>
      <c r="AD546" s="1">
        <f>0</f>
        <v>0</v>
      </c>
      <c r="AE546" s="1">
        <f>0</f>
        <v>0</v>
      </c>
      <c r="AF546" s="1">
        <f>0</f>
        <v>0</v>
      </c>
      <c r="AG546" s="1">
        <f>0</f>
        <v>0</v>
      </c>
      <c r="AH546" s="1">
        <f>0</f>
        <v>0</v>
      </c>
      <c r="AI546" s="1">
        <f>0</f>
        <v>0</v>
      </c>
      <c r="AJ546" s="1"/>
      <c r="AK546" s="1" t="b">
        <v>1</v>
      </c>
      <c r="AL546" s="1"/>
      <c r="AM546" s="1"/>
      <c r="AN546" s="1"/>
      <c r="AO546" s="1"/>
      <c r="AP546" s="1"/>
      <c r="AQ546" s="1"/>
      <c r="AR546" s="1"/>
      <c r="AS546" s="1"/>
      <c r="AT546" s="1"/>
      <c r="AU546" s="1"/>
      <c r="AV546" s="1"/>
      <c r="AW546" s="1"/>
      <c r="AX546" s="1"/>
      <c r="AY546" s="1"/>
      <c r="AZ546" s="1"/>
    </row>
    <row r="547" spans="1:52" ht="15" customHeight="1" x14ac:dyDescent="0.35">
      <c r="A547" s="1" t="s">
        <v>1890</v>
      </c>
      <c r="B547" s="1" t="s">
        <v>278</v>
      </c>
      <c r="C547" s="1" t="s">
        <v>640</v>
      </c>
      <c r="D547" s="1"/>
      <c r="E547" s="1" t="s">
        <v>614</v>
      </c>
      <c r="F547" s="9" t="s">
        <v>1891</v>
      </c>
      <c r="G547" s="1" t="s">
        <v>38</v>
      </c>
      <c r="H5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7" s="11">
        <f>0</f>
        <v>0</v>
      </c>
      <c r="J547" s="1">
        <f>0</f>
        <v>0</v>
      </c>
      <c r="K547" s="1"/>
      <c r="L547" s="1">
        <v>0</v>
      </c>
      <c r="M547" s="1">
        <f>0</f>
        <v>0</v>
      </c>
      <c r="N547" s="1">
        <f>0</f>
        <v>0</v>
      </c>
      <c r="O547" s="1">
        <f>0</f>
        <v>0</v>
      </c>
      <c r="P547" s="1"/>
      <c r="Q547" s="1">
        <v>0</v>
      </c>
      <c r="R547" s="1">
        <v>0</v>
      </c>
      <c r="S547" s="1">
        <f>0</f>
        <v>0</v>
      </c>
      <c r="T547" s="1">
        <f>0</f>
        <v>0</v>
      </c>
      <c r="U547" s="1"/>
      <c r="V547" s="1">
        <v>0</v>
      </c>
      <c r="W547" s="1">
        <v>0</v>
      </c>
      <c r="X547" s="1">
        <f>0</f>
        <v>0</v>
      </c>
      <c r="Y547" s="1">
        <f>0</f>
        <v>0</v>
      </c>
      <c r="Z547" s="1">
        <f>0</f>
        <v>0</v>
      </c>
      <c r="AA547" s="1"/>
      <c r="AB547" s="5"/>
      <c r="AC547" s="5"/>
      <c r="AD547" s="1">
        <f>0</f>
        <v>0</v>
      </c>
      <c r="AE547" s="1">
        <f>0</f>
        <v>0</v>
      </c>
      <c r="AF547" s="1">
        <f>0</f>
        <v>0</v>
      </c>
      <c r="AG547" s="1">
        <f>0</f>
        <v>0</v>
      </c>
      <c r="AH547" s="1">
        <f>0</f>
        <v>0</v>
      </c>
      <c r="AI547" s="1">
        <f>0</f>
        <v>0</v>
      </c>
      <c r="AJ547" s="1"/>
      <c r="AK547" s="1" t="b">
        <v>1</v>
      </c>
      <c r="AL547" s="1"/>
      <c r="AM547" s="1"/>
      <c r="AN547" s="1"/>
      <c r="AO547" s="1"/>
      <c r="AP547" s="1"/>
      <c r="AQ547" s="1"/>
      <c r="AR547" s="1"/>
      <c r="AS547" s="1"/>
      <c r="AT547" s="1"/>
      <c r="AU547" s="1"/>
      <c r="AV547" s="1"/>
      <c r="AW547" s="1"/>
      <c r="AX547" s="1"/>
      <c r="AY547" s="1"/>
      <c r="AZ547" s="1"/>
    </row>
    <row r="548" spans="1:52" ht="15" customHeight="1" x14ac:dyDescent="0.35">
      <c r="A548" s="1" t="s">
        <v>1892</v>
      </c>
      <c r="B548" s="1" t="s">
        <v>279</v>
      </c>
      <c r="C548" s="1" t="s">
        <v>640</v>
      </c>
      <c r="D548" s="1"/>
      <c r="E548" s="1" t="s">
        <v>614</v>
      </c>
      <c r="F548" s="9" t="s">
        <v>1893</v>
      </c>
      <c r="G548" s="1" t="s">
        <v>38</v>
      </c>
      <c r="H5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8" s="11">
        <f>0</f>
        <v>0</v>
      </c>
      <c r="J548" s="1">
        <f>0</f>
        <v>0</v>
      </c>
      <c r="K548" s="1"/>
      <c r="L548" s="1">
        <v>0</v>
      </c>
      <c r="M548" s="1">
        <f>0</f>
        <v>0</v>
      </c>
      <c r="N548" s="1">
        <f>0</f>
        <v>0</v>
      </c>
      <c r="O548" s="1">
        <f>0</f>
        <v>0</v>
      </c>
      <c r="P548" s="1"/>
      <c r="Q548" s="1">
        <v>0</v>
      </c>
      <c r="R548" s="1">
        <v>0</v>
      </c>
      <c r="S548" s="1">
        <f>0</f>
        <v>0</v>
      </c>
      <c r="T548" s="1">
        <f>0</f>
        <v>0</v>
      </c>
      <c r="U548" s="1"/>
      <c r="V548" s="1">
        <v>0</v>
      </c>
      <c r="W548" s="1">
        <v>0</v>
      </c>
      <c r="X548" s="1">
        <f>0</f>
        <v>0</v>
      </c>
      <c r="Y548" s="1">
        <f>0</f>
        <v>0</v>
      </c>
      <c r="Z548" s="1">
        <f>0</f>
        <v>0</v>
      </c>
      <c r="AA548" s="1"/>
      <c r="AB548" s="5"/>
      <c r="AC548" s="5"/>
      <c r="AD548" s="1">
        <f>0</f>
        <v>0</v>
      </c>
      <c r="AE548" s="1">
        <f>0</f>
        <v>0</v>
      </c>
      <c r="AF548" s="1">
        <f>0</f>
        <v>0</v>
      </c>
      <c r="AG548" s="1">
        <f>0</f>
        <v>0</v>
      </c>
      <c r="AH548" s="1">
        <f>0</f>
        <v>0</v>
      </c>
      <c r="AI548" s="1">
        <f>0</f>
        <v>0</v>
      </c>
      <c r="AJ548" s="1"/>
      <c r="AK548" s="1" t="b">
        <v>1</v>
      </c>
      <c r="AL548" s="1"/>
      <c r="AM548" s="1"/>
      <c r="AN548" s="1"/>
      <c r="AO548" s="1"/>
      <c r="AP548" s="1"/>
      <c r="AQ548" s="1"/>
      <c r="AR548" s="1"/>
      <c r="AS548" s="1"/>
      <c r="AT548" s="1"/>
      <c r="AU548" s="1"/>
      <c r="AV548" s="1"/>
      <c r="AW548" s="1"/>
      <c r="AX548" s="1"/>
      <c r="AY548" s="1"/>
      <c r="AZ548" s="1"/>
    </row>
    <row r="549" spans="1:52" ht="15" customHeight="1" x14ac:dyDescent="0.35">
      <c r="A549" s="1" t="s">
        <v>1894</v>
      </c>
      <c r="B549" s="1" t="s">
        <v>280</v>
      </c>
      <c r="C549" s="1" t="s">
        <v>640</v>
      </c>
      <c r="D549" s="1"/>
      <c r="E549" s="1" t="s">
        <v>614</v>
      </c>
      <c r="F549" s="9" t="s">
        <v>1895</v>
      </c>
      <c r="G549" s="1" t="s">
        <v>38</v>
      </c>
      <c r="H5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49" s="11">
        <f>0</f>
        <v>0</v>
      </c>
      <c r="J549" s="1">
        <f>0</f>
        <v>0</v>
      </c>
      <c r="K549" s="1"/>
      <c r="L549" s="1">
        <v>0</v>
      </c>
      <c r="M549" s="1">
        <f>0</f>
        <v>0</v>
      </c>
      <c r="N549" s="1">
        <f>0</f>
        <v>0</v>
      </c>
      <c r="O549" s="1">
        <f>0</f>
        <v>0</v>
      </c>
      <c r="P549" s="1"/>
      <c r="Q549" s="1">
        <v>0</v>
      </c>
      <c r="R549" s="1">
        <v>0</v>
      </c>
      <c r="S549" s="1">
        <f>0</f>
        <v>0</v>
      </c>
      <c r="T549" s="1">
        <f>0</f>
        <v>0</v>
      </c>
      <c r="U549" s="1"/>
      <c r="V549" s="1">
        <v>0</v>
      </c>
      <c r="W549" s="1">
        <v>0</v>
      </c>
      <c r="X549" s="1">
        <f>0</f>
        <v>0</v>
      </c>
      <c r="Y549" s="1">
        <f>0</f>
        <v>0</v>
      </c>
      <c r="Z549" s="1">
        <f>0</f>
        <v>0</v>
      </c>
      <c r="AA549" s="1"/>
      <c r="AB549" s="5"/>
      <c r="AC549" s="5"/>
      <c r="AD549" s="1">
        <f>0</f>
        <v>0</v>
      </c>
      <c r="AE549" s="1">
        <f>0</f>
        <v>0</v>
      </c>
      <c r="AF549" s="1">
        <f>0</f>
        <v>0</v>
      </c>
      <c r="AG549" s="1">
        <f>0</f>
        <v>0</v>
      </c>
      <c r="AH549" s="1">
        <f>0</f>
        <v>0</v>
      </c>
      <c r="AI549" s="1">
        <f>0</f>
        <v>0</v>
      </c>
      <c r="AJ549" s="1"/>
      <c r="AK549" s="1" t="b">
        <v>1</v>
      </c>
      <c r="AL549" s="1"/>
      <c r="AM549" s="1"/>
      <c r="AN549" s="1"/>
      <c r="AO549" s="1"/>
      <c r="AP549" s="1"/>
      <c r="AQ549" s="1"/>
      <c r="AR549" s="1"/>
      <c r="AS549" s="1"/>
      <c r="AT549" s="1"/>
      <c r="AU549" s="1"/>
      <c r="AV549" s="1"/>
      <c r="AW549" s="1"/>
      <c r="AX549" s="1"/>
      <c r="AY549" s="1"/>
      <c r="AZ549" s="1"/>
    </row>
    <row r="550" spans="1:52" ht="15" customHeight="1" x14ac:dyDescent="0.35">
      <c r="A550" s="1" t="s">
        <v>1896</v>
      </c>
      <c r="B550" s="1" t="s">
        <v>281</v>
      </c>
      <c r="C550" s="1" t="s">
        <v>640</v>
      </c>
      <c r="D550" s="1"/>
      <c r="E550" s="1" t="s">
        <v>1897</v>
      </c>
      <c r="F550" s="9" t="s">
        <v>1898</v>
      </c>
      <c r="G550" s="1" t="s">
        <v>38</v>
      </c>
      <c r="H5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0" s="11">
        <f>0</f>
        <v>0</v>
      </c>
      <c r="J550" s="1">
        <f>0</f>
        <v>0</v>
      </c>
      <c r="K550" s="1"/>
      <c r="L550" s="1">
        <v>0</v>
      </c>
      <c r="M550" s="1">
        <f>0</f>
        <v>0</v>
      </c>
      <c r="N550" s="1">
        <f>0</f>
        <v>0</v>
      </c>
      <c r="O550" s="1">
        <f>0</f>
        <v>0</v>
      </c>
      <c r="P550" s="1"/>
      <c r="Q550" s="1">
        <v>0</v>
      </c>
      <c r="R550" s="1">
        <v>0</v>
      </c>
      <c r="S550" s="1">
        <f>0</f>
        <v>0</v>
      </c>
      <c r="T550" s="1">
        <f>0</f>
        <v>0</v>
      </c>
      <c r="U550" s="1"/>
      <c r="V550" s="1">
        <v>0</v>
      </c>
      <c r="W550" s="1">
        <v>0</v>
      </c>
      <c r="X550" s="1">
        <f>0</f>
        <v>0</v>
      </c>
      <c r="Y550" s="1">
        <f>0</f>
        <v>0</v>
      </c>
      <c r="Z550" s="1">
        <f>0</f>
        <v>0</v>
      </c>
      <c r="AA550" s="1"/>
      <c r="AB550" s="5"/>
      <c r="AC550" s="5"/>
      <c r="AD550" s="1">
        <f>0</f>
        <v>0</v>
      </c>
      <c r="AE550" s="1">
        <f>0</f>
        <v>0</v>
      </c>
      <c r="AF550" s="1">
        <f>0</f>
        <v>0</v>
      </c>
      <c r="AG550" s="1">
        <f>0</f>
        <v>0</v>
      </c>
      <c r="AH550" s="1">
        <f>0</f>
        <v>0</v>
      </c>
      <c r="AI550" s="1">
        <f>0</f>
        <v>0</v>
      </c>
      <c r="AJ550" s="1"/>
      <c r="AK550" s="1" t="b">
        <v>1</v>
      </c>
      <c r="AL550" s="1"/>
      <c r="AM550" s="1"/>
      <c r="AN550" s="1"/>
      <c r="AO550" s="1"/>
      <c r="AP550" s="1"/>
      <c r="AQ550" s="1"/>
      <c r="AR550" s="1"/>
      <c r="AS550" s="1"/>
      <c r="AT550" s="1"/>
      <c r="AU550" s="1"/>
      <c r="AV550" s="1"/>
      <c r="AW550" s="1"/>
      <c r="AX550" s="1"/>
      <c r="AY550" s="1"/>
      <c r="AZ550" s="1"/>
    </row>
    <row r="551" spans="1:52" ht="15" customHeight="1" x14ac:dyDescent="0.35">
      <c r="A551" s="1" t="s">
        <v>1899</v>
      </c>
      <c r="B551" s="1" t="s">
        <v>282</v>
      </c>
      <c r="C551" s="1" t="s">
        <v>640</v>
      </c>
      <c r="D551" s="1"/>
      <c r="E551" s="1" t="s">
        <v>1897</v>
      </c>
      <c r="F551" s="9" t="s">
        <v>1900</v>
      </c>
      <c r="G551" s="1" t="s">
        <v>38</v>
      </c>
      <c r="H5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1" s="11">
        <f>0</f>
        <v>0</v>
      </c>
      <c r="J551" s="1">
        <f>0</f>
        <v>0</v>
      </c>
      <c r="K551" s="1"/>
      <c r="L551" s="1">
        <v>0</v>
      </c>
      <c r="M551" s="1">
        <f>0</f>
        <v>0</v>
      </c>
      <c r="N551" s="1">
        <f>0</f>
        <v>0</v>
      </c>
      <c r="O551" s="1">
        <f>0</f>
        <v>0</v>
      </c>
      <c r="P551" s="1"/>
      <c r="Q551" s="1">
        <v>0</v>
      </c>
      <c r="R551" s="1">
        <v>0</v>
      </c>
      <c r="S551" s="1">
        <f>0</f>
        <v>0</v>
      </c>
      <c r="T551" s="1">
        <f>0</f>
        <v>0</v>
      </c>
      <c r="U551" s="1"/>
      <c r="V551" s="1">
        <v>0</v>
      </c>
      <c r="W551" s="1">
        <v>0</v>
      </c>
      <c r="X551" s="1">
        <f>0</f>
        <v>0</v>
      </c>
      <c r="Y551" s="1">
        <f>0</f>
        <v>0</v>
      </c>
      <c r="Z551" s="1">
        <f>0</f>
        <v>0</v>
      </c>
      <c r="AA551" s="1"/>
      <c r="AB551" s="5"/>
      <c r="AC551" s="5"/>
      <c r="AD551" s="1">
        <f>0</f>
        <v>0</v>
      </c>
      <c r="AE551" s="1">
        <f>0</f>
        <v>0</v>
      </c>
      <c r="AF551" s="1">
        <f>0</f>
        <v>0</v>
      </c>
      <c r="AG551" s="1">
        <f>0</f>
        <v>0</v>
      </c>
      <c r="AH551" s="1">
        <f>0</f>
        <v>0</v>
      </c>
      <c r="AI551" s="1">
        <f>0</f>
        <v>0</v>
      </c>
      <c r="AJ551" s="1"/>
      <c r="AK551" s="1" t="b">
        <v>1</v>
      </c>
      <c r="AL551" s="1"/>
      <c r="AM551" s="1"/>
      <c r="AN551" s="1"/>
      <c r="AO551" s="1"/>
      <c r="AP551" s="1"/>
      <c r="AQ551" s="1"/>
      <c r="AR551" s="1"/>
      <c r="AS551" s="1"/>
      <c r="AT551" s="1"/>
      <c r="AU551" s="1"/>
      <c r="AV551" s="1"/>
      <c r="AW551" s="1"/>
      <c r="AX551" s="1"/>
      <c r="AY551" s="1"/>
      <c r="AZ551" s="1"/>
    </row>
    <row r="552" spans="1:52" ht="15" customHeight="1" x14ac:dyDescent="0.35">
      <c r="A552" s="1" t="s">
        <v>1901</v>
      </c>
      <c r="B552" s="1" t="s">
        <v>283</v>
      </c>
      <c r="C552" s="1" t="s">
        <v>640</v>
      </c>
      <c r="D552" s="1"/>
      <c r="E552" s="1" t="s">
        <v>1897</v>
      </c>
      <c r="F552" s="9" t="s">
        <v>1902</v>
      </c>
      <c r="G552" s="1" t="s">
        <v>38</v>
      </c>
      <c r="H5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2" s="11">
        <f>0</f>
        <v>0</v>
      </c>
      <c r="J552" s="1">
        <f>0</f>
        <v>0</v>
      </c>
      <c r="K552" s="1"/>
      <c r="L552" s="1">
        <v>0</v>
      </c>
      <c r="M552" s="1">
        <f>0</f>
        <v>0</v>
      </c>
      <c r="N552" s="1">
        <f>0</f>
        <v>0</v>
      </c>
      <c r="O552" s="1">
        <f>0</f>
        <v>0</v>
      </c>
      <c r="P552" s="1"/>
      <c r="Q552" s="1">
        <v>0</v>
      </c>
      <c r="R552" s="1">
        <v>0</v>
      </c>
      <c r="S552" s="1">
        <f>0</f>
        <v>0</v>
      </c>
      <c r="T552" s="1">
        <f>0</f>
        <v>0</v>
      </c>
      <c r="U552" s="1"/>
      <c r="V552" s="1">
        <v>0</v>
      </c>
      <c r="W552" s="1">
        <v>0</v>
      </c>
      <c r="X552" s="1">
        <f>0</f>
        <v>0</v>
      </c>
      <c r="Y552" s="1">
        <f>0</f>
        <v>0</v>
      </c>
      <c r="Z552" s="1">
        <f>0</f>
        <v>0</v>
      </c>
      <c r="AA552" s="1"/>
      <c r="AB552" s="5"/>
      <c r="AC552" s="5"/>
      <c r="AD552" s="1">
        <f>0</f>
        <v>0</v>
      </c>
      <c r="AE552" s="1">
        <f>0</f>
        <v>0</v>
      </c>
      <c r="AF552" s="1">
        <f>0</f>
        <v>0</v>
      </c>
      <c r="AG552" s="1">
        <f>0</f>
        <v>0</v>
      </c>
      <c r="AH552" s="1">
        <f>0</f>
        <v>0</v>
      </c>
      <c r="AI552" s="1">
        <f>0</f>
        <v>0</v>
      </c>
      <c r="AJ552" s="1"/>
      <c r="AK552" s="1" t="b">
        <v>1</v>
      </c>
      <c r="AL552" s="1"/>
      <c r="AM552" s="1"/>
      <c r="AN552" s="1"/>
      <c r="AO552" s="1"/>
      <c r="AP552" s="1"/>
      <c r="AQ552" s="1"/>
      <c r="AR552" s="1"/>
      <c r="AS552" s="1"/>
      <c r="AT552" s="1"/>
      <c r="AU552" s="1"/>
      <c r="AV552" s="1"/>
      <c r="AW552" s="1"/>
      <c r="AX552" s="1"/>
      <c r="AY552" s="1"/>
      <c r="AZ552" s="1"/>
    </row>
    <row r="553" spans="1:52" ht="15" customHeight="1" x14ac:dyDescent="0.35">
      <c r="A553" s="1" t="s">
        <v>1903</v>
      </c>
      <c r="B553" s="1" t="s">
        <v>284</v>
      </c>
      <c r="C553" s="1" t="s">
        <v>640</v>
      </c>
      <c r="D553" s="1"/>
      <c r="E553" s="1" t="s">
        <v>1897</v>
      </c>
      <c r="F553" s="9" t="s">
        <v>1904</v>
      </c>
      <c r="G553" s="1" t="s">
        <v>38</v>
      </c>
      <c r="H5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3" s="11">
        <f>0</f>
        <v>0</v>
      </c>
      <c r="J553" s="1">
        <f>0</f>
        <v>0</v>
      </c>
      <c r="K553" s="1"/>
      <c r="L553" s="1">
        <v>0</v>
      </c>
      <c r="M553" s="1">
        <f>0</f>
        <v>0</v>
      </c>
      <c r="N553" s="1">
        <f>0</f>
        <v>0</v>
      </c>
      <c r="O553" s="1">
        <f>0</f>
        <v>0</v>
      </c>
      <c r="P553" s="1"/>
      <c r="Q553" s="1">
        <v>0</v>
      </c>
      <c r="R553" s="1">
        <v>0</v>
      </c>
      <c r="S553" s="1">
        <f>0</f>
        <v>0</v>
      </c>
      <c r="T553" s="1">
        <f>0</f>
        <v>0</v>
      </c>
      <c r="U553" s="1"/>
      <c r="V553" s="1">
        <v>0</v>
      </c>
      <c r="W553" s="1">
        <v>0</v>
      </c>
      <c r="X553" s="1">
        <f>0</f>
        <v>0</v>
      </c>
      <c r="Y553" s="1">
        <f>0</f>
        <v>0</v>
      </c>
      <c r="Z553" s="1">
        <f>0</f>
        <v>0</v>
      </c>
      <c r="AA553" s="1"/>
      <c r="AB553" s="5"/>
      <c r="AC553" s="5"/>
      <c r="AD553" s="1">
        <f>0</f>
        <v>0</v>
      </c>
      <c r="AE553" s="1">
        <f>0</f>
        <v>0</v>
      </c>
      <c r="AF553" s="1">
        <f>0</f>
        <v>0</v>
      </c>
      <c r="AG553" s="1">
        <f>0</f>
        <v>0</v>
      </c>
      <c r="AH553" s="1">
        <f>0</f>
        <v>0</v>
      </c>
      <c r="AI553" s="1">
        <f>0</f>
        <v>0</v>
      </c>
      <c r="AJ553" s="1"/>
      <c r="AK553" s="1" t="b">
        <v>1</v>
      </c>
      <c r="AL553" s="1"/>
      <c r="AM553" s="1"/>
      <c r="AN553" s="1"/>
      <c r="AO553" s="1"/>
      <c r="AP553" s="1"/>
      <c r="AQ553" s="1"/>
      <c r="AR553" s="1"/>
      <c r="AS553" s="1"/>
      <c r="AT553" s="1"/>
      <c r="AU553" s="1"/>
      <c r="AV553" s="1"/>
      <c r="AW553" s="1"/>
      <c r="AX553" s="1"/>
      <c r="AY553" s="1"/>
      <c r="AZ553" s="1"/>
    </row>
    <row r="554" spans="1:52" ht="15" customHeight="1" x14ac:dyDescent="0.35">
      <c r="A554" s="1" t="s">
        <v>1905</v>
      </c>
      <c r="B554" s="1" t="s">
        <v>285</v>
      </c>
      <c r="C554" s="1" t="s">
        <v>640</v>
      </c>
      <c r="D554" s="1"/>
      <c r="E554" s="1" t="s">
        <v>1897</v>
      </c>
      <c r="F554" s="9" t="s">
        <v>1906</v>
      </c>
      <c r="G554" s="1" t="s">
        <v>38</v>
      </c>
      <c r="H5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4" s="11">
        <f>0</f>
        <v>0</v>
      </c>
      <c r="J554" s="1">
        <f>0</f>
        <v>0</v>
      </c>
      <c r="K554" s="1"/>
      <c r="L554" s="1">
        <v>0</v>
      </c>
      <c r="M554" s="1">
        <f>0</f>
        <v>0</v>
      </c>
      <c r="N554" s="1">
        <f>0</f>
        <v>0</v>
      </c>
      <c r="O554" s="1">
        <f>0</f>
        <v>0</v>
      </c>
      <c r="P554" s="1"/>
      <c r="Q554" s="1">
        <v>0</v>
      </c>
      <c r="R554" s="1">
        <v>0</v>
      </c>
      <c r="S554" s="1">
        <f>0</f>
        <v>0</v>
      </c>
      <c r="T554" s="1">
        <f>0</f>
        <v>0</v>
      </c>
      <c r="U554" s="1"/>
      <c r="V554" s="1">
        <v>0</v>
      </c>
      <c r="W554" s="1">
        <v>0</v>
      </c>
      <c r="X554" s="1">
        <f>0</f>
        <v>0</v>
      </c>
      <c r="Y554" s="1">
        <f>0</f>
        <v>0</v>
      </c>
      <c r="Z554" s="1">
        <f>0</f>
        <v>0</v>
      </c>
      <c r="AA554" s="1"/>
      <c r="AB554" s="5"/>
      <c r="AC554" s="5"/>
      <c r="AD554" s="1">
        <f>0</f>
        <v>0</v>
      </c>
      <c r="AE554" s="1">
        <f>0</f>
        <v>0</v>
      </c>
      <c r="AF554" s="1">
        <f>0</f>
        <v>0</v>
      </c>
      <c r="AG554" s="1">
        <f>0</f>
        <v>0</v>
      </c>
      <c r="AH554" s="1">
        <f>0</f>
        <v>0</v>
      </c>
      <c r="AI554" s="1">
        <f>0</f>
        <v>0</v>
      </c>
      <c r="AJ554" s="1"/>
      <c r="AK554" s="1" t="b">
        <v>1</v>
      </c>
      <c r="AL554" s="1"/>
      <c r="AM554" s="1"/>
      <c r="AN554" s="1"/>
      <c r="AO554" s="1"/>
      <c r="AP554" s="1"/>
      <c r="AQ554" s="1"/>
      <c r="AR554" s="1"/>
      <c r="AS554" s="1"/>
      <c r="AT554" s="1"/>
      <c r="AU554" s="1"/>
      <c r="AV554" s="1"/>
      <c r="AW554" s="1"/>
      <c r="AX554" s="1"/>
      <c r="AY554" s="1"/>
      <c r="AZ554" s="1"/>
    </row>
    <row r="555" spans="1:52" ht="15" customHeight="1" x14ac:dyDescent="0.35">
      <c r="A555" s="1" t="s">
        <v>1907</v>
      </c>
      <c r="B555" s="1" t="s">
        <v>286</v>
      </c>
      <c r="C555" s="1" t="s">
        <v>640</v>
      </c>
      <c r="D555" s="1"/>
      <c r="E555" s="1" t="s">
        <v>1897</v>
      </c>
      <c r="F555" s="9" t="s">
        <v>1908</v>
      </c>
      <c r="G555" s="1" t="s">
        <v>38</v>
      </c>
      <c r="H5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5" s="11">
        <f>0</f>
        <v>0</v>
      </c>
      <c r="J555" s="1">
        <f>0</f>
        <v>0</v>
      </c>
      <c r="K555" s="1"/>
      <c r="L555" s="1">
        <v>0</v>
      </c>
      <c r="M555" s="1">
        <f>0</f>
        <v>0</v>
      </c>
      <c r="N555" s="1">
        <f>0</f>
        <v>0</v>
      </c>
      <c r="O555" s="1">
        <f>0</f>
        <v>0</v>
      </c>
      <c r="P555" s="1"/>
      <c r="Q555" s="1">
        <v>0</v>
      </c>
      <c r="R555" s="1">
        <v>0</v>
      </c>
      <c r="S555" s="1">
        <f>0</f>
        <v>0</v>
      </c>
      <c r="T555" s="1">
        <f>0</f>
        <v>0</v>
      </c>
      <c r="U555" s="1"/>
      <c r="V555" s="1">
        <v>0</v>
      </c>
      <c r="W555" s="1">
        <v>0</v>
      </c>
      <c r="X555" s="1">
        <f>0</f>
        <v>0</v>
      </c>
      <c r="Y555" s="1">
        <f>0</f>
        <v>0</v>
      </c>
      <c r="Z555" s="1">
        <f>0</f>
        <v>0</v>
      </c>
      <c r="AA555" s="1"/>
      <c r="AB555" s="5"/>
      <c r="AC555" s="5"/>
      <c r="AD555" s="1">
        <f>0</f>
        <v>0</v>
      </c>
      <c r="AE555" s="1">
        <f>0</f>
        <v>0</v>
      </c>
      <c r="AF555" s="1">
        <f>0</f>
        <v>0</v>
      </c>
      <c r="AG555" s="1">
        <f>0</f>
        <v>0</v>
      </c>
      <c r="AH555" s="1">
        <f>0</f>
        <v>0</v>
      </c>
      <c r="AI555" s="1">
        <f>0</f>
        <v>0</v>
      </c>
      <c r="AJ555" s="1"/>
      <c r="AK555" s="1" t="b">
        <v>1</v>
      </c>
      <c r="AL555" s="1"/>
      <c r="AM555" s="1"/>
      <c r="AN555" s="1"/>
      <c r="AO555" s="1"/>
      <c r="AP555" s="1"/>
      <c r="AQ555" s="1"/>
      <c r="AR555" s="1"/>
      <c r="AS555" s="1"/>
      <c r="AT555" s="1"/>
      <c r="AU555" s="1"/>
      <c r="AV555" s="1"/>
      <c r="AW555" s="1"/>
      <c r="AX555" s="1"/>
      <c r="AY555" s="1"/>
      <c r="AZ555" s="1"/>
    </row>
    <row r="556" spans="1:52" ht="15" customHeight="1" x14ac:dyDescent="0.35">
      <c r="A556" s="1" t="s">
        <v>1909</v>
      </c>
      <c r="B556" s="1" t="s">
        <v>287</v>
      </c>
      <c r="C556" s="1" t="s">
        <v>640</v>
      </c>
      <c r="D556" s="1"/>
      <c r="E556" s="1" t="s">
        <v>1897</v>
      </c>
      <c r="F556" s="9" t="s">
        <v>1910</v>
      </c>
      <c r="G556" s="1" t="s">
        <v>38</v>
      </c>
      <c r="H5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6" s="11">
        <f>0</f>
        <v>0</v>
      </c>
      <c r="J556" s="1">
        <f>0</f>
        <v>0</v>
      </c>
      <c r="K556" s="1"/>
      <c r="L556" s="1">
        <v>0</v>
      </c>
      <c r="M556" s="1">
        <f>0</f>
        <v>0</v>
      </c>
      <c r="N556" s="1">
        <f>0</f>
        <v>0</v>
      </c>
      <c r="O556" s="1">
        <f>0</f>
        <v>0</v>
      </c>
      <c r="P556" s="1"/>
      <c r="Q556" s="1">
        <v>0</v>
      </c>
      <c r="R556" s="1">
        <v>0</v>
      </c>
      <c r="S556" s="1">
        <f>0</f>
        <v>0</v>
      </c>
      <c r="T556" s="1">
        <f>0</f>
        <v>0</v>
      </c>
      <c r="U556" s="1"/>
      <c r="V556" s="1">
        <v>0</v>
      </c>
      <c r="W556" s="1">
        <v>0</v>
      </c>
      <c r="X556" s="1">
        <f>0</f>
        <v>0</v>
      </c>
      <c r="Y556" s="1">
        <f>0</f>
        <v>0</v>
      </c>
      <c r="Z556" s="1">
        <f>0</f>
        <v>0</v>
      </c>
      <c r="AA556" s="1"/>
      <c r="AB556" s="5"/>
      <c r="AC556" s="5"/>
      <c r="AD556" s="1">
        <f>0</f>
        <v>0</v>
      </c>
      <c r="AE556" s="1">
        <f>0</f>
        <v>0</v>
      </c>
      <c r="AF556" s="1">
        <f>0</f>
        <v>0</v>
      </c>
      <c r="AG556" s="1">
        <f>0</f>
        <v>0</v>
      </c>
      <c r="AH556" s="1">
        <f>0</f>
        <v>0</v>
      </c>
      <c r="AI556" s="1">
        <f>0</f>
        <v>0</v>
      </c>
      <c r="AJ556" s="1"/>
      <c r="AK556" s="1" t="b">
        <v>1</v>
      </c>
      <c r="AL556" s="1"/>
      <c r="AM556" s="1"/>
      <c r="AN556" s="1"/>
      <c r="AO556" s="1"/>
      <c r="AP556" s="1"/>
      <c r="AQ556" s="1"/>
      <c r="AR556" s="1"/>
      <c r="AS556" s="1"/>
      <c r="AT556" s="1"/>
      <c r="AU556" s="1"/>
      <c r="AV556" s="1"/>
      <c r="AW556" s="1"/>
      <c r="AX556" s="1"/>
      <c r="AY556" s="1"/>
      <c r="AZ556" s="1"/>
    </row>
    <row r="557" spans="1:52" ht="15" customHeight="1" x14ac:dyDescent="0.35">
      <c r="A557" s="1" t="s">
        <v>1911</v>
      </c>
      <c r="B557" s="1" t="s">
        <v>288</v>
      </c>
      <c r="C557" s="1" t="s">
        <v>640</v>
      </c>
      <c r="D557" s="1"/>
      <c r="E557" s="1" t="s">
        <v>1897</v>
      </c>
      <c r="F557" s="9" t="s">
        <v>1912</v>
      </c>
      <c r="G557" s="1" t="s">
        <v>38</v>
      </c>
      <c r="H5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7" s="11">
        <f>0</f>
        <v>0</v>
      </c>
      <c r="J557" s="1">
        <f>0</f>
        <v>0</v>
      </c>
      <c r="K557" s="1"/>
      <c r="L557" s="1">
        <v>0</v>
      </c>
      <c r="M557" s="1">
        <f>0</f>
        <v>0</v>
      </c>
      <c r="N557" s="1">
        <f>0</f>
        <v>0</v>
      </c>
      <c r="O557" s="1">
        <f>0</f>
        <v>0</v>
      </c>
      <c r="P557" s="1"/>
      <c r="Q557" s="1">
        <v>0</v>
      </c>
      <c r="R557" s="1">
        <v>0</v>
      </c>
      <c r="S557" s="1">
        <f>0</f>
        <v>0</v>
      </c>
      <c r="T557" s="1">
        <f>0</f>
        <v>0</v>
      </c>
      <c r="U557" s="1"/>
      <c r="V557" s="1">
        <v>0</v>
      </c>
      <c r="W557" s="1">
        <v>0</v>
      </c>
      <c r="X557" s="1">
        <f>0</f>
        <v>0</v>
      </c>
      <c r="Y557" s="1">
        <f>0</f>
        <v>0</v>
      </c>
      <c r="Z557" s="1">
        <f>0</f>
        <v>0</v>
      </c>
      <c r="AA557" s="1"/>
      <c r="AB557" s="5"/>
      <c r="AC557" s="5"/>
      <c r="AD557" s="1">
        <f>0</f>
        <v>0</v>
      </c>
      <c r="AE557" s="1">
        <f>0</f>
        <v>0</v>
      </c>
      <c r="AF557" s="1">
        <f>0</f>
        <v>0</v>
      </c>
      <c r="AG557" s="1">
        <f>0</f>
        <v>0</v>
      </c>
      <c r="AH557" s="1">
        <f>0</f>
        <v>0</v>
      </c>
      <c r="AI557" s="1">
        <f>0</f>
        <v>0</v>
      </c>
      <c r="AJ557" s="1"/>
      <c r="AK557" s="1" t="b">
        <v>1</v>
      </c>
      <c r="AL557" s="1"/>
      <c r="AM557" s="1"/>
      <c r="AN557" s="1"/>
      <c r="AO557" s="1"/>
      <c r="AP557" s="1"/>
      <c r="AQ557" s="1"/>
      <c r="AR557" s="1"/>
      <c r="AS557" s="1"/>
      <c r="AT557" s="1"/>
      <c r="AU557" s="1"/>
      <c r="AV557" s="1"/>
      <c r="AW557" s="1"/>
      <c r="AX557" s="1"/>
      <c r="AY557" s="1"/>
      <c r="AZ557" s="1"/>
    </row>
    <row r="558" spans="1:52" ht="15" customHeight="1" x14ac:dyDescent="0.35">
      <c r="A558" s="1" t="s">
        <v>1913</v>
      </c>
      <c r="B558" s="1" t="s">
        <v>289</v>
      </c>
      <c r="C558" s="1" t="s">
        <v>640</v>
      </c>
      <c r="D558" s="1"/>
      <c r="E558" s="1" t="s">
        <v>1897</v>
      </c>
      <c r="F558" s="9" t="s">
        <v>1914</v>
      </c>
      <c r="G558" s="1" t="s">
        <v>38</v>
      </c>
      <c r="H5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8" s="11">
        <f>0</f>
        <v>0</v>
      </c>
      <c r="J558" s="1">
        <f>0</f>
        <v>0</v>
      </c>
      <c r="K558" s="1"/>
      <c r="L558" s="1">
        <v>0</v>
      </c>
      <c r="M558" s="1">
        <f>0</f>
        <v>0</v>
      </c>
      <c r="N558" s="1">
        <f>0</f>
        <v>0</v>
      </c>
      <c r="O558" s="1">
        <f>0</f>
        <v>0</v>
      </c>
      <c r="P558" s="1"/>
      <c r="Q558" s="1">
        <v>0</v>
      </c>
      <c r="R558" s="1">
        <v>0</v>
      </c>
      <c r="S558" s="1">
        <f>0</f>
        <v>0</v>
      </c>
      <c r="T558" s="1">
        <f>0</f>
        <v>0</v>
      </c>
      <c r="U558" s="1"/>
      <c r="V558" s="1">
        <v>0</v>
      </c>
      <c r="W558" s="1">
        <v>0</v>
      </c>
      <c r="X558" s="1">
        <f>0</f>
        <v>0</v>
      </c>
      <c r="Y558" s="1">
        <f>0</f>
        <v>0</v>
      </c>
      <c r="Z558" s="1">
        <f>0</f>
        <v>0</v>
      </c>
      <c r="AA558" s="1"/>
      <c r="AB558" s="5"/>
      <c r="AC558" s="5"/>
      <c r="AD558" s="1">
        <f>0</f>
        <v>0</v>
      </c>
      <c r="AE558" s="1">
        <f>0</f>
        <v>0</v>
      </c>
      <c r="AF558" s="1">
        <f>0</f>
        <v>0</v>
      </c>
      <c r="AG558" s="1">
        <f>0</f>
        <v>0</v>
      </c>
      <c r="AH558" s="1">
        <f>0</f>
        <v>0</v>
      </c>
      <c r="AI558" s="1">
        <f>0</f>
        <v>0</v>
      </c>
      <c r="AJ558" s="1"/>
      <c r="AK558" s="1" t="b">
        <v>1</v>
      </c>
      <c r="AL558" s="1"/>
      <c r="AM558" s="1"/>
      <c r="AN558" s="1"/>
      <c r="AO558" s="1"/>
      <c r="AP558" s="1"/>
      <c r="AQ558" s="1"/>
      <c r="AR558" s="1"/>
      <c r="AS558" s="1"/>
      <c r="AT558" s="1"/>
      <c r="AU558" s="1"/>
      <c r="AV558" s="1"/>
      <c r="AW558" s="1"/>
      <c r="AX558" s="1"/>
      <c r="AY558" s="1"/>
      <c r="AZ558" s="1"/>
    </row>
    <row r="559" spans="1:52" ht="15" customHeight="1" x14ac:dyDescent="0.35">
      <c r="A559" s="1" t="s">
        <v>1915</v>
      </c>
      <c r="B559" s="1" t="s">
        <v>290</v>
      </c>
      <c r="C559" s="1" t="s">
        <v>640</v>
      </c>
      <c r="D559" s="1"/>
      <c r="E559" s="1" t="s">
        <v>1897</v>
      </c>
      <c r="F559" s="9" t="s">
        <v>1916</v>
      </c>
      <c r="G559" s="1" t="s">
        <v>38</v>
      </c>
      <c r="H5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59" s="11">
        <f>0</f>
        <v>0</v>
      </c>
      <c r="J559" s="1">
        <f>0</f>
        <v>0</v>
      </c>
      <c r="K559" s="1"/>
      <c r="L559" s="1">
        <v>0</v>
      </c>
      <c r="M559" s="1">
        <f>0</f>
        <v>0</v>
      </c>
      <c r="N559" s="1">
        <f>0</f>
        <v>0</v>
      </c>
      <c r="O559" s="1">
        <f>0</f>
        <v>0</v>
      </c>
      <c r="P559" s="1"/>
      <c r="Q559" s="1">
        <v>0</v>
      </c>
      <c r="R559" s="1">
        <v>0</v>
      </c>
      <c r="S559" s="1">
        <f>0</f>
        <v>0</v>
      </c>
      <c r="T559" s="1">
        <f>0</f>
        <v>0</v>
      </c>
      <c r="U559" s="1"/>
      <c r="V559" s="1">
        <v>0</v>
      </c>
      <c r="W559" s="1">
        <v>0</v>
      </c>
      <c r="X559" s="1">
        <f>0</f>
        <v>0</v>
      </c>
      <c r="Y559" s="1">
        <f>0</f>
        <v>0</v>
      </c>
      <c r="Z559" s="1">
        <f>0</f>
        <v>0</v>
      </c>
      <c r="AA559" s="1"/>
      <c r="AB559" s="5"/>
      <c r="AC559" s="5"/>
      <c r="AD559" s="1">
        <f>0</f>
        <v>0</v>
      </c>
      <c r="AE559" s="1">
        <f>0</f>
        <v>0</v>
      </c>
      <c r="AF559" s="1">
        <f>0</f>
        <v>0</v>
      </c>
      <c r="AG559" s="1">
        <f>0</f>
        <v>0</v>
      </c>
      <c r="AH559" s="1">
        <f>0</f>
        <v>0</v>
      </c>
      <c r="AI559" s="1">
        <f>0</f>
        <v>0</v>
      </c>
      <c r="AJ559" s="1"/>
      <c r="AK559" s="1" t="b">
        <v>1</v>
      </c>
      <c r="AL559" s="1"/>
      <c r="AM559" s="1"/>
      <c r="AN559" s="1"/>
      <c r="AO559" s="1"/>
      <c r="AP559" s="1"/>
      <c r="AQ559" s="1"/>
      <c r="AR559" s="1"/>
      <c r="AS559" s="1"/>
      <c r="AT559" s="1"/>
      <c r="AU559" s="1"/>
      <c r="AV559" s="1"/>
      <c r="AW559" s="1"/>
      <c r="AX559" s="1"/>
      <c r="AY559" s="1"/>
      <c r="AZ559" s="1"/>
    </row>
    <row r="560" spans="1:52" ht="15" customHeight="1" x14ac:dyDescent="0.35">
      <c r="A560" s="1" t="s">
        <v>1917</v>
      </c>
      <c r="B560" s="1" t="s">
        <v>291</v>
      </c>
      <c r="C560" s="1" t="s">
        <v>640</v>
      </c>
      <c r="D560" s="1"/>
      <c r="E560" s="1" t="s">
        <v>1897</v>
      </c>
      <c r="F560" s="9" t="s">
        <v>1918</v>
      </c>
      <c r="G560" s="1" t="s">
        <v>38</v>
      </c>
      <c r="H5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0" s="11">
        <f>0</f>
        <v>0</v>
      </c>
      <c r="J560" s="1">
        <f>0</f>
        <v>0</v>
      </c>
      <c r="K560" s="1"/>
      <c r="L560" s="1">
        <v>0</v>
      </c>
      <c r="M560" s="1">
        <f>0</f>
        <v>0</v>
      </c>
      <c r="N560" s="1">
        <f>0</f>
        <v>0</v>
      </c>
      <c r="O560" s="1">
        <f>0</f>
        <v>0</v>
      </c>
      <c r="P560" s="1"/>
      <c r="Q560" s="1">
        <v>0</v>
      </c>
      <c r="R560" s="1">
        <v>0</v>
      </c>
      <c r="S560" s="1">
        <f>0</f>
        <v>0</v>
      </c>
      <c r="T560" s="1">
        <f>0</f>
        <v>0</v>
      </c>
      <c r="U560" s="1"/>
      <c r="V560" s="1">
        <v>0</v>
      </c>
      <c r="W560" s="1">
        <v>0</v>
      </c>
      <c r="X560" s="1">
        <f>0</f>
        <v>0</v>
      </c>
      <c r="Y560" s="1">
        <f>0</f>
        <v>0</v>
      </c>
      <c r="Z560" s="1">
        <f>0</f>
        <v>0</v>
      </c>
      <c r="AA560" s="1"/>
      <c r="AB560" s="5"/>
      <c r="AC560" s="5"/>
      <c r="AD560" s="1">
        <f>0</f>
        <v>0</v>
      </c>
      <c r="AE560" s="1">
        <f>0</f>
        <v>0</v>
      </c>
      <c r="AF560" s="1">
        <f>0</f>
        <v>0</v>
      </c>
      <c r="AG560" s="1">
        <f>0</f>
        <v>0</v>
      </c>
      <c r="AH560" s="1">
        <f>0</f>
        <v>0</v>
      </c>
      <c r="AI560" s="1">
        <f>0</f>
        <v>0</v>
      </c>
      <c r="AJ560" s="1"/>
      <c r="AK560" s="1" t="b">
        <v>1</v>
      </c>
      <c r="AL560" s="1"/>
      <c r="AM560" s="1"/>
      <c r="AN560" s="1"/>
      <c r="AO560" s="1"/>
      <c r="AP560" s="1"/>
      <c r="AQ560" s="1"/>
      <c r="AR560" s="1"/>
      <c r="AS560" s="1"/>
      <c r="AT560" s="1"/>
      <c r="AU560" s="1"/>
      <c r="AV560" s="1"/>
      <c r="AW560" s="1"/>
      <c r="AX560" s="1"/>
      <c r="AY560" s="1"/>
      <c r="AZ560" s="1"/>
    </row>
    <row r="561" spans="1:52" ht="15" customHeight="1" x14ac:dyDescent="0.35">
      <c r="A561" s="1" t="s">
        <v>1919</v>
      </c>
      <c r="B561" s="1" t="s">
        <v>292</v>
      </c>
      <c r="C561" s="1" t="s">
        <v>640</v>
      </c>
      <c r="D561" s="1"/>
      <c r="E561" s="1" t="s">
        <v>1897</v>
      </c>
      <c r="F561" s="9" t="s">
        <v>1920</v>
      </c>
      <c r="G561" s="1" t="s">
        <v>38</v>
      </c>
      <c r="H5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1" s="11">
        <f>0</f>
        <v>0</v>
      </c>
      <c r="J561" s="1">
        <f>0</f>
        <v>0</v>
      </c>
      <c r="K561" s="1"/>
      <c r="L561" s="1">
        <v>0</v>
      </c>
      <c r="M561" s="1">
        <f>0</f>
        <v>0</v>
      </c>
      <c r="N561" s="1">
        <f>0</f>
        <v>0</v>
      </c>
      <c r="O561" s="1">
        <f>0</f>
        <v>0</v>
      </c>
      <c r="P561" s="1"/>
      <c r="Q561" s="1">
        <v>0</v>
      </c>
      <c r="R561" s="1">
        <v>0</v>
      </c>
      <c r="S561" s="1">
        <f>0</f>
        <v>0</v>
      </c>
      <c r="T561" s="1">
        <f>0</f>
        <v>0</v>
      </c>
      <c r="U561" s="1"/>
      <c r="V561" s="1">
        <v>0</v>
      </c>
      <c r="W561" s="1">
        <v>0</v>
      </c>
      <c r="X561" s="1">
        <f>0</f>
        <v>0</v>
      </c>
      <c r="Y561" s="1">
        <f>0</f>
        <v>0</v>
      </c>
      <c r="Z561" s="1">
        <f>0</f>
        <v>0</v>
      </c>
      <c r="AA561" s="1"/>
      <c r="AB561" s="5"/>
      <c r="AC561" s="5"/>
      <c r="AD561" s="1">
        <f>0</f>
        <v>0</v>
      </c>
      <c r="AE561" s="1">
        <f>0</f>
        <v>0</v>
      </c>
      <c r="AF561" s="1">
        <f>0</f>
        <v>0</v>
      </c>
      <c r="AG561" s="1">
        <f>0</f>
        <v>0</v>
      </c>
      <c r="AH561" s="1">
        <f>0</f>
        <v>0</v>
      </c>
      <c r="AI561" s="1">
        <f>0</f>
        <v>0</v>
      </c>
      <c r="AJ561" s="1"/>
      <c r="AK561" s="1" t="b">
        <v>1</v>
      </c>
      <c r="AL561" s="1"/>
      <c r="AM561" s="1"/>
      <c r="AN561" s="1"/>
      <c r="AO561" s="1"/>
      <c r="AP561" s="1"/>
      <c r="AQ561" s="1"/>
      <c r="AR561" s="1"/>
      <c r="AS561" s="1"/>
      <c r="AT561" s="1"/>
      <c r="AU561" s="1"/>
      <c r="AV561" s="1"/>
      <c r="AW561" s="1"/>
      <c r="AX561" s="1"/>
      <c r="AY561" s="1"/>
      <c r="AZ561" s="1"/>
    </row>
    <row r="562" spans="1:52" ht="15" customHeight="1" x14ac:dyDescent="0.35">
      <c r="A562" s="1" t="s">
        <v>1921</v>
      </c>
      <c r="B562" s="1" t="s">
        <v>293</v>
      </c>
      <c r="C562" s="1" t="s">
        <v>640</v>
      </c>
      <c r="D562" s="1"/>
      <c r="E562" s="1" t="s">
        <v>1897</v>
      </c>
      <c r="F562" s="9" t="s">
        <v>1922</v>
      </c>
      <c r="G562" s="1" t="s">
        <v>38</v>
      </c>
      <c r="H5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2" s="11">
        <f>0</f>
        <v>0</v>
      </c>
      <c r="J562" s="1">
        <f>0</f>
        <v>0</v>
      </c>
      <c r="K562" s="1"/>
      <c r="L562" s="1">
        <v>0</v>
      </c>
      <c r="M562" s="1">
        <f>0</f>
        <v>0</v>
      </c>
      <c r="N562" s="1">
        <f>0</f>
        <v>0</v>
      </c>
      <c r="O562" s="1">
        <f>0</f>
        <v>0</v>
      </c>
      <c r="P562" s="1"/>
      <c r="Q562" s="1">
        <v>0</v>
      </c>
      <c r="R562" s="1">
        <v>0</v>
      </c>
      <c r="S562" s="1">
        <f>0</f>
        <v>0</v>
      </c>
      <c r="T562" s="1">
        <f>0</f>
        <v>0</v>
      </c>
      <c r="U562" s="1"/>
      <c r="V562" s="1">
        <v>0</v>
      </c>
      <c r="W562" s="1">
        <v>0</v>
      </c>
      <c r="X562" s="1">
        <f>0</f>
        <v>0</v>
      </c>
      <c r="Y562" s="1">
        <f>0</f>
        <v>0</v>
      </c>
      <c r="Z562" s="1">
        <f>0</f>
        <v>0</v>
      </c>
      <c r="AA562" s="1"/>
      <c r="AB562" s="5"/>
      <c r="AC562" s="5"/>
      <c r="AD562" s="1">
        <f>0</f>
        <v>0</v>
      </c>
      <c r="AE562" s="1">
        <f>0</f>
        <v>0</v>
      </c>
      <c r="AF562" s="1">
        <f>0</f>
        <v>0</v>
      </c>
      <c r="AG562" s="1">
        <f>0</f>
        <v>0</v>
      </c>
      <c r="AH562" s="1">
        <f>0</f>
        <v>0</v>
      </c>
      <c r="AI562" s="1">
        <f>0</f>
        <v>0</v>
      </c>
      <c r="AJ562" s="1"/>
      <c r="AK562" s="1" t="b">
        <v>1</v>
      </c>
      <c r="AL562" s="1"/>
      <c r="AM562" s="1"/>
      <c r="AN562" s="1"/>
      <c r="AO562" s="1"/>
      <c r="AP562" s="1"/>
      <c r="AQ562" s="1"/>
      <c r="AR562" s="1"/>
      <c r="AS562" s="1"/>
      <c r="AT562" s="1"/>
      <c r="AU562" s="1"/>
      <c r="AV562" s="1"/>
      <c r="AW562" s="1"/>
      <c r="AX562" s="1"/>
      <c r="AY562" s="1"/>
      <c r="AZ562" s="1"/>
    </row>
    <row r="563" spans="1:52" ht="15" customHeight="1" x14ac:dyDescent="0.35">
      <c r="A563" s="1" t="s">
        <v>1923</v>
      </c>
      <c r="B563" s="1" t="s">
        <v>294</v>
      </c>
      <c r="C563" s="1" t="s">
        <v>640</v>
      </c>
      <c r="D563" s="1"/>
      <c r="E563" s="1" t="s">
        <v>1897</v>
      </c>
      <c r="F563" s="9" t="s">
        <v>1924</v>
      </c>
      <c r="G563" s="1" t="s">
        <v>38</v>
      </c>
      <c r="H5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3" s="11">
        <f>0</f>
        <v>0</v>
      </c>
      <c r="J563" s="1">
        <f>0</f>
        <v>0</v>
      </c>
      <c r="K563" s="1"/>
      <c r="L563" s="1">
        <v>0</v>
      </c>
      <c r="M563" s="1">
        <f>0</f>
        <v>0</v>
      </c>
      <c r="N563" s="1">
        <f>0</f>
        <v>0</v>
      </c>
      <c r="O563" s="1">
        <f>0</f>
        <v>0</v>
      </c>
      <c r="P563" s="1"/>
      <c r="Q563" s="1">
        <v>0</v>
      </c>
      <c r="R563" s="1">
        <v>0</v>
      </c>
      <c r="S563" s="1">
        <f>0</f>
        <v>0</v>
      </c>
      <c r="T563" s="1">
        <f>0</f>
        <v>0</v>
      </c>
      <c r="U563" s="1"/>
      <c r="V563" s="1">
        <v>0</v>
      </c>
      <c r="W563" s="1">
        <v>0</v>
      </c>
      <c r="X563" s="1">
        <f>0</f>
        <v>0</v>
      </c>
      <c r="Y563" s="1">
        <f>0</f>
        <v>0</v>
      </c>
      <c r="Z563" s="1">
        <f>0</f>
        <v>0</v>
      </c>
      <c r="AA563" s="1"/>
      <c r="AB563" s="5"/>
      <c r="AC563" s="5"/>
      <c r="AD563" s="1">
        <f>0</f>
        <v>0</v>
      </c>
      <c r="AE563" s="1">
        <f>0</f>
        <v>0</v>
      </c>
      <c r="AF563" s="1">
        <f>0</f>
        <v>0</v>
      </c>
      <c r="AG563" s="1">
        <f>0</f>
        <v>0</v>
      </c>
      <c r="AH563" s="1">
        <f>0</f>
        <v>0</v>
      </c>
      <c r="AI563" s="1">
        <f>0</f>
        <v>0</v>
      </c>
      <c r="AJ563" s="1"/>
      <c r="AK563" s="1" t="b">
        <v>1</v>
      </c>
      <c r="AL563" s="1"/>
      <c r="AM563" s="1"/>
      <c r="AN563" s="1"/>
      <c r="AO563" s="1"/>
      <c r="AP563" s="1"/>
      <c r="AQ563" s="1"/>
      <c r="AR563" s="1"/>
      <c r="AS563" s="1"/>
      <c r="AT563" s="1"/>
      <c r="AU563" s="1"/>
      <c r="AV563" s="1"/>
      <c r="AW563" s="1"/>
      <c r="AX563" s="1"/>
      <c r="AY563" s="1"/>
      <c r="AZ563" s="1"/>
    </row>
    <row r="564" spans="1:52" ht="15" customHeight="1" x14ac:dyDescent="0.35">
      <c r="A564" s="1" t="s">
        <v>1925</v>
      </c>
      <c r="B564" s="1" t="s">
        <v>295</v>
      </c>
      <c r="C564" s="1" t="s">
        <v>640</v>
      </c>
      <c r="D564" s="1"/>
      <c r="E564" s="1" t="s">
        <v>1897</v>
      </c>
      <c r="F564" s="9" t="s">
        <v>1926</v>
      </c>
      <c r="G564" s="1" t="s">
        <v>38</v>
      </c>
      <c r="H5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4" s="11">
        <f>0</f>
        <v>0</v>
      </c>
      <c r="J564" s="1">
        <f>0</f>
        <v>0</v>
      </c>
      <c r="K564" s="1"/>
      <c r="L564" s="1">
        <v>0</v>
      </c>
      <c r="M564" s="1">
        <f>0</f>
        <v>0</v>
      </c>
      <c r="N564" s="1">
        <f>0</f>
        <v>0</v>
      </c>
      <c r="O564" s="1">
        <f>0</f>
        <v>0</v>
      </c>
      <c r="P564" s="1"/>
      <c r="Q564" s="1">
        <v>0</v>
      </c>
      <c r="R564" s="1">
        <v>0</v>
      </c>
      <c r="S564" s="1">
        <f>0</f>
        <v>0</v>
      </c>
      <c r="T564" s="1">
        <f>0</f>
        <v>0</v>
      </c>
      <c r="U564" s="1"/>
      <c r="V564" s="1">
        <v>0</v>
      </c>
      <c r="W564" s="1">
        <v>0</v>
      </c>
      <c r="X564" s="1">
        <f>0</f>
        <v>0</v>
      </c>
      <c r="Y564" s="1">
        <f>0</f>
        <v>0</v>
      </c>
      <c r="Z564" s="1">
        <f>0</f>
        <v>0</v>
      </c>
      <c r="AA564" s="1"/>
      <c r="AB564" s="5"/>
      <c r="AC564" s="5"/>
      <c r="AD564" s="1">
        <f>0</f>
        <v>0</v>
      </c>
      <c r="AE564" s="1">
        <f>0</f>
        <v>0</v>
      </c>
      <c r="AF564" s="1">
        <f>0</f>
        <v>0</v>
      </c>
      <c r="AG564" s="1">
        <f>0</f>
        <v>0</v>
      </c>
      <c r="AH564" s="1">
        <f>0</f>
        <v>0</v>
      </c>
      <c r="AI564" s="1">
        <f>0</f>
        <v>0</v>
      </c>
      <c r="AJ564" s="1"/>
      <c r="AK564" s="1" t="b">
        <v>1</v>
      </c>
      <c r="AL564" s="1"/>
      <c r="AM564" s="1"/>
      <c r="AN564" s="1"/>
      <c r="AO564" s="1"/>
      <c r="AP564" s="1"/>
      <c r="AQ564" s="1"/>
      <c r="AR564" s="1"/>
      <c r="AS564" s="1"/>
      <c r="AT564" s="1"/>
      <c r="AU564" s="1"/>
      <c r="AV564" s="1"/>
      <c r="AW564" s="1"/>
      <c r="AX564" s="1"/>
      <c r="AY564" s="1"/>
      <c r="AZ564" s="1"/>
    </row>
    <row r="565" spans="1:52" ht="15" customHeight="1" x14ac:dyDescent="0.35">
      <c r="A565" s="1" t="s">
        <v>1927</v>
      </c>
      <c r="B565" s="1" t="s">
        <v>296</v>
      </c>
      <c r="C565" s="1" t="s">
        <v>640</v>
      </c>
      <c r="D565" s="1"/>
      <c r="E565" s="1" t="s">
        <v>1897</v>
      </c>
      <c r="F565" s="9" t="s">
        <v>1928</v>
      </c>
      <c r="G565" s="1" t="s">
        <v>38</v>
      </c>
      <c r="H5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5" s="11">
        <f>0</f>
        <v>0</v>
      </c>
      <c r="J565" s="1">
        <f>0</f>
        <v>0</v>
      </c>
      <c r="K565" s="1"/>
      <c r="L565" s="1">
        <v>0</v>
      </c>
      <c r="M565" s="1">
        <f>0</f>
        <v>0</v>
      </c>
      <c r="N565" s="1">
        <f>0</f>
        <v>0</v>
      </c>
      <c r="O565" s="1">
        <f>0</f>
        <v>0</v>
      </c>
      <c r="P565" s="1"/>
      <c r="Q565" s="1">
        <v>0</v>
      </c>
      <c r="R565" s="1">
        <v>0</v>
      </c>
      <c r="S565" s="1">
        <f>0</f>
        <v>0</v>
      </c>
      <c r="T565" s="1">
        <f>0</f>
        <v>0</v>
      </c>
      <c r="U565" s="1"/>
      <c r="V565" s="1">
        <v>0</v>
      </c>
      <c r="W565" s="1">
        <v>0</v>
      </c>
      <c r="X565" s="1">
        <f>0</f>
        <v>0</v>
      </c>
      <c r="Y565" s="1">
        <f>0</f>
        <v>0</v>
      </c>
      <c r="Z565" s="1">
        <f>0</f>
        <v>0</v>
      </c>
      <c r="AA565" s="1"/>
      <c r="AB565" s="5"/>
      <c r="AC565" s="5"/>
      <c r="AD565" s="1">
        <f>0</f>
        <v>0</v>
      </c>
      <c r="AE565" s="1">
        <f>0</f>
        <v>0</v>
      </c>
      <c r="AF565" s="1">
        <f>0</f>
        <v>0</v>
      </c>
      <c r="AG565" s="1">
        <f>0</f>
        <v>0</v>
      </c>
      <c r="AH565" s="1">
        <f>0</f>
        <v>0</v>
      </c>
      <c r="AI565" s="1">
        <f>0</f>
        <v>0</v>
      </c>
      <c r="AJ565" s="1"/>
      <c r="AK565" s="1" t="b">
        <v>1</v>
      </c>
      <c r="AL565" s="1"/>
      <c r="AM565" s="1"/>
      <c r="AN565" s="1"/>
      <c r="AO565" s="1"/>
      <c r="AP565" s="1"/>
      <c r="AQ565" s="1"/>
      <c r="AR565" s="1"/>
      <c r="AS565" s="1"/>
      <c r="AT565" s="1"/>
      <c r="AU565" s="1"/>
      <c r="AV565" s="1"/>
      <c r="AW565" s="1"/>
      <c r="AX565" s="1"/>
      <c r="AY565" s="1"/>
      <c r="AZ565" s="1"/>
    </row>
    <row r="566" spans="1:52" ht="15" customHeight="1" x14ac:dyDescent="0.35">
      <c r="A566" s="1" t="s">
        <v>1929</v>
      </c>
      <c r="B566" s="1" t="s">
        <v>297</v>
      </c>
      <c r="C566" s="1" t="s">
        <v>640</v>
      </c>
      <c r="D566" s="1"/>
      <c r="E566" s="1" t="s">
        <v>1897</v>
      </c>
      <c r="F566" s="9" t="s">
        <v>1930</v>
      </c>
      <c r="G566" s="1" t="s">
        <v>38</v>
      </c>
      <c r="H5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6" s="11">
        <f>0</f>
        <v>0</v>
      </c>
      <c r="J566" s="1">
        <f>0</f>
        <v>0</v>
      </c>
      <c r="K566" s="1"/>
      <c r="L566" s="1">
        <v>0</v>
      </c>
      <c r="M566" s="1">
        <f>0</f>
        <v>0</v>
      </c>
      <c r="N566" s="1">
        <f>0</f>
        <v>0</v>
      </c>
      <c r="O566" s="1">
        <f>0</f>
        <v>0</v>
      </c>
      <c r="P566" s="1"/>
      <c r="Q566" s="1">
        <v>0</v>
      </c>
      <c r="R566" s="1">
        <v>0</v>
      </c>
      <c r="S566" s="1">
        <f>0</f>
        <v>0</v>
      </c>
      <c r="T566" s="1">
        <f>0</f>
        <v>0</v>
      </c>
      <c r="U566" s="1"/>
      <c r="V566" s="1">
        <v>0</v>
      </c>
      <c r="W566" s="1">
        <v>0</v>
      </c>
      <c r="X566" s="1">
        <f>0</f>
        <v>0</v>
      </c>
      <c r="Y566" s="1">
        <f>0</f>
        <v>0</v>
      </c>
      <c r="Z566" s="1">
        <f>0</f>
        <v>0</v>
      </c>
      <c r="AA566" s="1"/>
      <c r="AB566" s="5"/>
      <c r="AC566" s="5"/>
      <c r="AD566" s="1">
        <f>0</f>
        <v>0</v>
      </c>
      <c r="AE566" s="1">
        <f>0</f>
        <v>0</v>
      </c>
      <c r="AF566" s="1">
        <f>0</f>
        <v>0</v>
      </c>
      <c r="AG566" s="1">
        <f>0</f>
        <v>0</v>
      </c>
      <c r="AH566" s="1">
        <f>0</f>
        <v>0</v>
      </c>
      <c r="AI566" s="1">
        <f>0</f>
        <v>0</v>
      </c>
      <c r="AJ566" s="1"/>
      <c r="AK566" s="1" t="b">
        <v>1</v>
      </c>
      <c r="AL566" s="1"/>
      <c r="AM566" s="1"/>
      <c r="AN566" s="1"/>
      <c r="AO566" s="1"/>
      <c r="AP566" s="1"/>
      <c r="AQ566" s="1"/>
      <c r="AR566" s="1"/>
      <c r="AS566" s="1"/>
      <c r="AT566" s="1"/>
      <c r="AU566" s="1"/>
      <c r="AV566" s="1"/>
      <c r="AW566" s="1"/>
      <c r="AX566" s="1"/>
      <c r="AY566" s="1"/>
      <c r="AZ566" s="1"/>
    </row>
    <row r="567" spans="1:52" ht="15" customHeight="1" x14ac:dyDescent="0.35">
      <c r="A567" s="1" t="s">
        <v>1931</v>
      </c>
      <c r="B567" s="1" t="s">
        <v>298</v>
      </c>
      <c r="C567" s="1" t="s">
        <v>640</v>
      </c>
      <c r="D567" s="1"/>
      <c r="E567" s="1" t="s">
        <v>1897</v>
      </c>
      <c r="F567" s="9" t="s">
        <v>1932</v>
      </c>
      <c r="G567" s="1" t="s">
        <v>38</v>
      </c>
      <c r="H5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7" s="11">
        <f>0</f>
        <v>0</v>
      </c>
      <c r="J567" s="1">
        <f>0</f>
        <v>0</v>
      </c>
      <c r="K567" s="1"/>
      <c r="L567" s="1">
        <v>0</v>
      </c>
      <c r="M567" s="1">
        <f>0</f>
        <v>0</v>
      </c>
      <c r="N567" s="1">
        <f>0</f>
        <v>0</v>
      </c>
      <c r="O567" s="1">
        <f>0</f>
        <v>0</v>
      </c>
      <c r="P567" s="1"/>
      <c r="Q567" s="1">
        <v>0</v>
      </c>
      <c r="R567" s="1">
        <v>0</v>
      </c>
      <c r="S567" s="1">
        <f>0</f>
        <v>0</v>
      </c>
      <c r="T567" s="1">
        <f>0</f>
        <v>0</v>
      </c>
      <c r="U567" s="1"/>
      <c r="V567" s="1">
        <v>0</v>
      </c>
      <c r="W567" s="1">
        <v>0</v>
      </c>
      <c r="X567" s="1">
        <f>0</f>
        <v>0</v>
      </c>
      <c r="Y567" s="1">
        <f>0</f>
        <v>0</v>
      </c>
      <c r="Z567" s="1">
        <f>0</f>
        <v>0</v>
      </c>
      <c r="AA567" s="1"/>
      <c r="AB567" s="5"/>
      <c r="AC567" s="5"/>
      <c r="AD567" s="1">
        <f>0</f>
        <v>0</v>
      </c>
      <c r="AE567" s="1">
        <f>0</f>
        <v>0</v>
      </c>
      <c r="AF567" s="1">
        <f>0</f>
        <v>0</v>
      </c>
      <c r="AG567" s="1">
        <f>0</f>
        <v>0</v>
      </c>
      <c r="AH567" s="1">
        <f>0</f>
        <v>0</v>
      </c>
      <c r="AI567" s="1">
        <f>0</f>
        <v>0</v>
      </c>
      <c r="AJ567" s="1"/>
      <c r="AK567" s="1" t="b">
        <v>1</v>
      </c>
      <c r="AL567" s="1"/>
      <c r="AM567" s="1"/>
      <c r="AN567" s="1"/>
      <c r="AO567" s="1"/>
      <c r="AP567" s="1"/>
      <c r="AQ567" s="1"/>
      <c r="AR567" s="1"/>
      <c r="AS567" s="1"/>
      <c r="AT567" s="1"/>
      <c r="AU567" s="1"/>
      <c r="AV567" s="1"/>
      <c r="AW567" s="1"/>
      <c r="AX567" s="1"/>
      <c r="AY567" s="1"/>
      <c r="AZ567" s="1"/>
    </row>
    <row r="568" spans="1:52" ht="15" customHeight="1" x14ac:dyDescent="0.35">
      <c r="A568" s="1" t="s">
        <v>1933</v>
      </c>
      <c r="B568" s="1" t="s">
        <v>299</v>
      </c>
      <c r="C568" s="1" t="s">
        <v>640</v>
      </c>
      <c r="D568" s="1"/>
      <c r="E568" s="1" t="s">
        <v>1897</v>
      </c>
      <c r="F568" s="9" t="s">
        <v>1934</v>
      </c>
      <c r="G568" s="1" t="s">
        <v>38</v>
      </c>
      <c r="H5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8" s="11">
        <f>0</f>
        <v>0</v>
      </c>
      <c r="J568" s="1">
        <f>0</f>
        <v>0</v>
      </c>
      <c r="K568" s="1"/>
      <c r="L568" s="1">
        <v>0</v>
      </c>
      <c r="M568" s="1">
        <f>0</f>
        <v>0</v>
      </c>
      <c r="N568" s="1">
        <f>0</f>
        <v>0</v>
      </c>
      <c r="O568" s="1">
        <f>0</f>
        <v>0</v>
      </c>
      <c r="P568" s="1"/>
      <c r="Q568" s="1">
        <v>0</v>
      </c>
      <c r="R568" s="1">
        <v>0</v>
      </c>
      <c r="S568" s="1">
        <f>0</f>
        <v>0</v>
      </c>
      <c r="T568" s="1">
        <f>0</f>
        <v>0</v>
      </c>
      <c r="U568" s="1"/>
      <c r="V568" s="1">
        <v>0</v>
      </c>
      <c r="W568" s="1">
        <v>0</v>
      </c>
      <c r="X568" s="1">
        <f>0</f>
        <v>0</v>
      </c>
      <c r="Y568" s="1">
        <f>0</f>
        <v>0</v>
      </c>
      <c r="Z568" s="1">
        <f>0</f>
        <v>0</v>
      </c>
      <c r="AA568" s="1"/>
      <c r="AB568" s="5"/>
      <c r="AC568" s="5"/>
      <c r="AD568" s="1">
        <f>0</f>
        <v>0</v>
      </c>
      <c r="AE568" s="1">
        <f>0</f>
        <v>0</v>
      </c>
      <c r="AF568" s="1">
        <f>0</f>
        <v>0</v>
      </c>
      <c r="AG568" s="1">
        <f>0</f>
        <v>0</v>
      </c>
      <c r="AH568" s="1">
        <f>0</f>
        <v>0</v>
      </c>
      <c r="AI568" s="1">
        <f>0</f>
        <v>0</v>
      </c>
      <c r="AJ568" s="1"/>
      <c r="AK568" s="1" t="b">
        <v>1</v>
      </c>
      <c r="AL568" s="1"/>
      <c r="AM568" s="1"/>
      <c r="AN568" s="1"/>
      <c r="AO568" s="1"/>
      <c r="AP568" s="1"/>
      <c r="AQ568" s="1"/>
      <c r="AR568" s="1"/>
      <c r="AS568" s="1"/>
      <c r="AT568" s="1"/>
      <c r="AU568" s="1"/>
      <c r="AV568" s="1"/>
      <c r="AW568" s="1"/>
      <c r="AX568" s="1"/>
      <c r="AY568" s="1"/>
      <c r="AZ568" s="1"/>
    </row>
    <row r="569" spans="1:52" ht="15" customHeight="1" x14ac:dyDescent="0.35">
      <c r="A569" s="1" t="s">
        <v>1935</v>
      </c>
      <c r="B569" s="1" t="s">
        <v>300</v>
      </c>
      <c r="C569" s="1" t="s">
        <v>640</v>
      </c>
      <c r="D569" s="1"/>
      <c r="E569" s="1" t="s">
        <v>1897</v>
      </c>
      <c r="F569" s="9" t="s">
        <v>1936</v>
      </c>
      <c r="G569" s="1" t="s">
        <v>38</v>
      </c>
      <c r="H5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69" s="11">
        <f>0</f>
        <v>0</v>
      </c>
      <c r="J569" s="1">
        <f>0</f>
        <v>0</v>
      </c>
      <c r="K569" s="1"/>
      <c r="L569" s="1">
        <v>0</v>
      </c>
      <c r="M569" s="1">
        <f>0</f>
        <v>0</v>
      </c>
      <c r="N569" s="1">
        <f>0</f>
        <v>0</v>
      </c>
      <c r="O569" s="1">
        <f>0</f>
        <v>0</v>
      </c>
      <c r="P569" s="1"/>
      <c r="Q569" s="1">
        <v>0</v>
      </c>
      <c r="R569" s="1">
        <v>0</v>
      </c>
      <c r="S569" s="1">
        <f>0</f>
        <v>0</v>
      </c>
      <c r="T569" s="1">
        <f>0</f>
        <v>0</v>
      </c>
      <c r="U569" s="1"/>
      <c r="V569" s="1">
        <v>0</v>
      </c>
      <c r="W569" s="1">
        <v>0</v>
      </c>
      <c r="X569" s="1">
        <f>0</f>
        <v>0</v>
      </c>
      <c r="Y569" s="1">
        <f>0</f>
        <v>0</v>
      </c>
      <c r="Z569" s="1">
        <f>0</f>
        <v>0</v>
      </c>
      <c r="AA569" s="1"/>
      <c r="AB569" s="5"/>
      <c r="AC569" s="5"/>
      <c r="AD569" s="1">
        <f>0</f>
        <v>0</v>
      </c>
      <c r="AE569" s="1">
        <f>0</f>
        <v>0</v>
      </c>
      <c r="AF569" s="1">
        <f>0</f>
        <v>0</v>
      </c>
      <c r="AG569" s="1">
        <f>0</f>
        <v>0</v>
      </c>
      <c r="AH569" s="1">
        <f>0</f>
        <v>0</v>
      </c>
      <c r="AI569" s="1">
        <f>0</f>
        <v>0</v>
      </c>
      <c r="AJ569" s="1"/>
      <c r="AK569" s="1" t="b">
        <v>1</v>
      </c>
      <c r="AL569" s="1"/>
      <c r="AM569" s="1"/>
      <c r="AN569" s="1"/>
      <c r="AO569" s="1"/>
      <c r="AP569" s="1"/>
      <c r="AQ569" s="1"/>
      <c r="AR569" s="1"/>
      <c r="AS569" s="1"/>
      <c r="AT569" s="1"/>
      <c r="AU569" s="1"/>
      <c r="AV569" s="1"/>
      <c r="AW569" s="1"/>
      <c r="AX569" s="1"/>
      <c r="AY569" s="1"/>
      <c r="AZ569" s="1"/>
    </row>
    <row r="570" spans="1:52" ht="15" customHeight="1" x14ac:dyDescent="0.35">
      <c r="A570" s="1" t="s">
        <v>1937</v>
      </c>
      <c r="B570" s="1" t="s">
        <v>301</v>
      </c>
      <c r="C570" s="1" t="s">
        <v>640</v>
      </c>
      <c r="D570" s="1"/>
      <c r="E570" s="1" t="s">
        <v>1897</v>
      </c>
      <c r="F570" s="9" t="s">
        <v>1938</v>
      </c>
      <c r="G570" s="1" t="s">
        <v>38</v>
      </c>
      <c r="H5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0" s="11">
        <f>0</f>
        <v>0</v>
      </c>
      <c r="J570" s="1">
        <f>0</f>
        <v>0</v>
      </c>
      <c r="K570" s="1"/>
      <c r="L570" s="1">
        <v>0</v>
      </c>
      <c r="M570" s="1">
        <f>0</f>
        <v>0</v>
      </c>
      <c r="N570" s="1">
        <f>0</f>
        <v>0</v>
      </c>
      <c r="O570" s="1">
        <f>0</f>
        <v>0</v>
      </c>
      <c r="P570" s="1"/>
      <c r="Q570" s="1">
        <v>0</v>
      </c>
      <c r="R570" s="1">
        <v>0</v>
      </c>
      <c r="S570" s="1">
        <f>0</f>
        <v>0</v>
      </c>
      <c r="T570" s="1">
        <f>0</f>
        <v>0</v>
      </c>
      <c r="U570" s="1"/>
      <c r="V570" s="1">
        <v>0</v>
      </c>
      <c r="W570" s="1">
        <v>0</v>
      </c>
      <c r="X570" s="1">
        <f>0</f>
        <v>0</v>
      </c>
      <c r="Y570" s="1">
        <f>0</f>
        <v>0</v>
      </c>
      <c r="Z570" s="1">
        <f>0</f>
        <v>0</v>
      </c>
      <c r="AA570" s="1"/>
      <c r="AB570" s="5"/>
      <c r="AC570" s="5"/>
      <c r="AD570" s="1">
        <f>0</f>
        <v>0</v>
      </c>
      <c r="AE570" s="1">
        <f>0</f>
        <v>0</v>
      </c>
      <c r="AF570" s="1">
        <f>0</f>
        <v>0</v>
      </c>
      <c r="AG570" s="1">
        <f>0</f>
        <v>0</v>
      </c>
      <c r="AH570" s="1">
        <f>0</f>
        <v>0</v>
      </c>
      <c r="AI570" s="1">
        <f>0</f>
        <v>0</v>
      </c>
      <c r="AJ570" s="1"/>
      <c r="AK570" s="1" t="b">
        <v>1</v>
      </c>
      <c r="AL570" s="1"/>
      <c r="AM570" s="1"/>
      <c r="AN570" s="1"/>
      <c r="AO570" s="1"/>
      <c r="AP570" s="1"/>
      <c r="AQ570" s="1"/>
      <c r="AR570" s="1"/>
      <c r="AS570" s="1"/>
      <c r="AT570" s="1"/>
      <c r="AU570" s="1"/>
      <c r="AV570" s="1"/>
      <c r="AW570" s="1"/>
      <c r="AX570" s="1"/>
      <c r="AY570" s="1"/>
      <c r="AZ570" s="1"/>
    </row>
    <row r="571" spans="1:52" ht="15" customHeight="1" x14ac:dyDescent="0.35">
      <c r="A571" s="1" t="s">
        <v>1939</v>
      </c>
      <c r="B571" s="1" t="s">
        <v>302</v>
      </c>
      <c r="C571" s="1" t="s">
        <v>640</v>
      </c>
      <c r="D571" s="1"/>
      <c r="E571" s="1" t="s">
        <v>1897</v>
      </c>
      <c r="F571" s="9" t="s">
        <v>1940</v>
      </c>
      <c r="G571" s="1" t="s">
        <v>38</v>
      </c>
      <c r="H5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1" s="11">
        <f>0</f>
        <v>0</v>
      </c>
      <c r="J571" s="1">
        <f>0</f>
        <v>0</v>
      </c>
      <c r="K571" s="1"/>
      <c r="L571" s="1">
        <v>0</v>
      </c>
      <c r="M571" s="1">
        <f>0</f>
        <v>0</v>
      </c>
      <c r="N571" s="1">
        <f>0</f>
        <v>0</v>
      </c>
      <c r="O571" s="1">
        <f>0</f>
        <v>0</v>
      </c>
      <c r="P571" s="1"/>
      <c r="Q571" s="1">
        <v>0</v>
      </c>
      <c r="R571" s="1">
        <v>0</v>
      </c>
      <c r="S571" s="1">
        <f>0</f>
        <v>0</v>
      </c>
      <c r="T571" s="1">
        <f>0</f>
        <v>0</v>
      </c>
      <c r="U571" s="1"/>
      <c r="V571" s="1">
        <v>0</v>
      </c>
      <c r="W571" s="1">
        <v>0</v>
      </c>
      <c r="X571" s="1">
        <f>0</f>
        <v>0</v>
      </c>
      <c r="Y571" s="1">
        <f>0</f>
        <v>0</v>
      </c>
      <c r="Z571" s="1">
        <f>0</f>
        <v>0</v>
      </c>
      <c r="AA571" s="1"/>
      <c r="AB571" s="5"/>
      <c r="AC571" s="5"/>
      <c r="AD571" s="1">
        <f>0</f>
        <v>0</v>
      </c>
      <c r="AE571" s="1">
        <f>0</f>
        <v>0</v>
      </c>
      <c r="AF571" s="1">
        <f>0</f>
        <v>0</v>
      </c>
      <c r="AG571" s="1">
        <f>0</f>
        <v>0</v>
      </c>
      <c r="AH571" s="1">
        <f>0</f>
        <v>0</v>
      </c>
      <c r="AI571" s="1">
        <f>0</f>
        <v>0</v>
      </c>
      <c r="AJ571" s="1"/>
      <c r="AK571" s="1" t="b">
        <v>1</v>
      </c>
      <c r="AL571" s="1"/>
      <c r="AM571" s="1"/>
      <c r="AN571" s="1"/>
      <c r="AO571" s="1"/>
      <c r="AP571" s="1"/>
      <c r="AQ571" s="1"/>
      <c r="AR571" s="1"/>
      <c r="AS571" s="1"/>
      <c r="AT571" s="1"/>
      <c r="AU571" s="1"/>
      <c r="AV571" s="1"/>
      <c r="AW571" s="1"/>
      <c r="AX571" s="1"/>
      <c r="AY571" s="1"/>
      <c r="AZ571" s="1"/>
    </row>
    <row r="572" spans="1:52" ht="15" customHeight="1" x14ac:dyDescent="0.35">
      <c r="A572" s="1" t="s">
        <v>1941</v>
      </c>
      <c r="B572" s="1" t="s">
        <v>303</v>
      </c>
      <c r="C572" s="1" t="s">
        <v>640</v>
      </c>
      <c r="D572" s="1"/>
      <c r="E572" s="1" t="s">
        <v>1897</v>
      </c>
      <c r="F572" s="9" t="s">
        <v>1942</v>
      </c>
      <c r="G572" s="1" t="s">
        <v>38</v>
      </c>
      <c r="H5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2" s="11">
        <f>0</f>
        <v>0</v>
      </c>
      <c r="J572" s="1">
        <f>0</f>
        <v>0</v>
      </c>
      <c r="K572" s="1"/>
      <c r="L572" s="1">
        <v>0</v>
      </c>
      <c r="M572" s="1">
        <f>0</f>
        <v>0</v>
      </c>
      <c r="N572" s="1">
        <f>0</f>
        <v>0</v>
      </c>
      <c r="O572" s="1">
        <f>0</f>
        <v>0</v>
      </c>
      <c r="P572" s="1"/>
      <c r="Q572" s="1">
        <v>0</v>
      </c>
      <c r="R572" s="1">
        <v>0</v>
      </c>
      <c r="S572" s="1">
        <f>0</f>
        <v>0</v>
      </c>
      <c r="T572" s="1">
        <f>0</f>
        <v>0</v>
      </c>
      <c r="U572" s="1"/>
      <c r="V572" s="1">
        <v>0</v>
      </c>
      <c r="W572" s="1">
        <v>0</v>
      </c>
      <c r="X572" s="1">
        <f>0</f>
        <v>0</v>
      </c>
      <c r="Y572" s="1">
        <f>0</f>
        <v>0</v>
      </c>
      <c r="Z572" s="1">
        <f>0</f>
        <v>0</v>
      </c>
      <c r="AA572" s="1"/>
      <c r="AB572" s="5"/>
      <c r="AC572" s="5"/>
      <c r="AD572" s="1">
        <f>0</f>
        <v>0</v>
      </c>
      <c r="AE572" s="1">
        <f>0</f>
        <v>0</v>
      </c>
      <c r="AF572" s="1">
        <f>0</f>
        <v>0</v>
      </c>
      <c r="AG572" s="1">
        <f>0</f>
        <v>0</v>
      </c>
      <c r="AH572" s="1">
        <f>0</f>
        <v>0</v>
      </c>
      <c r="AI572" s="1">
        <f>0</f>
        <v>0</v>
      </c>
      <c r="AJ572" s="1"/>
      <c r="AK572" s="1" t="b">
        <v>1</v>
      </c>
      <c r="AL572" s="1"/>
      <c r="AM572" s="1"/>
      <c r="AN572" s="1"/>
      <c r="AO572" s="1"/>
      <c r="AP572" s="1"/>
      <c r="AQ572" s="1"/>
      <c r="AR572" s="1"/>
      <c r="AS572" s="1"/>
      <c r="AT572" s="1"/>
      <c r="AU572" s="1"/>
      <c r="AV572" s="1"/>
      <c r="AW572" s="1"/>
      <c r="AX572" s="1"/>
      <c r="AY572" s="1"/>
      <c r="AZ572" s="1"/>
    </row>
    <row r="573" spans="1:52" ht="15" customHeight="1" x14ac:dyDescent="0.35">
      <c r="A573" s="1" t="s">
        <v>1943</v>
      </c>
      <c r="B573" s="1" t="s">
        <v>304</v>
      </c>
      <c r="C573" s="1" t="s">
        <v>640</v>
      </c>
      <c r="D573" s="1"/>
      <c r="E573" s="1" t="s">
        <v>1897</v>
      </c>
      <c r="F573" s="9" t="s">
        <v>1944</v>
      </c>
      <c r="G573" s="1" t="s">
        <v>38</v>
      </c>
      <c r="H5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3" s="11">
        <f>0</f>
        <v>0</v>
      </c>
      <c r="J573" s="1">
        <f>0</f>
        <v>0</v>
      </c>
      <c r="K573" s="1"/>
      <c r="L573" s="1">
        <v>0</v>
      </c>
      <c r="M573" s="1">
        <f>0</f>
        <v>0</v>
      </c>
      <c r="N573" s="1">
        <f>0</f>
        <v>0</v>
      </c>
      <c r="O573" s="1">
        <f>0</f>
        <v>0</v>
      </c>
      <c r="P573" s="1"/>
      <c r="Q573" s="1">
        <v>0</v>
      </c>
      <c r="R573" s="1">
        <v>0</v>
      </c>
      <c r="S573" s="1">
        <f>0</f>
        <v>0</v>
      </c>
      <c r="T573" s="1">
        <f>0</f>
        <v>0</v>
      </c>
      <c r="U573" s="1"/>
      <c r="V573" s="1">
        <v>0</v>
      </c>
      <c r="W573" s="1">
        <v>0</v>
      </c>
      <c r="X573" s="1">
        <f>0</f>
        <v>0</v>
      </c>
      <c r="Y573" s="1">
        <f>0</f>
        <v>0</v>
      </c>
      <c r="Z573" s="1">
        <f>0</f>
        <v>0</v>
      </c>
      <c r="AA573" s="1"/>
      <c r="AB573" s="5"/>
      <c r="AC573" s="5"/>
      <c r="AD573" s="1">
        <f>0</f>
        <v>0</v>
      </c>
      <c r="AE573" s="1">
        <f>0</f>
        <v>0</v>
      </c>
      <c r="AF573" s="1">
        <f>0</f>
        <v>0</v>
      </c>
      <c r="AG573" s="1">
        <f>0</f>
        <v>0</v>
      </c>
      <c r="AH573" s="1">
        <f>0</f>
        <v>0</v>
      </c>
      <c r="AI573" s="1">
        <f>0</f>
        <v>0</v>
      </c>
      <c r="AJ573" s="1"/>
      <c r="AK573" s="1" t="b">
        <v>1</v>
      </c>
      <c r="AL573" s="1"/>
      <c r="AM573" s="1"/>
      <c r="AN573" s="1"/>
      <c r="AO573" s="1"/>
      <c r="AP573" s="1"/>
      <c r="AQ573" s="1"/>
      <c r="AR573" s="1"/>
      <c r="AS573" s="1"/>
      <c r="AT573" s="1"/>
      <c r="AU573" s="1"/>
      <c r="AV573" s="1"/>
      <c r="AW573" s="1"/>
      <c r="AX573" s="1"/>
      <c r="AY573" s="1"/>
      <c r="AZ573" s="1"/>
    </row>
    <row r="574" spans="1:52" ht="15" customHeight="1" x14ac:dyDescent="0.35">
      <c r="A574" s="1" t="s">
        <v>1945</v>
      </c>
      <c r="B574" s="1" t="s">
        <v>305</v>
      </c>
      <c r="C574" s="1" t="s">
        <v>640</v>
      </c>
      <c r="D574" s="1"/>
      <c r="E574" s="1" t="s">
        <v>1897</v>
      </c>
      <c r="F574" s="9" t="s">
        <v>1946</v>
      </c>
      <c r="G574" s="1" t="s">
        <v>38</v>
      </c>
      <c r="H5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4" s="11">
        <f>0</f>
        <v>0</v>
      </c>
      <c r="J574" s="1">
        <f>0</f>
        <v>0</v>
      </c>
      <c r="K574" s="1"/>
      <c r="L574" s="1">
        <v>0</v>
      </c>
      <c r="M574" s="1">
        <f>0</f>
        <v>0</v>
      </c>
      <c r="N574" s="1">
        <f>0</f>
        <v>0</v>
      </c>
      <c r="O574" s="1">
        <f>0</f>
        <v>0</v>
      </c>
      <c r="P574" s="1"/>
      <c r="Q574" s="1">
        <v>0</v>
      </c>
      <c r="R574" s="1">
        <v>0</v>
      </c>
      <c r="S574" s="1">
        <f>0</f>
        <v>0</v>
      </c>
      <c r="T574" s="1">
        <f>0</f>
        <v>0</v>
      </c>
      <c r="U574" s="1"/>
      <c r="V574" s="1">
        <v>0</v>
      </c>
      <c r="W574" s="1">
        <v>0</v>
      </c>
      <c r="X574" s="1">
        <f>0</f>
        <v>0</v>
      </c>
      <c r="Y574" s="1">
        <f>0</f>
        <v>0</v>
      </c>
      <c r="Z574" s="1">
        <f>0</f>
        <v>0</v>
      </c>
      <c r="AA574" s="1"/>
      <c r="AB574" s="5"/>
      <c r="AC574" s="5"/>
      <c r="AD574" s="1">
        <f>0</f>
        <v>0</v>
      </c>
      <c r="AE574" s="1">
        <f>0</f>
        <v>0</v>
      </c>
      <c r="AF574" s="1">
        <f>0</f>
        <v>0</v>
      </c>
      <c r="AG574" s="1">
        <f>0</f>
        <v>0</v>
      </c>
      <c r="AH574" s="1">
        <f>0</f>
        <v>0</v>
      </c>
      <c r="AI574" s="1">
        <f>0</f>
        <v>0</v>
      </c>
      <c r="AJ574" s="1"/>
      <c r="AK574" s="1" t="b">
        <v>1</v>
      </c>
      <c r="AL574" s="1"/>
      <c r="AM574" s="1"/>
      <c r="AN574" s="1"/>
      <c r="AO574" s="1"/>
      <c r="AP574" s="1"/>
      <c r="AQ574" s="1"/>
      <c r="AR574" s="1"/>
      <c r="AS574" s="1"/>
      <c r="AT574" s="1"/>
      <c r="AU574" s="1"/>
      <c r="AV574" s="1"/>
      <c r="AW574" s="1"/>
      <c r="AX574" s="1"/>
      <c r="AY574" s="1"/>
      <c r="AZ574" s="1"/>
    </row>
    <row r="575" spans="1:52" ht="15" customHeight="1" x14ac:dyDescent="0.35">
      <c r="A575" s="1" t="s">
        <v>1947</v>
      </c>
      <c r="B575" s="1" t="s">
        <v>306</v>
      </c>
      <c r="C575" s="1" t="s">
        <v>640</v>
      </c>
      <c r="D575" s="1"/>
      <c r="E575" s="1" t="s">
        <v>1897</v>
      </c>
      <c r="F575" s="9" t="s">
        <v>1948</v>
      </c>
      <c r="G575" s="1" t="s">
        <v>38</v>
      </c>
      <c r="H5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5" s="11">
        <f>0</f>
        <v>0</v>
      </c>
      <c r="J575" s="1">
        <f>0</f>
        <v>0</v>
      </c>
      <c r="K575" s="1"/>
      <c r="L575" s="1">
        <v>0</v>
      </c>
      <c r="M575" s="1">
        <f>0</f>
        <v>0</v>
      </c>
      <c r="N575" s="1">
        <f>0</f>
        <v>0</v>
      </c>
      <c r="O575" s="1">
        <f>0</f>
        <v>0</v>
      </c>
      <c r="P575" s="1"/>
      <c r="Q575" s="1">
        <v>0</v>
      </c>
      <c r="R575" s="1">
        <v>0</v>
      </c>
      <c r="S575" s="1">
        <f>0</f>
        <v>0</v>
      </c>
      <c r="T575" s="1">
        <f>0</f>
        <v>0</v>
      </c>
      <c r="U575" s="1"/>
      <c r="V575" s="1">
        <v>0</v>
      </c>
      <c r="W575" s="1">
        <v>0</v>
      </c>
      <c r="X575" s="1">
        <f>0</f>
        <v>0</v>
      </c>
      <c r="Y575" s="1">
        <f>0</f>
        <v>0</v>
      </c>
      <c r="Z575" s="1">
        <f>0</f>
        <v>0</v>
      </c>
      <c r="AA575" s="1"/>
      <c r="AB575" s="5"/>
      <c r="AC575" s="5"/>
      <c r="AD575" s="1">
        <f>0</f>
        <v>0</v>
      </c>
      <c r="AE575" s="1">
        <f>0</f>
        <v>0</v>
      </c>
      <c r="AF575" s="1">
        <f>0</f>
        <v>0</v>
      </c>
      <c r="AG575" s="1">
        <f>0</f>
        <v>0</v>
      </c>
      <c r="AH575" s="1">
        <f>0</f>
        <v>0</v>
      </c>
      <c r="AI575" s="1">
        <f>0</f>
        <v>0</v>
      </c>
      <c r="AJ575" s="1"/>
      <c r="AK575" s="1" t="b">
        <v>1</v>
      </c>
      <c r="AL575" s="1"/>
      <c r="AM575" s="1"/>
      <c r="AN575" s="1"/>
      <c r="AO575" s="1"/>
      <c r="AP575" s="1"/>
      <c r="AQ575" s="1"/>
      <c r="AR575" s="1"/>
      <c r="AS575" s="1"/>
      <c r="AT575" s="1"/>
      <c r="AU575" s="1"/>
      <c r="AV575" s="1"/>
      <c r="AW575" s="1"/>
      <c r="AX575" s="1"/>
      <c r="AY575" s="1"/>
      <c r="AZ575" s="1"/>
    </row>
    <row r="576" spans="1:52" ht="15" customHeight="1" x14ac:dyDescent="0.35">
      <c r="A576" s="1" t="s">
        <v>1949</v>
      </c>
      <c r="B576" s="1" t="s">
        <v>307</v>
      </c>
      <c r="C576" s="1" t="s">
        <v>640</v>
      </c>
      <c r="D576" s="1"/>
      <c r="E576" s="1" t="s">
        <v>1897</v>
      </c>
      <c r="F576" s="9" t="s">
        <v>1950</v>
      </c>
      <c r="G576" s="1" t="s">
        <v>38</v>
      </c>
      <c r="H5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6" s="11">
        <f>0</f>
        <v>0</v>
      </c>
      <c r="J576" s="1">
        <f>0</f>
        <v>0</v>
      </c>
      <c r="K576" s="1"/>
      <c r="L576" s="1">
        <v>0</v>
      </c>
      <c r="M576" s="1">
        <f>0</f>
        <v>0</v>
      </c>
      <c r="N576" s="1">
        <f>0</f>
        <v>0</v>
      </c>
      <c r="O576" s="1">
        <f>0</f>
        <v>0</v>
      </c>
      <c r="P576" s="1"/>
      <c r="Q576" s="1">
        <v>0</v>
      </c>
      <c r="R576" s="1">
        <v>0</v>
      </c>
      <c r="S576" s="1">
        <f>0</f>
        <v>0</v>
      </c>
      <c r="T576" s="1">
        <f>0</f>
        <v>0</v>
      </c>
      <c r="U576" s="1"/>
      <c r="V576" s="1">
        <v>0</v>
      </c>
      <c r="W576" s="1">
        <v>0</v>
      </c>
      <c r="X576" s="1">
        <f>0</f>
        <v>0</v>
      </c>
      <c r="Y576" s="1">
        <f>0</f>
        <v>0</v>
      </c>
      <c r="Z576" s="1">
        <f>0</f>
        <v>0</v>
      </c>
      <c r="AA576" s="1"/>
      <c r="AB576" s="5"/>
      <c r="AC576" s="5"/>
      <c r="AD576" s="1">
        <f>0</f>
        <v>0</v>
      </c>
      <c r="AE576" s="1">
        <f>0</f>
        <v>0</v>
      </c>
      <c r="AF576" s="1">
        <f>0</f>
        <v>0</v>
      </c>
      <c r="AG576" s="1">
        <f>0</f>
        <v>0</v>
      </c>
      <c r="AH576" s="1">
        <f>0</f>
        <v>0</v>
      </c>
      <c r="AI576" s="1">
        <f>0</f>
        <v>0</v>
      </c>
      <c r="AJ576" s="1"/>
      <c r="AK576" s="1" t="b">
        <v>1</v>
      </c>
      <c r="AL576" s="1"/>
      <c r="AM576" s="1"/>
      <c r="AN576" s="1"/>
      <c r="AO576" s="1"/>
      <c r="AP576" s="1"/>
      <c r="AQ576" s="1"/>
      <c r="AR576" s="1"/>
      <c r="AS576" s="1"/>
      <c r="AT576" s="1"/>
      <c r="AU576" s="1"/>
      <c r="AV576" s="1"/>
      <c r="AW576" s="1"/>
      <c r="AX576" s="1"/>
      <c r="AY576" s="1"/>
      <c r="AZ576" s="1"/>
    </row>
    <row r="577" spans="1:52" ht="15" customHeight="1" x14ac:dyDescent="0.35">
      <c r="A577" s="1" t="s">
        <v>1951</v>
      </c>
      <c r="B577" s="1" t="s">
        <v>308</v>
      </c>
      <c r="C577" s="1" t="s">
        <v>640</v>
      </c>
      <c r="D577" s="1"/>
      <c r="E577" s="1" t="s">
        <v>1897</v>
      </c>
      <c r="F577" s="9" t="s">
        <v>1952</v>
      </c>
      <c r="G577" s="1" t="s">
        <v>38</v>
      </c>
      <c r="H5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7" s="11">
        <f>0</f>
        <v>0</v>
      </c>
      <c r="J577" s="1">
        <f>0</f>
        <v>0</v>
      </c>
      <c r="K577" s="1"/>
      <c r="L577" s="1">
        <v>0</v>
      </c>
      <c r="M577" s="1">
        <f>0</f>
        <v>0</v>
      </c>
      <c r="N577" s="1">
        <f>0</f>
        <v>0</v>
      </c>
      <c r="O577" s="1">
        <f>0</f>
        <v>0</v>
      </c>
      <c r="P577" s="1"/>
      <c r="Q577" s="1">
        <v>0</v>
      </c>
      <c r="R577" s="1">
        <v>0</v>
      </c>
      <c r="S577" s="1">
        <f>0</f>
        <v>0</v>
      </c>
      <c r="T577" s="1">
        <f>0</f>
        <v>0</v>
      </c>
      <c r="U577" s="1"/>
      <c r="V577" s="1">
        <v>0</v>
      </c>
      <c r="W577" s="1">
        <v>0</v>
      </c>
      <c r="X577" s="1">
        <f>0</f>
        <v>0</v>
      </c>
      <c r="Y577" s="1">
        <f>0</f>
        <v>0</v>
      </c>
      <c r="Z577" s="1">
        <f>0</f>
        <v>0</v>
      </c>
      <c r="AA577" s="1"/>
      <c r="AB577" s="5"/>
      <c r="AC577" s="5"/>
      <c r="AD577" s="1">
        <f>0</f>
        <v>0</v>
      </c>
      <c r="AE577" s="1">
        <f>0</f>
        <v>0</v>
      </c>
      <c r="AF577" s="1">
        <f>0</f>
        <v>0</v>
      </c>
      <c r="AG577" s="1">
        <f>0</f>
        <v>0</v>
      </c>
      <c r="AH577" s="1">
        <f>0</f>
        <v>0</v>
      </c>
      <c r="AI577" s="1">
        <f>0</f>
        <v>0</v>
      </c>
      <c r="AJ577" s="1"/>
      <c r="AK577" s="1" t="b">
        <v>1</v>
      </c>
      <c r="AL577" s="1"/>
      <c r="AM577" s="1"/>
      <c r="AN577" s="1"/>
      <c r="AO577" s="1"/>
      <c r="AP577" s="1"/>
      <c r="AQ577" s="1"/>
      <c r="AR577" s="1"/>
      <c r="AS577" s="1"/>
      <c r="AT577" s="1"/>
      <c r="AU577" s="1"/>
      <c r="AV577" s="1"/>
      <c r="AW577" s="1"/>
      <c r="AX577" s="1"/>
      <c r="AY577" s="1"/>
      <c r="AZ577" s="1"/>
    </row>
    <row r="578" spans="1:52" ht="15" customHeight="1" x14ac:dyDescent="0.35">
      <c r="A578" s="1" t="s">
        <v>1953</v>
      </c>
      <c r="B578" s="1" t="s">
        <v>309</v>
      </c>
      <c r="C578" s="1" t="s">
        <v>640</v>
      </c>
      <c r="D578" s="1"/>
      <c r="E578" s="1" t="s">
        <v>1897</v>
      </c>
      <c r="F578" s="9" t="s">
        <v>1954</v>
      </c>
      <c r="G578" s="1" t="s">
        <v>38</v>
      </c>
      <c r="H5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8" s="11">
        <f>0</f>
        <v>0</v>
      </c>
      <c r="J578" s="1">
        <f>0</f>
        <v>0</v>
      </c>
      <c r="K578" s="1"/>
      <c r="L578" s="1">
        <v>0</v>
      </c>
      <c r="M578" s="1">
        <f>0</f>
        <v>0</v>
      </c>
      <c r="N578" s="1">
        <f>0</f>
        <v>0</v>
      </c>
      <c r="O578" s="1">
        <f>0</f>
        <v>0</v>
      </c>
      <c r="P578" s="1"/>
      <c r="Q578" s="1">
        <v>0</v>
      </c>
      <c r="R578" s="1">
        <v>0</v>
      </c>
      <c r="S578" s="1">
        <f>0</f>
        <v>0</v>
      </c>
      <c r="T578" s="1">
        <f>0</f>
        <v>0</v>
      </c>
      <c r="U578" s="1"/>
      <c r="V578" s="1">
        <v>0</v>
      </c>
      <c r="W578" s="1">
        <v>0</v>
      </c>
      <c r="X578" s="1">
        <f>0</f>
        <v>0</v>
      </c>
      <c r="Y578" s="1">
        <f>0</f>
        <v>0</v>
      </c>
      <c r="Z578" s="1">
        <f>0</f>
        <v>0</v>
      </c>
      <c r="AA578" s="1"/>
      <c r="AB578" s="5"/>
      <c r="AC578" s="5"/>
      <c r="AD578" s="1">
        <f>0</f>
        <v>0</v>
      </c>
      <c r="AE578" s="1">
        <f>0</f>
        <v>0</v>
      </c>
      <c r="AF578" s="1">
        <f>0</f>
        <v>0</v>
      </c>
      <c r="AG578" s="1">
        <f>0</f>
        <v>0</v>
      </c>
      <c r="AH578" s="1">
        <f>0</f>
        <v>0</v>
      </c>
      <c r="AI578" s="1">
        <f>0</f>
        <v>0</v>
      </c>
      <c r="AJ578" s="1"/>
      <c r="AK578" s="1" t="b">
        <v>1</v>
      </c>
      <c r="AL578" s="1"/>
      <c r="AM578" s="1"/>
      <c r="AN578" s="1"/>
      <c r="AO578" s="1"/>
      <c r="AP578" s="1"/>
      <c r="AQ578" s="1"/>
      <c r="AR578" s="1"/>
      <c r="AS578" s="1"/>
      <c r="AT578" s="1"/>
      <c r="AU578" s="1"/>
      <c r="AV578" s="1"/>
      <c r="AW578" s="1"/>
      <c r="AX578" s="1"/>
      <c r="AY578" s="1"/>
      <c r="AZ578" s="1"/>
    </row>
    <row r="579" spans="1:52" ht="15" customHeight="1" x14ac:dyDescent="0.35">
      <c r="A579" s="1" t="s">
        <v>1955</v>
      </c>
      <c r="B579" s="1" t="s">
        <v>310</v>
      </c>
      <c r="C579" s="1" t="s">
        <v>640</v>
      </c>
      <c r="D579" s="1"/>
      <c r="E579" s="1" t="s">
        <v>1956</v>
      </c>
      <c r="F579" s="9" t="s">
        <v>1957</v>
      </c>
      <c r="G579" s="1" t="s">
        <v>38</v>
      </c>
      <c r="H5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79" s="11">
        <f>0</f>
        <v>0</v>
      </c>
      <c r="J579" s="1">
        <f>0</f>
        <v>0</v>
      </c>
      <c r="K579" s="1"/>
      <c r="L579" s="1">
        <v>0</v>
      </c>
      <c r="M579" s="1">
        <f>0</f>
        <v>0</v>
      </c>
      <c r="N579" s="1">
        <f>0</f>
        <v>0</v>
      </c>
      <c r="O579" s="1">
        <f>0</f>
        <v>0</v>
      </c>
      <c r="P579" s="1"/>
      <c r="Q579" s="1">
        <v>0</v>
      </c>
      <c r="R579" s="1">
        <v>0</v>
      </c>
      <c r="S579" s="1">
        <f>0</f>
        <v>0</v>
      </c>
      <c r="T579" s="1">
        <f>0</f>
        <v>0</v>
      </c>
      <c r="U579" s="1"/>
      <c r="V579" s="1">
        <v>0</v>
      </c>
      <c r="W579" s="1">
        <v>0</v>
      </c>
      <c r="X579" s="1">
        <f>0</f>
        <v>0</v>
      </c>
      <c r="Y579" s="1">
        <f>0</f>
        <v>0</v>
      </c>
      <c r="Z579" s="1">
        <f>0</f>
        <v>0</v>
      </c>
      <c r="AA579" s="1"/>
      <c r="AB579" s="5"/>
      <c r="AC579" s="5"/>
      <c r="AD579" s="1">
        <f>0</f>
        <v>0</v>
      </c>
      <c r="AE579" s="1">
        <f>0</f>
        <v>0</v>
      </c>
      <c r="AF579" s="1">
        <f>0</f>
        <v>0</v>
      </c>
      <c r="AG579" s="1">
        <f>0</f>
        <v>0</v>
      </c>
      <c r="AH579" s="1">
        <f>0</f>
        <v>0</v>
      </c>
      <c r="AI579" s="1">
        <f>0</f>
        <v>0</v>
      </c>
      <c r="AJ579" s="1"/>
      <c r="AK579" s="1" t="b">
        <v>1</v>
      </c>
      <c r="AL579" s="1"/>
      <c r="AM579" s="1"/>
      <c r="AN579" s="1"/>
      <c r="AO579" s="1"/>
      <c r="AP579" s="1"/>
      <c r="AQ579" s="1" t="b">
        <v>1</v>
      </c>
      <c r="AR579" s="1"/>
      <c r="AS579" s="1"/>
      <c r="AT579" s="1"/>
      <c r="AU579" s="1"/>
      <c r="AV579" s="1"/>
      <c r="AW579" s="1"/>
      <c r="AX579" s="1"/>
      <c r="AY579" s="1"/>
      <c r="AZ579" s="1"/>
    </row>
    <row r="580" spans="1:52" ht="15" customHeight="1" x14ac:dyDescent="0.35">
      <c r="A580" s="1" t="s">
        <v>1958</v>
      </c>
      <c r="B580" s="1" t="s">
        <v>311</v>
      </c>
      <c r="C580" s="1" t="s">
        <v>640</v>
      </c>
      <c r="D580" s="1"/>
      <c r="E580" s="1" t="s">
        <v>1956</v>
      </c>
      <c r="F580" s="9" t="s">
        <v>1959</v>
      </c>
      <c r="G580" s="1" t="s">
        <v>38</v>
      </c>
      <c r="H5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0" s="11">
        <f>0</f>
        <v>0</v>
      </c>
      <c r="J580" s="1">
        <f>0</f>
        <v>0</v>
      </c>
      <c r="K580" s="1"/>
      <c r="L580" s="1">
        <v>0</v>
      </c>
      <c r="M580" s="1">
        <f>0</f>
        <v>0</v>
      </c>
      <c r="N580" s="1">
        <f>0</f>
        <v>0</v>
      </c>
      <c r="O580" s="1">
        <f>0</f>
        <v>0</v>
      </c>
      <c r="P580" s="1"/>
      <c r="Q580" s="1">
        <v>0</v>
      </c>
      <c r="R580" s="1">
        <v>0</v>
      </c>
      <c r="S580" s="1">
        <f>0</f>
        <v>0</v>
      </c>
      <c r="T580" s="1">
        <f>0</f>
        <v>0</v>
      </c>
      <c r="U580" s="1"/>
      <c r="V580" s="1">
        <v>0</v>
      </c>
      <c r="W580" s="1">
        <v>0</v>
      </c>
      <c r="X580" s="1">
        <f>0</f>
        <v>0</v>
      </c>
      <c r="Y580" s="1">
        <f>0</f>
        <v>0</v>
      </c>
      <c r="Z580" s="1">
        <f>0</f>
        <v>0</v>
      </c>
      <c r="AA580" s="1"/>
      <c r="AB580" s="5"/>
      <c r="AC580" s="5"/>
      <c r="AD580" s="1">
        <f>0</f>
        <v>0</v>
      </c>
      <c r="AE580" s="1">
        <f>0</f>
        <v>0</v>
      </c>
      <c r="AF580" s="1">
        <f>0</f>
        <v>0</v>
      </c>
      <c r="AG580" s="1">
        <f>0</f>
        <v>0</v>
      </c>
      <c r="AH580" s="1">
        <f>0</f>
        <v>0</v>
      </c>
      <c r="AI580" s="1">
        <f>0</f>
        <v>0</v>
      </c>
      <c r="AJ580" s="1"/>
      <c r="AK580" s="1" t="b">
        <v>1</v>
      </c>
      <c r="AL580" s="1"/>
      <c r="AM580" s="1"/>
      <c r="AN580" s="1"/>
      <c r="AO580" s="1"/>
      <c r="AP580" s="1"/>
      <c r="AQ580" s="1" t="b">
        <v>1</v>
      </c>
      <c r="AR580" s="1"/>
      <c r="AS580" s="1"/>
      <c r="AT580" s="1"/>
      <c r="AU580" s="1"/>
      <c r="AV580" s="1"/>
      <c r="AW580" s="1"/>
      <c r="AX580" s="1"/>
      <c r="AY580" s="1"/>
      <c r="AZ580" s="1"/>
    </row>
    <row r="581" spans="1:52" ht="15" customHeight="1" x14ac:dyDescent="0.35">
      <c r="A581" s="1" t="s">
        <v>1960</v>
      </c>
      <c r="B581" s="1" t="s">
        <v>312</v>
      </c>
      <c r="C581" s="1" t="s">
        <v>640</v>
      </c>
      <c r="D581" s="1"/>
      <c r="E581" s="1" t="s">
        <v>1897</v>
      </c>
      <c r="F581" s="9" t="s">
        <v>1961</v>
      </c>
      <c r="G581" s="1" t="s">
        <v>38</v>
      </c>
      <c r="H5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1" s="11">
        <f>0</f>
        <v>0</v>
      </c>
      <c r="J581" s="1">
        <f>0</f>
        <v>0</v>
      </c>
      <c r="K581" s="1"/>
      <c r="L581" s="1">
        <v>0</v>
      </c>
      <c r="M581" s="1">
        <f>0</f>
        <v>0</v>
      </c>
      <c r="N581" s="1">
        <f>0</f>
        <v>0</v>
      </c>
      <c r="O581" s="1">
        <f>0</f>
        <v>0</v>
      </c>
      <c r="P581" s="1"/>
      <c r="Q581" s="1">
        <v>0</v>
      </c>
      <c r="R581" s="1">
        <v>0</v>
      </c>
      <c r="S581" s="1">
        <f>0</f>
        <v>0</v>
      </c>
      <c r="T581" s="1">
        <f>0</f>
        <v>0</v>
      </c>
      <c r="U581" s="1"/>
      <c r="V581" s="1">
        <v>0</v>
      </c>
      <c r="W581" s="1">
        <v>0</v>
      </c>
      <c r="X581" s="1">
        <f>0</f>
        <v>0</v>
      </c>
      <c r="Y581" s="1">
        <f>0</f>
        <v>0</v>
      </c>
      <c r="Z581" s="1">
        <f>0</f>
        <v>0</v>
      </c>
      <c r="AA581" s="1"/>
      <c r="AB581" s="5"/>
      <c r="AC581" s="5"/>
      <c r="AD581" s="1">
        <f>0</f>
        <v>0</v>
      </c>
      <c r="AE581" s="1">
        <f>0</f>
        <v>0</v>
      </c>
      <c r="AF581" s="1">
        <f>0</f>
        <v>0</v>
      </c>
      <c r="AG581" s="1">
        <f>0</f>
        <v>0</v>
      </c>
      <c r="AH581" s="1">
        <f>0</f>
        <v>0</v>
      </c>
      <c r="AI581" s="1">
        <f>0</f>
        <v>0</v>
      </c>
      <c r="AJ581" s="1"/>
      <c r="AK581" s="1" t="b">
        <v>1</v>
      </c>
      <c r="AL581" s="1"/>
      <c r="AM581" s="1"/>
      <c r="AN581" s="1"/>
      <c r="AO581" s="1"/>
      <c r="AP581" s="1"/>
      <c r="AQ581" s="1"/>
      <c r="AR581" s="1"/>
      <c r="AS581" s="1"/>
      <c r="AT581" s="1"/>
      <c r="AU581" s="1"/>
      <c r="AV581" s="1"/>
      <c r="AW581" s="1"/>
      <c r="AX581" s="1"/>
      <c r="AY581" s="1"/>
      <c r="AZ581" s="1"/>
    </row>
    <row r="582" spans="1:52" ht="15" customHeight="1" x14ac:dyDescent="0.35">
      <c r="A582" s="1" t="s">
        <v>1962</v>
      </c>
      <c r="B582" s="1" t="s">
        <v>313</v>
      </c>
      <c r="C582" s="1" t="s">
        <v>640</v>
      </c>
      <c r="D582" s="1"/>
      <c r="E582" s="1" t="s">
        <v>1956</v>
      </c>
      <c r="F582" s="9" t="s">
        <v>1963</v>
      </c>
      <c r="G582" s="1" t="s">
        <v>38</v>
      </c>
      <c r="H5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2" s="11">
        <f>0</f>
        <v>0</v>
      </c>
      <c r="J582" s="1">
        <f>0</f>
        <v>0</v>
      </c>
      <c r="K582" s="1"/>
      <c r="L582" s="1">
        <v>0</v>
      </c>
      <c r="M582" s="1">
        <f>0</f>
        <v>0</v>
      </c>
      <c r="N582" s="1">
        <f>0</f>
        <v>0</v>
      </c>
      <c r="O582" s="1">
        <f>0</f>
        <v>0</v>
      </c>
      <c r="P582" s="1"/>
      <c r="Q582" s="1">
        <v>0</v>
      </c>
      <c r="R582" s="1">
        <v>0</v>
      </c>
      <c r="S582" s="1">
        <f>0</f>
        <v>0</v>
      </c>
      <c r="T582" s="1">
        <f>0</f>
        <v>0</v>
      </c>
      <c r="U582" s="1"/>
      <c r="V582" s="1">
        <v>0</v>
      </c>
      <c r="W582" s="1">
        <v>0</v>
      </c>
      <c r="X582" s="1">
        <f>0</f>
        <v>0</v>
      </c>
      <c r="Y582" s="1">
        <f>0</f>
        <v>0</v>
      </c>
      <c r="Z582" s="1">
        <f>0</f>
        <v>0</v>
      </c>
      <c r="AA582" s="1"/>
      <c r="AB582" s="5"/>
      <c r="AC582" s="5"/>
      <c r="AD582" s="1">
        <f>0</f>
        <v>0</v>
      </c>
      <c r="AE582" s="1">
        <f>0</f>
        <v>0</v>
      </c>
      <c r="AF582" s="1">
        <f>0</f>
        <v>0</v>
      </c>
      <c r="AG582" s="1">
        <f>0</f>
        <v>0</v>
      </c>
      <c r="AH582" s="1">
        <f>0</f>
        <v>0</v>
      </c>
      <c r="AI582" s="1">
        <f>0</f>
        <v>0</v>
      </c>
      <c r="AJ582" s="1"/>
      <c r="AK582" s="1" t="b">
        <v>1</v>
      </c>
      <c r="AL582" s="1"/>
      <c r="AM582" s="1"/>
      <c r="AN582" s="1"/>
      <c r="AO582" s="1"/>
      <c r="AP582" s="1"/>
      <c r="AQ582" s="1" t="b">
        <v>1</v>
      </c>
      <c r="AR582" s="1"/>
      <c r="AS582" s="1"/>
      <c r="AT582" s="1"/>
      <c r="AU582" s="1"/>
      <c r="AV582" s="1"/>
      <c r="AW582" s="1"/>
      <c r="AX582" s="1"/>
      <c r="AY582" s="1"/>
      <c r="AZ582" s="1"/>
    </row>
    <row r="583" spans="1:52" ht="15" customHeight="1" x14ac:dyDescent="0.35">
      <c r="A583" s="1" t="s">
        <v>1964</v>
      </c>
      <c r="B583" s="1" t="s">
        <v>314</v>
      </c>
      <c r="C583" s="1" t="s">
        <v>640</v>
      </c>
      <c r="D583" s="1"/>
      <c r="E583" s="1" t="s">
        <v>1956</v>
      </c>
      <c r="F583" s="9" t="s">
        <v>1965</v>
      </c>
      <c r="G583" s="1" t="s">
        <v>38</v>
      </c>
      <c r="H5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3" s="11">
        <f>0</f>
        <v>0</v>
      </c>
      <c r="J583" s="1">
        <f>0</f>
        <v>0</v>
      </c>
      <c r="K583" s="1"/>
      <c r="L583" s="1">
        <v>0</v>
      </c>
      <c r="M583" s="1">
        <f>0</f>
        <v>0</v>
      </c>
      <c r="N583" s="1">
        <f>0</f>
        <v>0</v>
      </c>
      <c r="O583" s="1">
        <f>0</f>
        <v>0</v>
      </c>
      <c r="P583" s="1"/>
      <c r="Q583" s="1">
        <v>0</v>
      </c>
      <c r="R583" s="1">
        <v>0</v>
      </c>
      <c r="S583" s="1">
        <f>0</f>
        <v>0</v>
      </c>
      <c r="T583" s="1">
        <f>0</f>
        <v>0</v>
      </c>
      <c r="U583" s="1"/>
      <c r="V583" s="1">
        <v>0</v>
      </c>
      <c r="W583" s="1">
        <v>0</v>
      </c>
      <c r="X583" s="1">
        <f>0</f>
        <v>0</v>
      </c>
      <c r="Y583" s="1">
        <f>0</f>
        <v>0</v>
      </c>
      <c r="Z583" s="1">
        <f>0</f>
        <v>0</v>
      </c>
      <c r="AA583" s="1"/>
      <c r="AB583" s="5"/>
      <c r="AC583" s="5"/>
      <c r="AD583" s="1">
        <f>0</f>
        <v>0</v>
      </c>
      <c r="AE583" s="1">
        <f>0</f>
        <v>0</v>
      </c>
      <c r="AF583" s="1">
        <f>0</f>
        <v>0</v>
      </c>
      <c r="AG583" s="1">
        <f>0</f>
        <v>0</v>
      </c>
      <c r="AH583" s="1">
        <f>0</f>
        <v>0</v>
      </c>
      <c r="AI583" s="1">
        <f>0</f>
        <v>0</v>
      </c>
      <c r="AJ583" s="1"/>
      <c r="AK583" s="1" t="b">
        <v>1</v>
      </c>
      <c r="AL583" s="1"/>
      <c r="AM583" s="1"/>
      <c r="AN583" s="1"/>
      <c r="AO583" s="1"/>
      <c r="AP583" s="1"/>
      <c r="AQ583" s="1" t="b">
        <v>1</v>
      </c>
      <c r="AR583" s="1"/>
      <c r="AS583" s="1"/>
      <c r="AT583" s="1"/>
      <c r="AU583" s="1"/>
      <c r="AV583" s="1"/>
      <c r="AW583" s="1"/>
      <c r="AX583" s="1"/>
      <c r="AY583" s="1"/>
      <c r="AZ583" s="1"/>
    </row>
    <row r="584" spans="1:52" ht="15" customHeight="1" x14ac:dyDescent="0.35">
      <c r="A584" s="1" t="s">
        <v>1966</v>
      </c>
      <c r="B584" s="1" t="s">
        <v>315</v>
      </c>
      <c r="C584" s="1" t="s">
        <v>640</v>
      </c>
      <c r="D584" s="1"/>
      <c r="E584" s="1" t="s">
        <v>1897</v>
      </c>
      <c r="F584" s="9" t="s">
        <v>1967</v>
      </c>
      <c r="G584" s="1" t="s">
        <v>38</v>
      </c>
      <c r="H5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4" s="11">
        <f>0</f>
        <v>0</v>
      </c>
      <c r="J584" s="1">
        <f>0</f>
        <v>0</v>
      </c>
      <c r="K584" s="1"/>
      <c r="L584" s="1">
        <v>0</v>
      </c>
      <c r="M584" s="1">
        <f>0</f>
        <v>0</v>
      </c>
      <c r="N584" s="1">
        <f>0</f>
        <v>0</v>
      </c>
      <c r="O584" s="1">
        <f>0</f>
        <v>0</v>
      </c>
      <c r="P584" s="1"/>
      <c r="Q584" s="1">
        <v>0</v>
      </c>
      <c r="R584" s="1">
        <v>0</v>
      </c>
      <c r="S584" s="1">
        <f>0</f>
        <v>0</v>
      </c>
      <c r="T584" s="1">
        <f>0</f>
        <v>0</v>
      </c>
      <c r="U584" s="1"/>
      <c r="V584" s="1">
        <v>0</v>
      </c>
      <c r="W584" s="1">
        <v>0</v>
      </c>
      <c r="X584" s="1">
        <f>0</f>
        <v>0</v>
      </c>
      <c r="Y584" s="1">
        <f>0</f>
        <v>0</v>
      </c>
      <c r="Z584" s="1">
        <f>0</f>
        <v>0</v>
      </c>
      <c r="AA584" s="1"/>
      <c r="AB584" s="5"/>
      <c r="AC584" s="5"/>
      <c r="AD584" s="1">
        <f>0</f>
        <v>0</v>
      </c>
      <c r="AE584" s="1">
        <f>0</f>
        <v>0</v>
      </c>
      <c r="AF584" s="1">
        <f>0</f>
        <v>0</v>
      </c>
      <c r="AG584" s="1">
        <f>0</f>
        <v>0</v>
      </c>
      <c r="AH584" s="1">
        <f>0</f>
        <v>0</v>
      </c>
      <c r="AI584" s="1">
        <f>0</f>
        <v>0</v>
      </c>
      <c r="AJ584" s="1"/>
      <c r="AK584" s="1" t="b">
        <v>1</v>
      </c>
      <c r="AL584" s="1"/>
      <c r="AM584" s="1"/>
      <c r="AN584" s="1"/>
      <c r="AO584" s="1"/>
      <c r="AP584" s="1"/>
      <c r="AQ584" s="1"/>
      <c r="AR584" s="1"/>
      <c r="AS584" s="1"/>
      <c r="AT584" s="1"/>
      <c r="AU584" s="1"/>
      <c r="AV584" s="1"/>
      <c r="AW584" s="1"/>
      <c r="AX584" s="1"/>
      <c r="AY584" s="1"/>
      <c r="AZ584" s="1"/>
    </row>
    <row r="585" spans="1:52" ht="15" customHeight="1" x14ac:dyDescent="0.35">
      <c r="A585" s="1" t="s">
        <v>1968</v>
      </c>
      <c r="B585" s="1" t="s">
        <v>316</v>
      </c>
      <c r="C585" s="1" t="s">
        <v>640</v>
      </c>
      <c r="D585" s="1"/>
      <c r="E585" s="1" t="s">
        <v>1897</v>
      </c>
      <c r="F585" s="9" t="s">
        <v>1969</v>
      </c>
      <c r="G585" s="1" t="s">
        <v>38</v>
      </c>
      <c r="H5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5" s="11">
        <f>0</f>
        <v>0</v>
      </c>
      <c r="J585" s="1">
        <f>0</f>
        <v>0</v>
      </c>
      <c r="K585" s="1"/>
      <c r="L585" s="1">
        <v>0</v>
      </c>
      <c r="M585" s="1">
        <f>0</f>
        <v>0</v>
      </c>
      <c r="N585" s="1">
        <f>0</f>
        <v>0</v>
      </c>
      <c r="O585" s="1">
        <f>0</f>
        <v>0</v>
      </c>
      <c r="P585" s="1"/>
      <c r="Q585" s="1">
        <v>0</v>
      </c>
      <c r="R585" s="1">
        <v>0</v>
      </c>
      <c r="S585" s="1">
        <f>0</f>
        <v>0</v>
      </c>
      <c r="T585" s="1">
        <f>0</f>
        <v>0</v>
      </c>
      <c r="U585" s="1"/>
      <c r="V585" s="1">
        <v>0</v>
      </c>
      <c r="W585" s="1">
        <v>0</v>
      </c>
      <c r="X585" s="1">
        <f>0</f>
        <v>0</v>
      </c>
      <c r="Y585" s="1">
        <f>0</f>
        <v>0</v>
      </c>
      <c r="Z585" s="1">
        <f>0</f>
        <v>0</v>
      </c>
      <c r="AA585" s="1"/>
      <c r="AB585" s="5"/>
      <c r="AC585" s="5"/>
      <c r="AD585" s="1">
        <f>0</f>
        <v>0</v>
      </c>
      <c r="AE585" s="1">
        <f>0</f>
        <v>0</v>
      </c>
      <c r="AF585" s="1">
        <f>0</f>
        <v>0</v>
      </c>
      <c r="AG585" s="1">
        <f>0</f>
        <v>0</v>
      </c>
      <c r="AH585" s="1">
        <f>0</f>
        <v>0</v>
      </c>
      <c r="AI585" s="1">
        <f>0</f>
        <v>0</v>
      </c>
      <c r="AJ585" s="1"/>
      <c r="AK585" s="1" t="b">
        <v>1</v>
      </c>
      <c r="AL585" s="1"/>
      <c r="AM585" s="1"/>
      <c r="AN585" s="1"/>
      <c r="AO585" s="1"/>
      <c r="AP585" s="1"/>
      <c r="AQ585" s="1"/>
      <c r="AR585" s="1"/>
      <c r="AS585" s="1"/>
      <c r="AT585" s="1"/>
      <c r="AU585" s="1"/>
      <c r="AV585" s="1"/>
      <c r="AW585" s="1"/>
      <c r="AX585" s="1"/>
      <c r="AY585" s="1"/>
      <c r="AZ585" s="1"/>
    </row>
    <row r="586" spans="1:52" ht="15" customHeight="1" x14ac:dyDescent="0.35">
      <c r="A586" s="1" t="s">
        <v>1970</v>
      </c>
      <c r="B586" s="1" t="s">
        <v>317</v>
      </c>
      <c r="C586" s="1" t="s">
        <v>640</v>
      </c>
      <c r="D586" s="1"/>
      <c r="E586" s="1" t="s">
        <v>1897</v>
      </c>
      <c r="F586" s="9" t="s">
        <v>1971</v>
      </c>
      <c r="G586" s="1" t="s">
        <v>38</v>
      </c>
      <c r="H5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6" s="11">
        <f>0</f>
        <v>0</v>
      </c>
      <c r="J586" s="1">
        <f>0</f>
        <v>0</v>
      </c>
      <c r="K586" s="1"/>
      <c r="L586" s="1">
        <v>0</v>
      </c>
      <c r="M586" s="1">
        <f>0</f>
        <v>0</v>
      </c>
      <c r="N586" s="1">
        <f>0</f>
        <v>0</v>
      </c>
      <c r="O586" s="1">
        <f>0</f>
        <v>0</v>
      </c>
      <c r="P586" s="1"/>
      <c r="Q586" s="1">
        <v>0</v>
      </c>
      <c r="R586" s="1">
        <v>0</v>
      </c>
      <c r="S586" s="1">
        <f>0</f>
        <v>0</v>
      </c>
      <c r="T586" s="1">
        <f>0</f>
        <v>0</v>
      </c>
      <c r="U586" s="1"/>
      <c r="V586" s="1">
        <v>0</v>
      </c>
      <c r="W586" s="1">
        <v>0</v>
      </c>
      <c r="X586" s="1">
        <f>0</f>
        <v>0</v>
      </c>
      <c r="Y586" s="1">
        <f>0</f>
        <v>0</v>
      </c>
      <c r="Z586" s="1">
        <f>0</f>
        <v>0</v>
      </c>
      <c r="AA586" s="1"/>
      <c r="AB586" s="5"/>
      <c r="AC586" s="5"/>
      <c r="AD586" s="1">
        <f>0</f>
        <v>0</v>
      </c>
      <c r="AE586" s="1">
        <f>0</f>
        <v>0</v>
      </c>
      <c r="AF586" s="1">
        <f>0</f>
        <v>0</v>
      </c>
      <c r="AG586" s="1">
        <f>0</f>
        <v>0</v>
      </c>
      <c r="AH586" s="1">
        <f>0</f>
        <v>0</v>
      </c>
      <c r="AI586" s="1">
        <f>0</f>
        <v>0</v>
      </c>
      <c r="AJ586" s="1"/>
      <c r="AK586" s="1" t="b">
        <v>1</v>
      </c>
      <c r="AL586" s="1"/>
      <c r="AM586" s="1"/>
      <c r="AN586" s="1"/>
      <c r="AO586" s="1"/>
      <c r="AP586" s="1"/>
      <c r="AQ586" s="1"/>
      <c r="AR586" s="1"/>
      <c r="AS586" s="1"/>
      <c r="AT586" s="1"/>
      <c r="AU586" s="1"/>
      <c r="AV586" s="1"/>
      <c r="AW586" s="1"/>
      <c r="AX586" s="1"/>
      <c r="AY586" s="1"/>
      <c r="AZ586" s="1"/>
    </row>
    <row r="587" spans="1:52" ht="15" customHeight="1" x14ac:dyDescent="0.35">
      <c r="A587" s="1" t="s">
        <v>1972</v>
      </c>
      <c r="B587" s="1" t="s">
        <v>318</v>
      </c>
      <c r="C587" s="1" t="s">
        <v>640</v>
      </c>
      <c r="D587" s="1"/>
      <c r="E587" s="1" t="s">
        <v>1956</v>
      </c>
      <c r="F587" s="9" t="s">
        <v>1973</v>
      </c>
      <c r="G587" s="1" t="s">
        <v>38</v>
      </c>
      <c r="H5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7" s="11">
        <f>0</f>
        <v>0</v>
      </c>
      <c r="J587" s="1">
        <f>0</f>
        <v>0</v>
      </c>
      <c r="K587" s="1"/>
      <c r="L587" s="1">
        <v>0</v>
      </c>
      <c r="M587" s="1">
        <f>0</f>
        <v>0</v>
      </c>
      <c r="N587" s="1">
        <f>0</f>
        <v>0</v>
      </c>
      <c r="O587" s="1">
        <f>0</f>
        <v>0</v>
      </c>
      <c r="P587" s="1"/>
      <c r="Q587" s="1">
        <v>0</v>
      </c>
      <c r="R587" s="1">
        <v>0</v>
      </c>
      <c r="S587" s="1">
        <f>0</f>
        <v>0</v>
      </c>
      <c r="T587" s="1">
        <f>0</f>
        <v>0</v>
      </c>
      <c r="U587" s="1"/>
      <c r="V587" s="1">
        <v>0</v>
      </c>
      <c r="W587" s="1">
        <v>0</v>
      </c>
      <c r="X587" s="1">
        <f>0</f>
        <v>0</v>
      </c>
      <c r="Y587" s="1">
        <f>0</f>
        <v>0</v>
      </c>
      <c r="Z587" s="1">
        <f>0</f>
        <v>0</v>
      </c>
      <c r="AA587" s="1"/>
      <c r="AB587" s="5"/>
      <c r="AC587" s="5"/>
      <c r="AD587" s="1">
        <f>0</f>
        <v>0</v>
      </c>
      <c r="AE587" s="1">
        <f>0</f>
        <v>0</v>
      </c>
      <c r="AF587" s="1">
        <f>0</f>
        <v>0</v>
      </c>
      <c r="AG587" s="1">
        <f>0</f>
        <v>0</v>
      </c>
      <c r="AH587" s="1">
        <f>0</f>
        <v>0</v>
      </c>
      <c r="AI587" s="1">
        <f>0</f>
        <v>0</v>
      </c>
      <c r="AJ587" s="1"/>
      <c r="AK587" s="1" t="b">
        <v>1</v>
      </c>
      <c r="AL587" s="1"/>
      <c r="AM587" s="1"/>
      <c r="AN587" s="1"/>
      <c r="AO587" s="1"/>
      <c r="AP587" s="1"/>
      <c r="AQ587" s="1" t="b">
        <v>1</v>
      </c>
      <c r="AR587" s="1"/>
      <c r="AS587" s="1"/>
      <c r="AT587" s="1"/>
      <c r="AU587" s="1"/>
      <c r="AV587" s="1"/>
      <c r="AW587" s="1"/>
      <c r="AX587" s="1"/>
      <c r="AY587" s="1"/>
      <c r="AZ587" s="1"/>
    </row>
    <row r="588" spans="1:52" ht="15" customHeight="1" x14ac:dyDescent="0.35">
      <c r="A588" s="1" t="s">
        <v>1974</v>
      </c>
      <c r="B588" s="1" t="s">
        <v>319</v>
      </c>
      <c r="C588" s="1" t="s">
        <v>640</v>
      </c>
      <c r="D588" s="1"/>
      <c r="E588" s="1" t="s">
        <v>1897</v>
      </c>
      <c r="F588" s="9" t="s">
        <v>1975</v>
      </c>
      <c r="G588" s="1" t="s">
        <v>38</v>
      </c>
      <c r="H5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8" s="11">
        <f>0</f>
        <v>0</v>
      </c>
      <c r="J588" s="1">
        <f>0</f>
        <v>0</v>
      </c>
      <c r="K588" s="1"/>
      <c r="L588" s="1">
        <v>0</v>
      </c>
      <c r="M588" s="1">
        <f>0</f>
        <v>0</v>
      </c>
      <c r="N588" s="1">
        <f>0</f>
        <v>0</v>
      </c>
      <c r="O588" s="1">
        <f>0</f>
        <v>0</v>
      </c>
      <c r="P588" s="1"/>
      <c r="Q588" s="1">
        <v>0</v>
      </c>
      <c r="R588" s="1">
        <v>0</v>
      </c>
      <c r="S588" s="1">
        <f>0</f>
        <v>0</v>
      </c>
      <c r="T588" s="1">
        <f>0</f>
        <v>0</v>
      </c>
      <c r="U588" s="1"/>
      <c r="V588" s="1">
        <v>0</v>
      </c>
      <c r="W588" s="1">
        <v>0</v>
      </c>
      <c r="X588" s="1">
        <f>0</f>
        <v>0</v>
      </c>
      <c r="Y588" s="1">
        <f>0</f>
        <v>0</v>
      </c>
      <c r="Z588" s="1">
        <f>0</f>
        <v>0</v>
      </c>
      <c r="AA588" s="1"/>
      <c r="AB588" s="5"/>
      <c r="AC588" s="5"/>
      <c r="AD588" s="1">
        <f>0</f>
        <v>0</v>
      </c>
      <c r="AE588" s="1">
        <f>0</f>
        <v>0</v>
      </c>
      <c r="AF588" s="1">
        <f>0</f>
        <v>0</v>
      </c>
      <c r="AG588" s="1">
        <f>0</f>
        <v>0</v>
      </c>
      <c r="AH588" s="1">
        <f>0</f>
        <v>0</v>
      </c>
      <c r="AI588" s="1">
        <f>0</f>
        <v>0</v>
      </c>
      <c r="AJ588" s="1"/>
      <c r="AK588" s="1" t="b">
        <v>1</v>
      </c>
      <c r="AL588" s="1"/>
      <c r="AM588" s="1"/>
      <c r="AN588" s="1"/>
      <c r="AO588" s="1"/>
      <c r="AP588" s="1"/>
      <c r="AQ588" s="1"/>
      <c r="AR588" s="1"/>
      <c r="AS588" s="1"/>
      <c r="AT588" s="1"/>
      <c r="AU588" s="1"/>
      <c r="AV588" s="1"/>
      <c r="AW588" s="1"/>
      <c r="AX588" s="1"/>
      <c r="AY588" s="1"/>
      <c r="AZ588" s="1"/>
    </row>
    <row r="589" spans="1:52" ht="15" customHeight="1" x14ac:dyDescent="0.35">
      <c r="A589" s="1" t="s">
        <v>1976</v>
      </c>
      <c r="B589" s="1" t="s">
        <v>320</v>
      </c>
      <c r="C589" s="1" t="s">
        <v>640</v>
      </c>
      <c r="D589" s="1"/>
      <c r="E589" s="1" t="s">
        <v>1897</v>
      </c>
      <c r="F589" s="9" t="s">
        <v>1977</v>
      </c>
      <c r="G589" s="1" t="s">
        <v>38</v>
      </c>
      <c r="H5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89" s="11">
        <f>0</f>
        <v>0</v>
      </c>
      <c r="J589" s="1">
        <f>0</f>
        <v>0</v>
      </c>
      <c r="K589" s="1"/>
      <c r="L589" s="1">
        <v>0</v>
      </c>
      <c r="M589" s="1">
        <f>0</f>
        <v>0</v>
      </c>
      <c r="N589" s="1">
        <f>0</f>
        <v>0</v>
      </c>
      <c r="O589" s="1">
        <f>0</f>
        <v>0</v>
      </c>
      <c r="P589" s="1"/>
      <c r="Q589" s="1">
        <v>0</v>
      </c>
      <c r="R589" s="1">
        <v>0</v>
      </c>
      <c r="S589" s="1">
        <f>0</f>
        <v>0</v>
      </c>
      <c r="T589" s="1">
        <f>0</f>
        <v>0</v>
      </c>
      <c r="U589" s="1"/>
      <c r="V589" s="1">
        <v>0</v>
      </c>
      <c r="W589" s="1">
        <v>0</v>
      </c>
      <c r="X589" s="1">
        <f>0</f>
        <v>0</v>
      </c>
      <c r="Y589" s="1">
        <f>0</f>
        <v>0</v>
      </c>
      <c r="Z589" s="1">
        <f>0</f>
        <v>0</v>
      </c>
      <c r="AA589" s="1"/>
      <c r="AB589" s="5"/>
      <c r="AC589" s="5"/>
      <c r="AD589" s="1">
        <f>0</f>
        <v>0</v>
      </c>
      <c r="AE589" s="1">
        <f>0</f>
        <v>0</v>
      </c>
      <c r="AF589" s="1">
        <f>0</f>
        <v>0</v>
      </c>
      <c r="AG589" s="1">
        <f>0</f>
        <v>0</v>
      </c>
      <c r="AH589" s="1">
        <f>0</f>
        <v>0</v>
      </c>
      <c r="AI589" s="1">
        <f>0</f>
        <v>0</v>
      </c>
      <c r="AJ589" s="1"/>
      <c r="AK589" s="1" t="b">
        <v>1</v>
      </c>
      <c r="AL589" s="1"/>
      <c r="AM589" s="1"/>
      <c r="AN589" s="1"/>
      <c r="AO589" s="1"/>
      <c r="AP589" s="1"/>
      <c r="AQ589" s="1"/>
      <c r="AR589" s="1"/>
      <c r="AS589" s="1"/>
      <c r="AT589" s="1"/>
      <c r="AU589" s="1"/>
      <c r="AV589" s="1"/>
      <c r="AW589" s="1"/>
      <c r="AX589" s="1"/>
      <c r="AY589" s="1"/>
      <c r="AZ589" s="1"/>
    </row>
    <row r="590" spans="1:52" ht="15" customHeight="1" x14ac:dyDescent="0.35">
      <c r="A590" s="1" t="s">
        <v>1978</v>
      </c>
      <c r="B590" s="1" t="s">
        <v>276</v>
      </c>
      <c r="C590" s="1" t="s">
        <v>640</v>
      </c>
      <c r="D590" s="1"/>
      <c r="E590" s="1" t="s">
        <v>1979</v>
      </c>
      <c r="F590" s="9" t="s">
        <v>1980</v>
      </c>
      <c r="G590" s="1" t="s">
        <v>38</v>
      </c>
      <c r="H5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590" s="11">
        <f>0</f>
        <v>0</v>
      </c>
      <c r="J590" s="1">
        <f>0</f>
        <v>0</v>
      </c>
      <c r="K590" s="1"/>
      <c r="L590" s="1">
        <v>0</v>
      </c>
      <c r="M590" s="1">
        <f>0</f>
        <v>0</v>
      </c>
      <c r="N590" s="1">
        <f>0</f>
        <v>0</v>
      </c>
      <c r="O590" s="1">
        <f>0</f>
        <v>0</v>
      </c>
      <c r="P590" s="1"/>
      <c r="Q590" s="1">
        <v>0</v>
      </c>
      <c r="R590" s="1">
        <v>0</v>
      </c>
      <c r="S590" s="1">
        <f>0</f>
        <v>0</v>
      </c>
      <c r="T590" s="1">
        <f>0</f>
        <v>0</v>
      </c>
      <c r="U590" s="1"/>
      <c r="V590" s="1">
        <v>0</v>
      </c>
      <c r="W590" s="1">
        <v>0</v>
      </c>
      <c r="X590" s="1">
        <f>0</f>
        <v>0</v>
      </c>
      <c r="Y590" s="1">
        <f>0</f>
        <v>0</v>
      </c>
      <c r="Z590" s="1">
        <f>0</f>
        <v>0</v>
      </c>
      <c r="AA590" s="1"/>
      <c r="AB590" s="5"/>
      <c r="AC590" s="5"/>
      <c r="AD590" s="1">
        <f>0</f>
        <v>0</v>
      </c>
      <c r="AE590" s="1">
        <f>0</f>
        <v>0</v>
      </c>
      <c r="AF590" s="1">
        <f>0</f>
        <v>0</v>
      </c>
      <c r="AG590" s="1">
        <f>0</f>
        <v>0</v>
      </c>
      <c r="AH590" s="1">
        <f>0</f>
        <v>0</v>
      </c>
      <c r="AI590" s="1">
        <f>0</f>
        <v>0</v>
      </c>
      <c r="AJ590" s="1"/>
      <c r="AK590" s="1" t="b">
        <v>1</v>
      </c>
      <c r="AL590" s="1"/>
      <c r="AM590" s="1"/>
      <c r="AN590" s="1"/>
      <c r="AO590" s="1"/>
      <c r="AP590" s="1"/>
      <c r="AQ590" s="1"/>
      <c r="AR590" s="1"/>
      <c r="AS590" s="1"/>
      <c r="AT590" s="1"/>
      <c r="AU590" s="1"/>
      <c r="AV590" s="1"/>
      <c r="AW590" s="1"/>
      <c r="AX590" s="1"/>
      <c r="AY590" s="1"/>
      <c r="AZ590" s="1"/>
    </row>
    <row r="591" spans="1:52" ht="15" customHeight="1" x14ac:dyDescent="0.35">
      <c r="A591" s="1" t="s">
        <v>1981</v>
      </c>
      <c r="B591" s="1" t="s">
        <v>321</v>
      </c>
      <c r="C591" s="1" t="s">
        <v>1157</v>
      </c>
      <c r="D591" s="1" t="s">
        <v>1982</v>
      </c>
      <c r="E591" s="1" t="s">
        <v>1983</v>
      </c>
      <c r="F591" s="9" t="s">
        <v>1984</v>
      </c>
      <c r="G591" s="1" t="s">
        <v>38</v>
      </c>
      <c r="H5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1" s="11" t="e">
        <f>ABS(NETWORKDAYS.INTL("05/28/2024", "05/29/2024", 1, {"01/01/2024","01/15/2024","02/19/2024","05/27/2024","07/04/2024","09/02/2024","10/14/2024","11/11/2024","11/28/2024","12/25/2024","12/25/2024","12/26/2024","12/27/2024","12/28/2024","12/29/2024","12/30/2024","31/25/2024","01/01/2024","01/02/2024","01/03/2024","01/04/2024","01/05/2024"}))</f>
        <v>#VALUE!</v>
      </c>
      <c r="J591" s="1">
        <f>0</f>
        <v>0</v>
      </c>
      <c r="K591" s="1"/>
      <c r="L591" s="1">
        <v>1</v>
      </c>
      <c r="M591" s="1" t="e">
        <f>ABS(NETWORKDAYS.INTL("06/18/2024", "06/18/2024", 1, {"01/01/2024","01/15/2024","02/19/2024","05/27/2024","07/04/2024","09/02/2024","10/14/2024","11/11/2024","11/28/2024","12/25/2024","12/25/2024","12/26/2024","12/27/2024","12/28/2024","12/29/2024","12/30/2024","31/25/2024","01/01/2024","01/02/2024","01/03/2024","01/04/2024","01/05/2024"}))</f>
        <v>#VALUE!</v>
      </c>
      <c r="N591" s="1">
        <f>0</f>
        <v>0</v>
      </c>
      <c r="O591" s="1">
        <f>0</f>
        <v>0</v>
      </c>
      <c r="P591" s="1"/>
      <c r="Q591" s="1">
        <v>0</v>
      </c>
      <c r="R591" s="1">
        <v>0</v>
      </c>
      <c r="S591" s="1">
        <f>0</f>
        <v>0</v>
      </c>
      <c r="T591" s="1">
        <f>0</f>
        <v>0</v>
      </c>
      <c r="U591" s="1"/>
      <c r="V591" s="1">
        <v>1</v>
      </c>
      <c r="W591" s="1">
        <v>1</v>
      </c>
      <c r="X591" s="1" t="e">
        <f>ABS(NETWORKDAYS.INTL("06/18/2024", "06/19/2024", 1, {"01/01/2024","01/15/2024","02/19/2024","05/27/2024","07/04/2024","09/02/2024","10/14/2024","11/11/2024","11/28/2024","12/25/2024","12/25/2024","12/26/2024","12/27/2024","12/28/2024","12/29/2024","12/30/2024","31/25/2024","01/01/2024","01/02/2024","01/03/2024","01/04/2024","01/05/2024"}))</f>
        <v>#VALUE!</v>
      </c>
      <c r="Y591" s="1">
        <f>0</f>
        <v>0</v>
      </c>
      <c r="Z591" s="1">
        <f>0</f>
        <v>0</v>
      </c>
      <c r="AA591" s="1"/>
      <c r="AB591" s="5">
        <v>45469</v>
      </c>
      <c r="AC591" s="5"/>
      <c r="AD591" s="1" t="e">
        <f>ABS(NETWORKDAYS.INTL("06/18/2024", "05/29/2024", 1, {"01/01/2024","01/15/2024","02/19/2024","05/27/2024","07/04/2024","09/02/2024","10/14/2024","11/11/2024","11/28/2024","12/25/2024","12/25/2024","12/26/2024","12/27/2024","12/28/2024","12/29/2024","12/30/2024","31/25/2024","01/01/2024","01/02/2024","01/03/2024","01/04/2024","01/05/2024"}))</f>
        <v>#VALUE!</v>
      </c>
      <c r="AE591" s="1">
        <f>0</f>
        <v>0</v>
      </c>
      <c r="AF591" s="1">
        <f>0</f>
        <v>0</v>
      </c>
      <c r="AG591" s="1" t="e">
        <f>ABS(NETWORKDAYS.INTL("06/18/2024", "08/05/24", 1, {"01/01/2024","01/15/2024","02/19/2024","05/27/2024","07/04/2024","09/02/2024","10/14/2024","11/11/2024","11/28/2024","12/25/2024","12/25/2024","12/26/2024","12/27/2024","12/28/2024","12/29/2024","12/30/2024","31/25/2024","01/01/2024","01/02/2024","01/03/2024","01/04/2024","01/05/2024"}))</f>
        <v>#VALUE!</v>
      </c>
      <c r="AH591" s="1" t="e">
        <f>ABS(NETWORKDAYS.INTL("06/18/2024", "06/18/2024", 1, {"01/01/2024","01/15/2024","02/19/2024","05/27/2024","07/04/2024","09/02/2024","10/14/2024","11/11/2024","11/28/2024","12/25/2024","12/25/2024","12/26/2024","12/27/2024","12/28/2024","12/29/2024","12/30/2024","31/25/2024","01/01/2024","01/02/2024","01/03/2024","01/04/2024","01/05/2024"}))</f>
        <v>#VALUE!</v>
      </c>
      <c r="AI591" s="1">
        <f>0</f>
        <v>0</v>
      </c>
      <c r="AJ591" s="1" t="b">
        <v>1</v>
      </c>
      <c r="AK591" s="1"/>
      <c r="AL591" s="1"/>
      <c r="AM591" s="1"/>
      <c r="AN591" s="1"/>
      <c r="AO591" s="1"/>
      <c r="AP591" s="1" t="b">
        <v>1</v>
      </c>
      <c r="AQ591" s="1"/>
      <c r="AR591" s="1"/>
      <c r="AS591" s="1"/>
      <c r="AT591" s="1"/>
      <c r="AU591" s="1"/>
      <c r="AV591" s="1"/>
      <c r="AW591" s="1"/>
      <c r="AX591" s="1"/>
      <c r="AY591" s="1"/>
      <c r="AZ591" s="1" t="b">
        <v>1</v>
      </c>
    </row>
    <row r="592" spans="1:52" ht="15" customHeight="1" x14ac:dyDescent="0.35">
      <c r="A592" s="1" t="s">
        <v>1985</v>
      </c>
      <c r="B592" s="1" t="s">
        <v>322</v>
      </c>
      <c r="C592" s="1" t="s">
        <v>988</v>
      </c>
      <c r="D592" s="1" t="s">
        <v>1986</v>
      </c>
      <c r="E592" s="1" t="s">
        <v>1983</v>
      </c>
      <c r="F592" s="9" t="s">
        <v>1987</v>
      </c>
      <c r="G592" s="1" t="s">
        <v>38</v>
      </c>
      <c r="H5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2" s="11" t="e">
        <f>ABS(NETWORKDAYS.INTL("05/28/2024", "05/28/2024", 1, {"01/01/2024","01/15/2024","02/19/2024","05/27/2024","07/04/2024","09/02/2024","10/14/2024","11/11/2024","11/28/2024","12/25/2024","12/25/2024","12/26/2024","12/27/2024","12/28/2024","12/29/2024","12/30/2024","31/25/2024","01/01/2024","01/02/2024","01/03/2024","01/04/2024","01/05/2024"}))</f>
        <v>#VALUE!</v>
      </c>
      <c r="J592" s="1">
        <f>0</f>
        <v>0</v>
      </c>
      <c r="K592" s="1"/>
      <c r="L592" s="1">
        <v>1</v>
      </c>
      <c r="M592" s="1" t="e">
        <f>ABS(NETWORKDAYS.INTL("06/14/2024", "06/14/2024", 1, {"01/01/2024","01/15/2024","02/19/2024","05/27/2024","07/04/2024","09/02/2024","10/14/2024","11/11/2024","11/28/2024","12/25/2024","12/25/2024","12/26/2024","12/27/2024","12/28/2024","12/29/2024","12/30/2024","31/25/2024","01/01/2024","01/02/2024","01/03/2024","01/04/2024","01/05/2024"}))</f>
        <v>#VALUE!</v>
      </c>
      <c r="N592" s="1">
        <f>0</f>
        <v>0</v>
      </c>
      <c r="O592" s="1">
        <f>0</f>
        <v>0</v>
      </c>
      <c r="P592" s="1"/>
      <c r="Q592" s="1">
        <v>0</v>
      </c>
      <c r="R592" s="1">
        <v>0</v>
      </c>
      <c r="S592" s="1">
        <f>0</f>
        <v>0</v>
      </c>
      <c r="T592" s="1">
        <f>0</f>
        <v>0</v>
      </c>
      <c r="U592" s="1"/>
      <c r="V592" s="1">
        <v>2</v>
      </c>
      <c r="W592" s="1">
        <v>2</v>
      </c>
      <c r="X592" s="1" t="e">
        <f>ABS(NETWORKDAYS.INTL("06/17/2024", "06/17/2024", 1, {"01/01/2024","01/15/2024","02/19/2024","05/27/2024","07/04/2024","09/02/2024","10/14/2024","11/11/2024","11/28/2024","12/25/2024","12/25/2024","12/26/2024","12/27/2024","12/28/2024","12/29/2024","12/30/2024","31/25/2024","01/01/2024","01/02/2024","01/03/2024","01/04/2024","01/05/2024"})+NETWORKDAYS.INTL("06/18/2024", "06/18/2024", 1, {"01/01/2024","01/15/2024","02/19/2024","05/27/2024","07/04/2024","09/02/2024","10/14/2024","11/11/2024","11/28/2024","12/25/2024","12/25/2024","12/26/2024","12/27/2024","12/28/2024","12/29/2024","12/30/2024","31/25/2024","01/01/2024","01/02/2024","01/03/2024","01/04/2024","01/05/2024"}))</f>
        <v>#VALUE!</v>
      </c>
      <c r="Y592" s="1" t="e">
        <f>ABS(NETWORKDAYS.INTL("06/18/2024", "06/18/2024", 1, {"01/01/2024","01/15/2024","02/19/2024","05/27/2024","07/04/2024","09/02/2024","10/14/2024","11/11/2024","11/28/2024","12/25/2024","12/25/2024","12/26/2024","12/27/2024","12/28/2024","12/29/2024","12/30/2024","31/25/2024","01/01/2024","01/02/2024","01/03/2024","01/04/2024","01/05/2024"}))</f>
        <v>#VALUE!</v>
      </c>
      <c r="Z592" s="1">
        <f>0</f>
        <v>0</v>
      </c>
      <c r="AA592" s="1"/>
      <c r="AB592" s="5">
        <v>45470</v>
      </c>
      <c r="AC592" s="5">
        <v>45502</v>
      </c>
      <c r="AD592" s="1" t="e">
        <f>ABS(NETWORKDAYS.INTL("06/14/2024", "05/28/2024", 1, {"01/01/2024","01/15/2024","02/19/2024","05/27/2024","07/04/2024","09/02/2024","10/14/2024","11/11/2024","11/28/2024","12/25/2024","12/25/2024","12/26/2024","12/27/2024","12/28/2024","12/29/2024","12/30/2024","31/25/2024","01/01/2024","01/02/2024","01/03/2024","01/04/2024","01/05/2024"}))</f>
        <v>#VALUE!</v>
      </c>
      <c r="AE592" s="1">
        <f>0</f>
        <v>0</v>
      </c>
      <c r="AF592" s="1">
        <f>0</f>
        <v>0</v>
      </c>
      <c r="AG592" s="1" t="e">
        <f>ABS(NETWORKDAYS.INTL("06/14/2024", "08/05/24", 1, {"01/01/2024","01/15/2024","02/19/2024","05/27/2024","07/04/2024","09/02/2024","10/14/2024","11/11/2024","11/28/2024","12/25/2024","12/25/2024","12/26/2024","12/27/2024","12/28/2024","12/29/2024","12/30/2024","31/25/2024","01/01/2024","01/02/2024","01/03/2024","01/04/2024","01/05/2024"}))</f>
        <v>#VALUE!</v>
      </c>
      <c r="AH592" s="1" t="e">
        <f>ABS(NETWORKDAYS.INTL("06/17/2024", "06/14/2024", 1, {"01/01/2024","01/15/2024","02/19/2024","05/27/2024","07/04/2024","09/02/2024","10/14/2024","11/11/2024","11/28/2024","12/25/2024","12/25/2024","12/26/2024","12/27/2024","12/28/2024","12/29/2024","12/30/2024","31/25/2024","01/01/2024","01/02/2024","01/03/2024","01/04/2024","01/05/2024"}))</f>
        <v>#VALUE!</v>
      </c>
      <c r="AI592" s="1" t="e">
        <f>ABS(NETWORKDAYS.INTL("7/29/2024", "06/27/2024", 1, {"01/01/2024","01/15/2024","02/19/2024","05/27/2024","07/04/2024","09/02/2024","10/14/2024","11/11/2024","11/28/2024","12/25/2024","12/25/2024","12/26/2024","12/27/2024","12/28/2024","12/29/2024","12/30/2024","31/25/2024","01/01/2024","01/02/2024","01/03/2024","01/04/2024","01/05/2024"}))</f>
        <v>#VALUE!</v>
      </c>
      <c r="AJ592" s="1" t="b">
        <v>1</v>
      </c>
      <c r="AK592" s="1"/>
      <c r="AL592" s="1"/>
      <c r="AM592" s="1"/>
      <c r="AN592" s="1"/>
      <c r="AO592" s="1"/>
      <c r="AP592" s="1" t="b">
        <v>1</v>
      </c>
      <c r="AQ592" s="1"/>
      <c r="AR592" s="1"/>
      <c r="AS592" s="1"/>
      <c r="AT592" s="1"/>
      <c r="AU592" s="1"/>
      <c r="AV592" s="1"/>
      <c r="AW592" s="1"/>
      <c r="AX592" s="1"/>
      <c r="AY592" s="1"/>
      <c r="AZ592" s="1" t="b">
        <v>1</v>
      </c>
    </row>
    <row r="593" spans="1:52" ht="15" customHeight="1" x14ac:dyDescent="0.35">
      <c r="A593" s="1" t="s">
        <v>1988</v>
      </c>
      <c r="B593" s="1" t="s">
        <v>323</v>
      </c>
      <c r="C593" s="1" t="s">
        <v>1377</v>
      </c>
      <c r="D593" s="1" t="s">
        <v>1989</v>
      </c>
      <c r="E593" s="1" t="s">
        <v>1983</v>
      </c>
      <c r="F593" s="9" t="s">
        <v>1990</v>
      </c>
      <c r="G593" s="1" t="s">
        <v>38</v>
      </c>
      <c r="H5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3" s="11" t="e">
        <f>ABS(NETWORKDAYS.INTL("05/26/2024", "06/11/2024", 1, {"01/01/2024","01/15/2024","02/19/2024","05/27/2024","07/04/2024","09/02/2024","10/14/2024","11/11/2024","11/28/2024","12/25/2024","12/25/2024","12/26/2024","12/27/2024","12/28/2024","12/29/2024","12/30/2024","31/25/2024","01/01/2024","01/02/2024","01/03/2024","01/04/2024","01/05/2024"}))</f>
        <v>#VALUE!</v>
      </c>
      <c r="J593" s="1">
        <f>0</f>
        <v>0</v>
      </c>
      <c r="K593" s="1"/>
      <c r="L593" s="1">
        <v>1</v>
      </c>
      <c r="M593" s="1" t="e">
        <f>ABS(NETWORKDAYS.INTL("06/13/2024", "06/13/2024", 1, {"01/01/2024","01/15/2024","02/19/2024","05/27/2024","07/04/2024","09/02/2024","10/14/2024","11/11/2024","11/28/2024","12/25/2024","12/25/2024","12/26/2024","12/27/2024","12/28/2024","12/29/2024","12/30/2024","31/25/2024","01/01/2024","01/02/2024","01/03/2024","01/04/2024","01/05/2024"}))</f>
        <v>#VALUE!</v>
      </c>
      <c r="N593" s="1">
        <f>0</f>
        <v>0</v>
      </c>
      <c r="O593" s="1">
        <f>0</f>
        <v>0</v>
      </c>
      <c r="P593" s="1"/>
      <c r="Q593" s="1">
        <v>0</v>
      </c>
      <c r="R593" s="1">
        <v>0</v>
      </c>
      <c r="S593" s="1">
        <f>0</f>
        <v>0</v>
      </c>
      <c r="T593" s="1">
        <f>0</f>
        <v>0</v>
      </c>
      <c r="U593" s="1"/>
      <c r="V593" s="1">
        <v>1</v>
      </c>
      <c r="W593" s="1">
        <v>1</v>
      </c>
      <c r="X593" s="1" t="e">
        <f>ABS(NETWORKDAYS.INTL("06/13/2024", "06/13/2024", 1, {"01/01/2024","01/15/2024","02/19/2024","05/27/2024","07/04/2024","09/02/2024","10/14/2024","11/11/2024","11/28/2024","12/25/2024","12/25/2024","12/26/2024","12/27/2024","12/28/2024","12/29/2024","12/30/2024","31/25/2024","01/01/2024","01/02/2024","01/03/2024","01/04/2024","01/05/2024"}))</f>
        <v>#VALUE!</v>
      </c>
      <c r="Y593" s="1">
        <f>0</f>
        <v>0</v>
      </c>
      <c r="Z593" s="1">
        <f>0</f>
        <v>0</v>
      </c>
      <c r="AA593" s="1"/>
      <c r="AB593" s="5">
        <v>45456</v>
      </c>
      <c r="AC593" s="5"/>
      <c r="AD593" s="1" t="e">
        <f>ABS(NETWORKDAYS.INTL("06/13/2024", "06/11/2024", 1, {"01/01/2024","01/15/2024","02/19/2024","05/27/2024","07/04/2024","09/02/2024","10/14/2024","11/11/2024","11/28/2024","12/25/2024","12/25/2024","12/26/2024","12/27/2024","12/28/2024","12/29/2024","12/30/2024","31/25/2024","01/01/2024","01/02/2024","01/03/2024","01/04/2024","01/05/2024"}))</f>
        <v>#VALUE!</v>
      </c>
      <c r="AE593" s="1">
        <f>0</f>
        <v>0</v>
      </c>
      <c r="AF593" s="1">
        <f>0</f>
        <v>0</v>
      </c>
      <c r="AG593" s="1" t="e">
        <f>ABS(NETWORKDAYS.INTL("06/13/2024", "08/05/24", 1, {"01/01/2024","01/15/2024","02/19/2024","05/27/2024","07/04/2024","09/02/2024","10/14/2024","11/11/2024","11/28/2024","12/25/2024","12/25/2024","12/26/2024","12/27/2024","12/28/2024","12/29/2024","12/30/2024","31/25/2024","01/01/2024","01/02/2024","01/03/2024","01/04/2024","01/05/2024"}))</f>
        <v>#VALUE!</v>
      </c>
      <c r="AH593" s="1" t="e">
        <f>ABS(NETWORKDAYS.INTL("06/13/2024", "06/13/2024", 1, {"01/01/2024","01/15/2024","02/19/2024","05/27/2024","07/04/2024","09/02/2024","10/14/2024","11/11/2024","11/28/2024","12/25/2024","12/25/2024","12/26/2024","12/27/2024","12/28/2024","12/29/2024","12/30/2024","31/25/2024","01/01/2024","01/02/2024","01/03/2024","01/04/2024","01/05/2024"}))</f>
        <v>#VALUE!</v>
      </c>
      <c r="AI593" s="1">
        <f>0</f>
        <v>0</v>
      </c>
      <c r="AJ593" s="1" t="b">
        <v>1</v>
      </c>
      <c r="AK593" s="1"/>
      <c r="AL593" s="1"/>
      <c r="AM593" s="1"/>
      <c r="AN593" s="1"/>
      <c r="AO593" s="1"/>
      <c r="AP593" s="1" t="b">
        <v>1</v>
      </c>
      <c r="AQ593" s="1"/>
      <c r="AR593" s="1"/>
      <c r="AS593" s="1"/>
      <c r="AT593" s="1"/>
      <c r="AU593" s="1"/>
      <c r="AV593" s="1"/>
      <c r="AW593" s="1"/>
      <c r="AX593" s="1"/>
      <c r="AY593" s="1"/>
      <c r="AZ593" s="1" t="b">
        <v>1</v>
      </c>
    </row>
    <row r="594" spans="1:52" ht="15" customHeight="1" x14ac:dyDescent="0.35">
      <c r="A594" s="1" t="s">
        <v>1991</v>
      </c>
      <c r="B594" s="1" t="s">
        <v>324</v>
      </c>
      <c r="C594" s="1" t="s">
        <v>988</v>
      </c>
      <c r="D594" s="1" t="s">
        <v>1992</v>
      </c>
      <c r="E594" s="1" t="s">
        <v>1983</v>
      </c>
      <c r="F594" s="9" t="s">
        <v>1993</v>
      </c>
      <c r="G594" s="1" t="s">
        <v>38</v>
      </c>
      <c r="H5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4" s="11" t="e">
        <f>ABS(NETWORKDAYS.INTL("06/10/2024", "06/10/2024", 1, {"01/01/2024","01/15/2024","02/19/2024","05/27/2024","07/04/2024","09/02/2024","10/14/2024","11/11/2024","11/28/2024","12/25/2024","12/25/2024","12/26/2024","12/27/2024","12/28/2024","12/29/2024","12/30/2024","31/25/2024","01/01/2024","01/02/2024","01/03/2024","01/04/2024","01/05/2024"}))</f>
        <v>#VALUE!</v>
      </c>
      <c r="J594" s="1">
        <f>0</f>
        <v>0</v>
      </c>
      <c r="K594" s="1"/>
      <c r="L594" s="1">
        <v>1</v>
      </c>
      <c r="M594" s="1" t="e">
        <f>ABS(NETWORKDAYS.INTL("06/13/2024", "06/13/2024", 1, {"01/01/2024","01/15/2024","02/19/2024","05/27/2024","07/04/2024","09/02/2024","10/14/2024","11/11/2024","11/28/2024","12/25/2024","12/25/2024","12/26/2024","12/27/2024","12/28/2024","12/29/2024","12/30/2024","31/25/2024","01/01/2024","01/02/2024","01/03/2024","01/04/2024","01/05/2024"}))</f>
        <v>#VALUE!</v>
      </c>
      <c r="N594" s="1">
        <f>0</f>
        <v>0</v>
      </c>
      <c r="O594" s="1">
        <f>0</f>
        <v>0</v>
      </c>
      <c r="P594" s="1"/>
      <c r="Q594" s="1">
        <v>0</v>
      </c>
      <c r="R594" s="1">
        <v>0</v>
      </c>
      <c r="S594" s="1">
        <f>0</f>
        <v>0</v>
      </c>
      <c r="T594" s="1">
        <f>0</f>
        <v>0</v>
      </c>
      <c r="U594" s="1"/>
      <c r="V594" s="1">
        <v>1</v>
      </c>
      <c r="W594" s="1">
        <v>1</v>
      </c>
      <c r="X594" s="1" t="e">
        <f>ABS(NETWORKDAYS.INTL("06/14/2024", "06/14/2024", 1, {"01/01/2024","01/15/2024","02/19/2024","05/27/2024","07/04/2024","09/02/2024","10/14/2024","11/11/2024","11/28/2024","12/25/2024","12/25/2024","12/26/2024","12/27/2024","12/28/2024","12/29/2024","12/30/2024","31/25/2024","01/01/2024","01/02/2024","01/03/2024","01/04/2024","01/05/2024"}))</f>
        <v>#VALUE!</v>
      </c>
      <c r="Y594" s="1">
        <f>0</f>
        <v>0</v>
      </c>
      <c r="Z594" s="1">
        <f>0</f>
        <v>0</v>
      </c>
      <c r="AA594" s="1"/>
      <c r="AB594" s="5">
        <v>45457</v>
      </c>
      <c r="AC594" s="5">
        <v>45502</v>
      </c>
      <c r="AD594" s="1" t="e">
        <f>ABS(NETWORKDAYS.INTL("06/13/2024", "06/10/2024", 1, {"01/01/2024","01/15/2024","02/19/2024","05/27/2024","07/04/2024","09/02/2024","10/14/2024","11/11/2024","11/28/2024","12/25/2024","12/25/2024","12/26/2024","12/27/2024","12/28/2024","12/29/2024","12/30/2024","31/25/2024","01/01/2024","01/02/2024","01/03/2024","01/04/2024","01/05/2024"}))</f>
        <v>#VALUE!</v>
      </c>
      <c r="AE594" s="1">
        <f>0</f>
        <v>0</v>
      </c>
      <c r="AF594" s="1">
        <f>0</f>
        <v>0</v>
      </c>
      <c r="AG594" s="1" t="e">
        <f>ABS(NETWORKDAYS.INTL("06/13/2024", "08/05/24", 1, {"01/01/2024","01/15/2024","02/19/2024","05/27/2024","07/04/2024","09/02/2024","10/14/2024","11/11/2024","11/28/2024","12/25/2024","12/25/2024","12/26/2024","12/27/2024","12/28/2024","12/29/2024","12/30/2024","31/25/2024","01/01/2024","01/02/2024","01/03/2024","01/04/2024","01/05/2024"}))</f>
        <v>#VALUE!</v>
      </c>
      <c r="AH594" s="1" t="e">
        <f>ABS(NETWORKDAYS.INTL("06/14/2024", "06/13/2024", 1, {"01/01/2024","01/15/2024","02/19/2024","05/27/2024","07/04/2024","09/02/2024","10/14/2024","11/11/2024","11/28/2024","12/25/2024","12/25/2024","12/26/2024","12/27/2024","12/28/2024","12/29/2024","12/30/2024","31/25/2024","01/01/2024","01/02/2024","01/03/2024","01/04/2024","01/05/2024"}))</f>
        <v>#VALUE!</v>
      </c>
      <c r="AI594" s="1" t="e">
        <f>ABS(NETWORKDAYS.INTL("7/29/2024", "06/14/2024", 1, {"01/01/2024","01/15/2024","02/19/2024","05/27/2024","07/04/2024","09/02/2024","10/14/2024","11/11/2024","11/28/2024","12/25/2024","12/25/2024","12/26/2024","12/27/2024","12/28/2024","12/29/2024","12/30/2024","31/25/2024","01/01/2024","01/02/2024","01/03/2024","01/04/2024","01/05/2024"}))</f>
        <v>#VALUE!</v>
      </c>
      <c r="AJ594" s="1" t="b">
        <v>1</v>
      </c>
      <c r="AK594" s="1"/>
      <c r="AL594" s="1"/>
      <c r="AM594" s="1"/>
      <c r="AN594" s="1"/>
      <c r="AO594" s="1"/>
      <c r="AP594" s="1" t="b">
        <v>1</v>
      </c>
      <c r="AQ594" s="1"/>
      <c r="AR594" s="1"/>
      <c r="AS594" s="1"/>
      <c r="AT594" s="1"/>
      <c r="AU594" s="1"/>
      <c r="AV594" s="1"/>
      <c r="AW594" s="1"/>
      <c r="AX594" s="1"/>
      <c r="AY594" s="1"/>
      <c r="AZ594" s="1" t="b">
        <v>1</v>
      </c>
    </row>
    <row r="595" spans="1:52" ht="15" customHeight="1" x14ac:dyDescent="0.35">
      <c r="A595" s="1" t="s">
        <v>1994</v>
      </c>
      <c r="B595" s="1" t="s">
        <v>325</v>
      </c>
      <c r="C595" s="1" t="s">
        <v>988</v>
      </c>
      <c r="D595" s="1" t="s">
        <v>1725</v>
      </c>
      <c r="E595" s="1" t="s">
        <v>1983</v>
      </c>
      <c r="F595" s="9" t="s">
        <v>1995</v>
      </c>
      <c r="G595" s="1" t="s">
        <v>38</v>
      </c>
      <c r="H5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5" s="11" t="e">
        <f>ABS(NETWORKDAYS.INTL("05/29/2024", "05/30/2024", 1, {"01/01/2024","01/15/2024","02/19/2024","05/27/2024","07/04/2024","09/02/2024","10/14/2024","11/11/2024","11/28/2024","12/25/2024","12/25/2024","12/26/2024","12/27/2024","12/28/2024","12/29/2024","12/30/2024","31/25/2024","01/01/2024","01/02/2024","01/03/2024","01/04/2024","01/05/2024"}))</f>
        <v>#VALUE!</v>
      </c>
      <c r="J595" s="1">
        <f>0</f>
        <v>0</v>
      </c>
      <c r="K595" s="1"/>
      <c r="L595" s="1">
        <v>1</v>
      </c>
      <c r="M595" s="1" t="e">
        <f>ABS(NETWORKDAYS.INTL("06/18/2024", "06/18/2024", 1, {"01/01/2024","01/15/2024","02/19/2024","05/27/2024","07/04/2024","09/02/2024","10/14/2024","11/11/2024","11/28/2024","12/25/2024","12/25/2024","12/26/2024","12/27/2024","12/28/2024","12/29/2024","12/30/2024","31/25/2024","01/01/2024","01/02/2024","01/03/2024","01/04/2024","01/05/2024"}))</f>
        <v>#VALUE!</v>
      </c>
      <c r="N595" s="1">
        <f>0</f>
        <v>0</v>
      </c>
      <c r="O595" s="1">
        <f>0</f>
        <v>0</v>
      </c>
      <c r="P595" s="1"/>
      <c r="Q595" s="1">
        <v>0</v>
      </c>
      <c r="R595" s="1">
        <v>0</v>
      </c>
      <c r="S595" s="1">
        <f>0</f>
        <v>0</v>
      </c>
      <c r="T595" s="1">
        <f>0</f>
        <v>0</v>
      </c>
      <c r="U595" s="1"/>
      <c r="V595" s="1">
        <v>1</v>
      </c>
      <c r="W595" s="1">
        <v>1</v>
      </c>
      <c r="X595" s="1" t="e">
        <f>ABS(NETWORKDAYS.INTL("06/18/2024", "06/19/2024", 1, {"01/01/2024","01/15/2024","02/19/2024","05/27/2024","07/04/2024","09/02/2024","10/14/2024","11/11/2024","11/28/2024","12/25/2024","12/25/2024","12/26/2024","12/27/2024","12/28/2024","12/29/2024","12/30/2024","31/25/2024","01/01/2024","01/02/2024","01/03/2024","01/04/2024","01/05/2024"}))</f>
        <v>#VALUE!</v>
      </c>
      <c r="Y595" s="1">
        <f>0</f>
        <v>0</v>
      </c>
      <c r="Z595" s="1">
        <f>0</f>
        <v>0</v>
      </c>
      <c r="AA595" s="1"/>
      <c r="AB595" s="5">
        <v>45469</v>
      </c>
      <c r="AC595" s="5">
        <v>45503</v>
      </c>
      <c r="AD595" s="1" t="e">
        <f>ABS(NETWORKDAYS.INTL("06/18/2024", "05/30/2024", 1, {"01/01/2024","01/15/2024","02/19/2024","05/27/2024","07/04/2024","09/02/2024","10/14/2024","11/11/2024","11/28/2024","12/25/2024","12/25/2024","12/26/2024","12/27/2024","12/28/2024","12/29/2024","12/30/2024","31/25/2024","01/01/2024","01/02/2024","01/03/2024","01/04/2024","01/05/2024"}))</f>
        <v>#VALUE!</v>
      </c>
      <c r="AE595" s="1">
        <f>0</f>
        <v>0</v>
      </c>
      <c r="AF595" s="1">
        <f>0</f>
        <v>0</v>
      </c>
      <c r="AG595" s="1" t="e">
        <f>ABS(NETWORKDAYS.INTL("06/18/2024", "08/05/24", 1, {"01/01/2024","01/15/2024","02/19/2024","05/27/2024","07/04/2024","09/02/2024","10/14/2024","11/11/2024","11/28/2024","12/25/2024","12/25/2024","12/26/2024","12/27/2024","12/28/2024","12/29/2024","12/30/2024","31/25/2024","01/01/2024","01/02/2024","01/03/2024","01/04/2024","01/05/2024"}))</f>
        <v>#VALUE!</v>
      </c>
      <c r="AH595" s="1" t="e">
        <f>ABS(NETWORKDAYS.INTL("06/18/2024", "06/18/2024", 1, {"01/01/2024","01/15/2024","02/19/2024","05/27/2024","07/04/2024","09/02/2024","10/14/2024","11/11/2024","11/28/2024","12/25/2024","12/25/2024","12/26/2024","12/27/2024","12/28/2024","12/29/2024","12/30/2024","31/25/2024","01/01/2024","01/02/2024","01/03/2024","01/04/2024","01/05/2024"}))</f>
        <v>#VALUE!</v>
      </c>
      <c r="AI595" s="1" t="e">
        <f>ABS(NETWORKDAYS.INTL("07/30/2024", "06/26/2024", 1, {"01/01/2024","01/15/2024","02/19/2024","05/27/2024","07/04/2024","09/02/2024","10/14/2024","11/11/2024","11/28/2024","12/25/2024","12/25/2024","12/26/2024","12/27/2024","12/28/2024","12/29/2024","12/30/2024","31/25/2024","01/01/2024","01/02/2024","01/03/2024","01/04/2024","01/05/2024"}))</f>
        <v>#VALUE!</v>
      </c>
      <c r="AJ595" s="1" t="b">
        <v>1</v>
      </c>
      <c r="AK595" s="1"/>
      <c r="AL595" s="1"/>
      <c r="AM595" s="1"/>
      <c r="AN595" s="1"/>
      <c r="AO595" s="1"/>
      <c r="AP595" s="1" t="b">
        <v>1</v>
      </c>
      <c r="AQ595" s="1"/>
      <c r="AR595" s="1"/>
      <c r="AS595" s="1"/>
      <c r="AT595" s="1"/>
      <c r="AU595" s="1"/>
      <c r="AV595" s="1"/>
      <c r="AW595" s="1"/>
      <c r="AX595" s="1"/>
      <c r="AY595" s="1"/>
      <c r="AZ595" s="1" t="b">
        <v>1</v>
      </c>
    </row>
    <row r="596" spans="1:52" ht="15" customHeight="1" x14ac:dyDescent="0.35">
      <c r="A596" s="1" t="s">
        <v>1996</v>
      </c>
      <c r="B596" s="1" t="s">
        <v>326</v>
      </c>
      <c r="C596" s="1" t="s">
        <v>1377</v>
      </c>
      <c r="D596" s="1" t="s">
        <v>1997</v>
      </c>
      <c r="E596" s="1" t="s">
        <v>1983</v>
      </c>
      <c r="F596" s="9" t="s">
        <v>1998</v>
      </c>
      <c r="G596" s="1" t="s">
        <v>38</v>
      </c>
      <c r="H5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6" s="11" t="e">
        <f>ABS(NETWORKDAYS.INTL("06/10/2024", "06/10/2024", 1, {"01/01/2024","01/15/2024","02/19/2024","05/27/2024","07/04/2024","09/02/2024","10/14/2024","11/11/2024","11/28/2024","12/25/2024","12/25/2024","12/26/2024","12/27/2024","12/28/2024","12/29/2024","12/30/2024","31/25/2024","01/01/2024","01/02/2024","01/03/2024","01/04/2024","01/05/2024"}))</f>
        <v>#VALUE!</v>
      </c>
      <c r="J596" s="1">
        <f>0</f>
        <v>0</v>
      </c>
      <c r="K596" s="1"/>
      <c r="L596" s="1">
        <v>1</v>
      </c>
      <c r="M596" s="1" t="e">
        <f>ABS(NETWORKDAYS.INTL("06/13/2024", "06/13/2024", 1, {"01/01/2024","01/15/2024","02/19/2024","05/27/2024","07/04/2024","09/02/2024","10/14/2024","11/11/2024","11/28/2024","12/25/2024","12/25/2024","12/26/2024","12/27/2024","12/28/2024","12/29/2024","12/30/2024","31/25/2024","01/01/2024","01/02/2024","01/03/2024","01/04/2024","01/05/2024"}))</f>
        <v>#VALUE!</v>
      </c>
      <c r="N596" s="1">
        <f>0</f>
        <v>0</v>
      </c>
      <c r="O596" s="1">
        <f>0</f>
        <v>0</v>
      </c>
      <c r="P596" s="1"/>
      <c r="Q596" s="1">
        <v>0</v>
      </c>
      <c r="R596" s="1">
        <v>0</v>
      </c>
      <c r="S596" s="1">
        <f>0</f>
        <v>0</v>
      </c>
      <c r="T596" s="1">
        <f>0</f>
        <v>0</v>
      </c>
      <c r="U596" s="1"/>
      <c r="V596" s="1">
        <v>1</v>
      </c>
      <c r="W596" s="1">
        <v>1</v>
      </c>
      <c r="X596" s="1" t="e">
        <f>ABS(NETWORKDAYS.INTL("06/14/2024", "06/14/2024", 1, {"01/01/2024","01/15/2024","02/19/2024","05/27/2024","07/04/2024","09/02/2024","10/14/2024","11/11/2024","11/28/2024","12/25/2024","12/25/2024","12/26/2024","12/27/2024","12/28/2024","12/29/2024","12/30/2024","31/25/2024","01/01/2024","01/02/2024","01/03/2024","01/04/2024","01/05/2024"}))</f>
        <v>#VALUE!</v>
      </c>
      <c r="Y596" s="1" t="e">
        <f>ABS(NETWORKDAYS.INTL("06/14/2024", "06/14/2024", 1, {"01/01/2024","01/15/2024","02/19/2024","05/27/2024","07/04/2024","09/02/2024","10/14/2024","11/11/2024","11/28/2024","12/25/2024","12/25/2024","12/26/2024","12/27/2024","12/28/2024","12/29/2024","12/30/2024","31/25/2024","01/01/2024","01/02/2024","01/03/2024","01/04/2024","01/05/2024"}))</f>
        <v>#VALUE!</v>
      </c>
      <c r="Z596" s="1">
        <f>0</f>
        <v>0</v>
      </c>
      <c r="AA596" s="1"/>
      <c r="AB596" s="5">
        <v>45457</v>
      </c>
      <c r="AC596" s="5"/>
      <c r="AD596" s="1" t="e">
        <f>ABS(NETWORKDAYS.INTL("06/13/2024", "06/10/2024", 1, {"01/01/2024","01/15/2024","02/19/2024","05/27/2024","07/04/2024","09/02/2024","10/14/2024","11/11/2024","11/28/2024","12/25/2024","12/25/2024","12/26/2024","12/27/2024","12/28/2024","12/29/2024","12/30/2024","31/25/2024","01/01/2024","01/02/2024","01/03/2024","01/04/2024","01/05/2024"}))</f>
        <v>#VALUE!</v>
      </c>
      <c r="AE596" s="1">
        <f>0</f>
        <v>0</v>
      </c>
      <c r="AF596" s="1">
        <f>0</f>
        <v>0</v>
      </c>
      <c r="AG596" s="1" t="e">
        <f>ABS(NETWORKDAYS.INTL("06/13/2024", "08/05/24", 1, {"01/01/2024","01/15/2024","02/19/2024","05/27/2024","07/04/2024","09/02/2024","10/14/2024","11/11/2024","11/28/2024","12/25/2024","12/25/2024","12/26/2024","12/27/2024","12/28/2024","12/29/2024","12/30/2024","31/25/2024","01/01/2024","01/02/2024","01/03/2024","01/04/2024","01/05/2024"}))</f>
        <v>#VALUE!</v>
      </c>
      <c r="AH596" s="1" t="e">
        <f>ABS(NETWORKDAYS.INTL("06/14/2024", "06/13/2024", 1, {"01/01/2024","01/15/2024","02/19/2024","05/27/2024","07/04/2024","09/02/2024","10/14/2024","11/11/2024","11/28/2024","12/25/2024","12/25/2024","12/26/2024","12/27/2024","12/28/2024","12/29/2024","12/30/2024","31/25/2024","01/01/2024","01/02/2024","01/03/2024","01/04/2024","01/05/2024"}))</f>
        <v>#VALUE!</v>
      </c>
      <c r="AI596" s="1">
        <f>0</f>
        <v>0</v>
      </c>
      <c r="AJ596" s="1" t="b">
        <v>1</v>
      </c>
      <c r="AK596" s="1"/>
      <c r="AL596" s="1"/>
      <c r="AM596" s="1"/>
      <c r="AN596" s="1"/>
      <c r="AO596" s="1"/>
      <c r="AP596" s="1" t="b">
        <v>1</v>
      </c>
      <c r="AQ596" s="1"/>
      <c r="AR596" s="1"/>
      <c r="AS596" s="1"/>
      <c r="AT596" s="1"/>
      <c r="AU596" s="1"/>
      <c r="AV596" s="1"/>
      <c r="AW596" s="1"/>
      <c r="AX596" s="1"/>
      <c r="AY596" s="1"/>
      <c r="AZ596" s="1" t="b">
        <v>1</v>
      </c>
    </row>
    <row r="597" spans="1:52" ht="15" customHeight="1" x14ac:dyDescent="0.35">
      <c r="A597" s="1" t="s">
        <v>1999</v>
      </c>
      <c r="B597" s="1" t="s">
        <v>327</v>
      </c>
      <c r="C597" s="1" t="s">
        <v>1329</v>
      </c>
      <c r="D597" s="1" t="s">
        <v>1544</v>
      </c>
      <c r="E597" s="1" t="s">
        <v>1336</v>
      </c>
      <c r="F597" s="9" t="s">
        <v>2000</v>
      </c>
      <c r="G597" s="1" t="s">
        <v>38</v>
      </c>
      <c r="H5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597" s="11" t="e">
        <f>ABS(NETWORKDAYS.INTL("05/24/2024", "06/03/2024", 1, {"01/01/2024","01/15/2024","02/19/2024","05/27/2024","07/04/2024","09/02/2024","10/14/2024","11/11/2024","11/28/2024","12/25/2024","12/25/2024","12/26/2024","12/27/2024","12/28/2024","12/29/2024","12/30/2024","31/25/2024","01/01/2024","01/02/2024","01/03/2024","01/04/2024","01/05/2024"}))</f>
        <v>#VALUE!</v>
      </c>
      <c r="J597" s="1">
        <f>0</f>
        <v>0</v>
      </c>
      <c r="K597" s="1"/>
      <c r="L597" s="1">
        <v>0</v>
      </c>
      <c r="M597" s="1">
        <f>0</f>
        <v>0</v>
      </c>
      <c r="N597" s="1">
        <f>0</f>
        <v>0</v>
      </c>
      <c r="O597" s="1">
        <f>0</f>
        <v>0</v>
      </c>
      <c r="P597" s="1"/>
      <c r="Q597" s="1">
        <v>0</v>
      </c>
      <c r="R597" s="1">
        <v>0</v>
      </c>
      <c r="S597" s="1">
        <f>0</f>
        <v>0</v>
      </c>
      <c r="T597" s="1">
        <f>0</f>
        <v>0</v>
      </c>
      <c r="U597" s="1"/>
      <c r="V597" s="1">
        <v>0</v>
      </c>
      <c r="W597" s="1">
        <v>0</v>
      </c>
      <c r="X597" s="1">
        <f>0</f>
        <v>0</v>
      </c>
      <c r="Y597" s="1">
        <f>0</f>
        <v>0</v>
      </c>
      <c r="Z597" s="1">
        <f>0</f>
        <v>0</v>
      </c>
      <c r="AA597" s="1"/>
      <c r="AB597" s="5"/>
      <c r="AC597" s="5"/>
      <c r="AD597" s="1">
        <f>0</f>
        <v>0</v>
      </c>
      <c r="AE597" s="1">
        <f>0</f>
        <v>0</v>
      </c>
      <c r="AF597" s="1">
        <f>0</f>
        <v>0</v>
      </c>
      <c r="AG597" s="1">
        <f>0</f>
        <v>0</v>
      </c>
      <c r="AH597" s="1">
        <f>0</f>
        <v>0</v>
      </c>
      <c r="AI597" s="1">
        <f>0</f>
        <v>0</v>
      </c>
      <c r="AJ597" s="1" t="b">
        <v>1</v>
      </c>
      <c r="AK597" s="1"/>
      <c r="AL597" s="1"/>
      <c r="AM597" s="1"/>
      <c r="AN597" s="1"/>
      <c r="AO597" s="1"/>
      <c r="AP597" s="1" t="b">
        <v>1</v>
      </c>
      <c r="AQ597" s="1"/>
      <c r="AR597" s="1"/>
      <c r="AS597" s="1"/>
      <c r="AT597" s="1"/>
      <c r="AU597" s="1"/>
      <c r="AV597" s="1"/>
      <c r="AW597" s="1"/>
      <c r="AX597" s="1"/>
      <c r="AY597" s="1" t="b">
        <v>1</v>
      </c>
      <c r="AZ597" s="1"/>
    </row>
    <row r="598" spans="1:52" ht="15" customHeight="1" x14ac:dyDescent="0.35">
      <c r="A598" s="1" t="s">
        <v>2001</v>
      </c>
      <c r="B598" s="1" t="s">
        <v>328</v>
      </c>
      <c r="C598" s="1" t="s">
        <v>1157</v>
      </c>
      <c r="D598" s="1" t="s">
        <v>2002</v>
      </c>
      <c r="E598" s="1" t="s">
        <v>2003</v>
      </c>
      <c r="F598" s="9" t="s">
        <v>2004</v>
      </c>
      <c r="G598" s="1" t="s">
        <v>38</v>
      </c>
      <c r="H5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598" s="11" t="e">
        <f>ABS(NETWORKDAYS.INTL("05/29/2024", "05/31/2024", 1, {"01/01/2024","01/15/2024","02/19/2024","05/27/2024","07/04/2024","09/02/2024","10/14/2024","11/11/2024","11/28/2024","12/25/2024","12/25/2024","12/26/2024","12/27/2024","12/28/2024","12/29/2024","12/30/2024","31/25/2024","01/01/2024","01/02/2024","01/03/2024","01/04/2024","01/05/2024"}))</f>
        <v>#VALUE!</v>
      </c>
      <c r="J598" s="1">
        <f>0</f>
        <v>0</v>
      </c>
      <c r="K598" s="1"/>
      <c r="L598" s="1">
        <v>1</v>
      </c>
      <c r="M598" s="1" t="e">
        <f>ABS(NETWORKDAYS.INTL("06/14/2024", "06/14/2024", 1, {"01/01/2024","01/15/2024","02/19/2024","05/27/2024","07/04/2024","09/02/2024","10/14/2024","11/11/2024","11/28/2024","12/25/2024","12/25/2024","12/26/2024","12/27/2024","12/28/2024","12/29/2024","12/30/2024","31/25/2024","01/01/2024","01/02/2024","01/03/2024","01/04/2024","01/05/2024"}))</f>
        <v>#VALUE!</v>
      </c>
      <c r="N598" s="1">
        <f>0</f>
        <v>0</v>
      </c>
      <c r="O598" s="1">
        <f>0</f>
        <v>0</v>
      </c>
      <c r="P598" s="1"/>
      <c r="Q598" s="1">
        <v>0</v>
      </c>
      <c r="R598" s="1">
        <v>0</v>
      </c>
      <c r="S598" s="1">
        <f>0</f>
        <v>0</v>
      </c>
      <c r="T598" s="1">
        <f>0</f>
        <v>0</v>
      </c>
      <c r="U598" s="1"/>
      <c r="V598" s="1">
        <v>1</v>
      </c>
      <c r="W598" s="1">
        <v>1</v>
      </c>
      <c r="X598" s="1" t="e">
        <f>ABS(NETWORKDAYS.INTL("06/14/2024", "06/19/2024", 1, {"01/01/2024","01/15/2024","02/19/2024","05/27/2024","07/04/2024","09/02/2024","10/14/2024","11/11/2024","11/28/2024","12/25/2024","12/25/2024","12/26/2024","12/27/2024","12/28/2024","12/29/2024","12/30/2024","31/25/2024","01/01/2024","01/02/2024","01/03/2024","01/04/2024","01/05/2024"}))</f>
        <v>#VALUE!</v>
      </c>
      <c r="Y598" s="1">
        <f>0</f>
        <v>0</v>
      </c>
      <c r="Z598" s="1">
        <f>0</f>
        <v>0</v>
      </c>
      <c r="AA598" s="1"/>
      <c r="AB598" s="5">
        <v>45468</v>
      </c>
      <c r="AC598" s="5"/>
      <c r="AD598" s="1" t="e">
        <f>ABS(NETWORKDAYS.INTL("06/14/2024", "05/31/2024", 1, {"01/01/2024","01/15/2024","02/19/2024","05/27/2024","07/04/2024","09/02/2024","10/14/2024","11/11/2024","11/28/2024","12/25/2024","12/25/2024","12/26/2024","12/27/2024","12/28/2024","12/29/2024","12/30/2024","31/25/2024","01/01/2024","01/02/2024","01/03/2024","01/04/2024","01/05/2024"}))</f>
        <v>#VALUE!</v>
      </c>
      <c r="AE598" s="1">
        <f>0</f>
        <v>0</v>
      </c>
      <c r="AF598" s="1">
        <f>0</f>
        <v>0</v>
      </c>
      <c r="AG598" s="1" t="e">
        <f>ABS(NETWORKDAYS.INTL("06/14/2024", "08/05/24", 1, {"01/01/2024","01/15/2024","02/19/2024","05/27/2024","07/04/2024","09/02/2024","10/14/2024","11/11/2024","11/28/2024","12/25/2024","12/25/2024","12/26/2024","12/27/2024","12/28/2024","12/29/2024","12/30/2024","31/25/2024","01/01/2024","01/02/2024","01/03/2024","01/04/2024","01/05/2024"}))</f>
        <v>#VALUE!</v>
      </c>
      <c r="AH598" s="1" t="e">
        <f>ABS(NETWORKDAYS.INTL("06/14/2024", "06/14/2024", 1, {"01/01/2024","01/15/2024","02/19/2024","05/27/2024","07/04/2024","09/02/2024","10/14/2024","11/11/2024","11/28/2024","12/25/2024","12/25/2024","12/26/2024","12/27/2024","12/28/2024","12/29/2024","12/30/2024","31/25/2024","01/01/2024","01/02/2024","01/03/2024","01/04/2024","01/05/2024"}))</f>
        <v>#VALUE!</v>
      </c>
      <c r="AI598" s="1">
        <f>0</f>
        <v>0</v>
      </c>
      <c r="AJ598" s="1" t="b">
        <v>1</v>
      </c>
      <c r="AK598" s="1"/>
      <c r="AL598" s="1"/>
      <c r="AM598" s="1"/>
      <c r="AN598" s="1"/>
      <c r="AO598" s="1"/>
      <c r="AP598" s="1" t="b">
        <v>1</v>
      </c>
      <c r="AQ598" s="1"/>
      <c r="AR598" s="1"/>
      <c r="AS598" s="1"/>
      <c r="AT598" s="1"/>
      <c r="AU598" s="1"/>
      <c r="AV598" s="1"/>
      <c r="AW598" s="1"/>
      <c r="AX598" s="1"/>
      <c r="AY598" s="1"/>
      <c r="AZ598" s="1" t="b">
        <v>1</v>
      </c>
    </row>
    <row r="599" spans="1:52" ht="15" customHeight="1" x14ac:dyDescent="0.35">
      <c r="A599" s="1" t="s">
        <v>2005</v>
      </c>
      <c r="B599" s="1" t="s">
        <v>329</v>
      </c>
      <c r="C599" s="1" t="s">
        <v>988</v>
      </c>
      <c r="D599" s="1" t="s">
        <v>1709</v>
      </c>
      <c r="E599" s="1" t="s">
        <v>1983</v>
      </c>
      <c r="F599" s="9" t="s">
        <v>2006</v>
      </c>
      <c r="G599" s="1" t="s">
        <v>38</v>
      </c>
      <c r="H5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599" s="11" t="e">
        <f>ABS(NETWORKDAYS.INTL("05/29/2024", "05/31/2024", 1, {"01/01/2024","01/15/2024","02/19/2024","05/27/2024","07/04/2024","09/02/2024","10/14/2024","11/11/2024","11/28/2024","12/25/2024","12/25/2024","12/26/2024","12/27/2024","12/28/2024","12/29/2024","12/30/2024","31/25/2024","01/01/2024","01/02/2024","01/03/2024","01/04/2024","01/05/2024"}))</f>
        <v>#VALUE!</v>
      </c>
      <c r="J599">
        <f>0</f>
        <v>0</v>
      </c>
      <c r="K599" s="1"/>
      <c r="L599" s="1">
        <v>1</v>
      </c>
      <c r="M599" s="1" t="e">
        <f>ABS(NETWORKDAYS.INTL("06/19/2024", "06/19/2024", 1, {"01/01/2024","01/15/2024","02/19/2024","05/27/2024","07/04/2024","09/02/2024","10/14/2024","11/11/2024","11/28/2024","12/25/2024","12/25/2024","12/26/2024","12/27/2024","12/28/2024","12/29/2024","12/30/2024","31/25/2024","01/01/2024","01/02/2024","01/03/2024","01/04/2024","01/05/2024"}))</f>
        <v>#VALUE!</v>
      </c>
      <c r="N599" s="1">
        <f>0</f>
        <v>0</v>
      </c>
      <c r="O599" s="1">
        <f>0</f>
        <v>0</v>
      </c>
      <c r="P599" s="1"/>
      <c r="Q599" s="1">
        <v>0</v>
      </c>
      <c r="R599" s="1">
        <v>0</v>
      </c>
      <c r="S599" s="1">
        <f>0</f>
        <v>0</v>
      </c>
      <c r="T599" s="1">
        <f>0</f>
        <v>0</v>
      </c>
      <c r="U599" s="1"/>
      <c r="V599" s="1">
        <v>1</v>
      </c>
      <c r="W599" s="1">
        <v>1</v>
      </c>
      <c r="X599" s="1" t="e">
        <f>ABS(NETWORKDAYS.INTL("06/19/2024", "06/20/2024", 1, {"01/01/2024","01/15/2024","02/19/2024","05/27/2024","07/04/2024","09/02/2024","10/14/2024","11/11/2024","11/28/2024","12/25/2024","12/25/2024","12/26/2024","12/27/2024","12/28/2024","12/29/2024","12/30/2024","31/25/2024","01/01/2024","01/02/2024","01/03/2024","01/04/2024","01/05/2024"}))</f>
        <v>#VALUE!</v>
      </c>
      <c r="Y599" s="1">
        <f>0</f>
        <v>0</v>
      </c>
      <c r="Z599" s="1">
        <f>0</f>
        <v>0</v>
      </c>
      <c r="AA599" s="1"/>
      <c r="AB599" s="5">
        <v>45470</v>
      </c>
      <c r="AC599" s="5">
        <v>45503</v>
      </c>
      <c r="AD599" s="1" t="e">
        <f>ABS(NETWORKDAYS.INTL("06/19/2024", "05/31/2024", 1, {"01/01/2024","01/15/2024","02/19/2024","05/27/2024","07/04/2024","09/02/2024","10/14/2024","11/11/2024","11/28/2024","12/25/2024","12/25/2024","12/26/2024","12/27/2024","12/28/2024","12/29/2024","12/30/2024","31/25/2024","01/01/2024","01/02/2024","01/03/2024","01/04/2024","01/05/2024"}))</f>
        <v>#VALUE!</v>
      </c>
      <c r="AE599" s="1">
        <f>0</f>
        <v>0</v>
      </c>
      <c r="AF599" s="1">
        <f>0</f>
        <v>0</v>
      </c>
      <c r="AG599" s="1" t="e">
        <f>ABS(NETWORKDAYS.INTL("06/19/2024", "08/05/24", 1, {"01/01/2024","01/15/2024","02/19/2024","05/27/2024","07/04/2024","09/02/2024","10/14/2024","11/11/2024","11/28/2024","12/25/2024","12/25/2024","12/26/2024","12/27/2024","12/28/2024","12/29/2024","12/30/2024","31/25/2024","01/01/2024","01/02/2024","01/03/2024","01/04/2024","01/05/2024"}))</f>
        <v>#VALUE!</v>
      </c>
      <c r="AH599" s="1" t="e">
        <f>ABS(NETWORKDAYS.INTL("06/19/2024", "06/19/2024", 1, {"01/01/2024","01/15/2024","02/19/2024","05/27/2024","07/04/2024","09/02/2024","10/14/2024","11/11/2024","11/28/2024","12/25/2024","12/25/2024","12/26/2024","12/27/2024","12/28/2024","12/29/2024","12/30/2024","31/25/2024","01/01/2024","01/02/2024","01/03/2024","01/04/2024","01/05/2024"}))</f>
        <v>#VALUE!</v>
      </c>
      <c r="AI599" s="1" t="e">
        <f>ABS(NETWORKDAYS.INTL("07/30/2024", "06/27/2024", 1, {"01/01/2024","01/15/2024","02/19/2024","05/27/2024","07/04/2024","09/02/2024","10/14/2024","11/11/2024","11/28/2024","12/25/2024","12/25/2024","12/26/2024","12/27/2024","12/28/2024","12/29/2024","12/30/2024","31/25/2024","01/01/2024","01/02/2024","01/03/2024","01/04/2024","01/05/2024"}))</f>
        <v>#VALUE!</v>
      </c>
      <c r="AJ599" s="1" t="b">
        <v>1</v>
      </c>
      <c r="AK599" s="1"/>
      <c r="AL599" s="1"/>
      <c r="AM599" s="1"/>
      <c r="AN599" s="1"/>
      <c r="AO599" s="1"/>
      <c r="AP599" s="1" t="b">
        <v>1</v>
      </c>
      <c r="AQ599" s="1"/>
      <c r="AR599" s="1"/>
      <c r="AS599" s="1"/>
      <c r="AT599" s="1"/>
      <c r="AU599" s="1"/>
      <c r="AV599" s="1"/>
      <c r="AW599" s="1"/>
      <c r="AX599" s="1"/>
      <c r="AY599" s="1"/>
      <c r="AZ599" s="1" t="b">
        <v>1</v>
      </c>
    </row>
    <row r="600" spans="1:52" ht="15" customHeight="1" x14ac:dyDescent="0.35">
      <c r="A600" s="1" t="s">
        <v>2007</v>
      </c>
      <c r="B600" s="1" t="s">
        <v>330</v>
      </c>
      <c r="C600" s="1" t="s">
        <v>988</v>
      </c>
      <c r="D600" s="1" t="s">
        <v>2008</v>
      </c>
      <c r="E600" s="1" t="s">
        <v>1983</v>
      </c>
      <c r="F600" s="9" t="s">
        <v>2009</v>
      </c>
      <c r="G600" s="1" t="s">
        <v>38</v>
      </c>
      <c r="H6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0" s="11" t="e">
        <f>ABS(NETWORKDAYS.INTL("05/27/2024", "05/31/2024", 1, {"01/01/2024","01/15/2024","02/19/2024","05/27/2024","07/04/2024","09/02/2024","10/14/2024","11/11/2024","11/28/2024","12/25/2024","12/25/2024","12/26/2024","12/27/2024","12/28/2024","12/29/2024","12/30/2024","31/25/2024","01/01/2024","01/02/2024","01/03/2024","01/04/2024","01/05/2024"}))</f>
        <v>#VALUE!</v>
      </c>
      <c r="J600">
        <f>0</f>
        <v>0</v>
      </c>
      <c r="K600" s="1"/>
      <c r="L600" s="1">
        <v>1</v>
      </c>
      <c r="M600" s="1" t="e">
        <f>ABS(NETWORKDAYS.INTL("06/18/2024", "06/18/2024", 1, {"01/01/2024","01/15/2024","02/19/2024","05/27/2024","07/04/2024","09/02/2024","10/14/2024","11/11/2024","11/28/2024","12/25/2024","12/25/2024","12/26/2024","12/27/2024","12/28/2024","12/29/2024","12/30/2024","31/25/2024","01/01/2024","01/02/2024","01/03/2024","01/04/2024","01/05/2024"}))</f>
        <v>#VALUE!</v>
      </c>
      <c r="N600" s="1">
        <f>0</f>
        <v>0</v>
      </c>
      <c r="O600" s="1">
        <f>0</f>
        <v>0</v>
      </c>
      <c r="P600" s="1"/>
      <c r="Q600" s="1">
        <v>0</v>
      </c>
      <c r="R600" s="1">
        <v>0</v>
      </c>
      <c r="S600" s="1">
        <f>0</f>
        <v>0</v>
      </c>
      <c r="T600" s="1">
        <f>0</f>
        <v>0</v>
      </c>
      <c r="U600" s="1"/>
      <c r="V600" s="1">
        <v>1</v>
      </c>
      <c r="W600" s="1">
        <v>1</v>
      </c>
      <c r="X600" s="1" t="e">
        <f>ABS(NETWORKDAYS.INTL("06/18/2024", "06/19/2024", 1, {"01/01/2024","01/15/2024","02/19/2024","05/27/2024","07/04/2024","09/02/2024","10/14/2024","11/11/2024","11/28/2024","12/25/2024","12/25/2024","12/26/2024","12/27/2024","12/28/2024","12/29/2024","12/30/2024","31/25/2024","01/01/2024","01/02/2024","01/03/2024","01/04/2024","01/05/2024"}))</f>
        <v>#VALUE!</v>
      </c>
      <c r="Y600" s="1">
        <f>0</f>
        <v>0</v>
      </c>
      <c r="Z600" s="1">
        <f>0</f>
        <v>0</v>
      </c>
      <c r="AA600" s="1"/>
      <c r="AB600" s="5">
        <v>45483</v>
      </c>
      <c r="AC600" s="5">
        <v>45503</v>
      </c>
      <c r="AD600" s="1" t="e">
        <f>ABS(NETWORKDAYS.INTL("06/18/2024", "05/31/2024", 1, {"01/01/2024","01/15/2024","02/19/2024","05/27/2024","07/04/2024","09/02/2024","10/14/2024","11/11/2024","11/28/2024","12/25/2024","12/25/2024","12/26/2024","12/27/2024","12/28/2024","12/29/2024","12/30/2024","31/25/2024","01/01/2024","01/02/2024","01/03/2024","01/04/2024","01/05/2024"}))</f>
        <v>#VALUE!</v>
      </c>
      <c r="AE600" s="1">
        <f>0</f>
        <v>0</v>
      </c>
      <c r="AF600" s="1">
        <f>0</f>
        <v>0</v>
      </c>
      <c r="AG600" s="1" t="e">
        <f>ABS(NETWORKDAYS.INTL("06/18/2024", "08/05/24", 1, {"01/01/2024","01/15/2024","02/19/2024","05/27/2024","07/04/2024","09/02/2024","10/14/2024","11/11/2024","11/28/2024","12/25/2024","12/25/2024","12/26/2024","12/27/2024","12/28/2024","12/29/2024","12/30/2024","31/25/2024","01/01/2024","01/02/2024","01/03/2024","01/04/2024","01/05/2024"}))</f>
        <v>#VALUE!</v>
      </c>
      <c r="AH600" s="1" t="e">
        <f>ABS(NETWORKDAYS.INTL("06/18/2024", "06/18/2024", 1, {"01/01/2024","01/15/2024","02/19/2024","05/27/2024","07/04/2024","09/02/2024","10/14/2024","11/11/2024","11/28/2024","12/25/2024","12/25/2024","12/26/2024","12/27/2024","12/28/2024","12/29/2024","12/30/2024","31/25/2024","01/01/2024","01/02/2024","01/03/2024","01/04/2024","01/05/2024"}))</f>
        <v>#VALUE!</v>
      </c>
      <c r="AI600" s="1" t="e">
        <f>ABS(NETWORKDAYS.INTL("07/30/2024", "07/10/2024", 1, {"01/01/2024","01/15/2024","02/19/2024","05/27/2024","07/04/2024","09/02/2024","10/14/2024","11/11/2024","11/28/2024","12/25/2024","12/25/2024","12/26/2024","12/27/2024","12/28/2024","12/29/2024","12/30/2024","31/25/2024","01/01/2024","01/02/2024","01/03/2024","01/04/2024","01/05/2024"}))</f>
        <v>#VALUE!</v>
      </c>
      <c r="AJ600" s="1" t="b">
        <v>1</v>
      </c>
      <c r="AK600" s="1"/>
      <c r="AL600" s="1"/>
      <c r="AM600" s="1"/>
      <c r="AN600" s="1"/>
      <c r="AO600" s="1"/>
      <c r="AP600" s="1" t="b">
        <v>1</v>
      </c>
      <c r="AQ600" s="1"/>
      <c r="AR600" s="1"/>
      <c r="AS600" s="1"/>
      <c r="AT600" s="1"/>
      <c r="AU600" s="1"/>
      <c r="AV600" s="1"/>
      <c r="AW600" s="1"/>
      <c r="AX600" s="1"/>
      <c r="AY600" s="1"/>
      <c r="AZ600" s="1" t="b">
        <v>1</v>
      </c>
    </row>
    <row r="601" spans="1:52" ht="15" customHeight="1" x14ac:dyDescent="0.35">
      <c r="A601" s="1" t="s">
        <v>2010</v>
      </c>
      <c r="B601" s="1" t="s">
        <v>331</v>
      </c>
      <c r="C601" s="1" t="s">
        <v>988</v>
      </c>
      <c r="D601" s="1" t="s">
        <v>2011</v>
      </c>
      <c r="E601" s="1" t="s">
        <v>2003</v>
      </c>
      <c r="F601" s="9" t="s">
        <v>2012</v>
      </c>
      <c r="G601" s="1" t="s">
        <v>38</v>
      </c>
      <c r="H6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1" s="11" t="e">
        <f>ABS(NETWORKDAYS.INTL("06/10/2024", "06/10/2024", 1, {"01/01/2024","01/15/2024","02/19/2024","05/27/2024","07/04/2024","09/02/2024","10/14/2024","11/11/2024","11/28/2024","12/25/2024","12/25/2024","12/26/2024","12/27/2024","12/28/2024","12/29/2024","12/30/2024","31/25/2024","01/01/2024","01/02/2024","01/03/2024","01/04/2024","01/05/2024"}))</f>
        <v>#VALUE!</v>
      </c>
      <c r="J601">
        <f>0</f>
        <v>0</v>
      </c>
      <c r="K601" s="1"/>
      <c r="L601" s="1">
        <v>1</v>
      </c>
      <c r="M601" s="1" t="e">
        <f>ABS(NETWORKDAYS.INTL("06/10/2024", "06/10/2024", 1, {"01/01/2024","01/15/2024","02/19/2024","05/27/2024","07/04/2024","09/02/2024","10/14/2024","11/11/2024","11/28/2024","12/25/2024","12/25/2024","12/26/2024","12/27/2024","12/28/2024","12/29/2024","12/30/2024","31/25/2024","01/01/2024","01/02/2024","01/03/2024","01/04/2024","01/05/2024"}))</f>
        <v>#VALUE!</v>
      </c>
      <c r="N601" s="1">
        <f>0</f>
        <v>0</v>
      </c>
      <c r="O601" s="1">
        <f>0</f>
        <v>0</v>
      </c>
      <c r="P601" s="1"/>
      <c r="Q601" s="1">
        <v>0</v>
      </c>
      <c r="R601" s="1">
        <v>0</v>
      </c>
      <c r="S601" s="1">
        <f>0</f>
        <v>0</v>
      </c>
      <c r="T601" s="1">
        <f>0</f>
        <v>0</v>
      </c>
      <c r="U601" s="1"/>
      <c r="V601" s="1">
        <v>1</v>
      </c>
      <c r="W601" s="1">
        <v>1</v>
      </c>
      <c r="X601" s="1" t="e">
        <f>ABS(NETWORKDAYS.INTL("06/11/2024", "06/12/2024", 1, {"01/01/2024","01/15/2024","02/19/2024","05/27/2024","07/04/2024","09/02/2024","10/14/2024","11/11/2024","11/28/2024","12/25/2024","12/25/2024","12/26/2024","12/27/2024","12/28/2024","12/29/2024","12/30/2024","31/25/2024","01/01/2024","01/02/2024","01/03/2024","01/04/2024","01/05/2024"}))</f>
        <v>#VALUE!</v>
      </c>
      <c r="Y601" s="1">
        <f>0</f>
        <v>0</v>
      </c>
      <c r="Z601" s="1">
        <f>0</f>
        <v>0</v>
      </c>
      <c r="AA601" s="1"/>
      <c r="AB601" s="5">
        <v>45455</v>
      </c>
      <c r="AC601" s="5">
        <v>45455</v>
      </c>
      <c r="AD601" s="1" t="e">
        <f>ABS(NETWORKDAYS.INTL("06/10/2024", "06/10/2024", 1, {"01/01/2024","01/15/2024","02/19/2024","05/27/2024","07/04/2024","09/02/2024","10/14/2024","11/11/2024","11/28/2024","12/25/2024","12/25/2024","12/26/2024","12/27/2024","12/28/2024","12/29/2024","12/30/2024","31/25/2024","01/01/2024","01/02/2024","01/03/2024","01/04/2024","01/05/2024"}))</f>
        <v>#VALUE!</v>
      </c>
      <c r="AE601" s="1">
        <f>0</f>
        <v>0</v>
      </c>
      <c r="AF601" s="1">
        <f>0</f>
        <v>0</v>
      </c>
      <c r="AG601" s="1" t="e">
        <f>ABS(NETWORKDAYS.INTL("06/11/2024", "08/05/24", 1, {"01/01/2024","01/15/2024","02/19/2024","05/27/2024","07/04/2024","09/02/2024","10/14/2024","11/11/2024","11/28/2024","12/25/2024","12/25/2024","12/26/2024","12/27/2024","12/28/2024","12/29/2024","12/30/2024","31/25/2024","01/01/2024","01/02/2024","01/03/2024","01/04/2024","01/05/2024"}))</f>
        <v>#VALUE!</v>
      </c>
      <c r="AH601" s="1" t="e">
        <f>ABS(NETWORKDAYS.INTL("06/11/2024", "06/11/2024", 1, {"01/01/2024","01/15/2024","02/19/2024","05/27/2024","07/04/2024","09/02/2024","10/14/2024","11/11/2024","11/28/2024","12/25/2024","12/25/2024","12/26/2024","12/27/2024","12/28/2024","12/29/2024","12/30/2024","31/25/2024","01/01/2024","01/02/2024","01/03/2024","01/04/2024","01/05/2024"}))</f>
        <v>#VALUE!</v>
      </c>
      <c r="AI601" s="1" t="e">
        <f>ABS(NETWORKDAYS.INTL("06/12/2024", "06/12/2024", 1, {"01/01/2024","01/15/2024","02/19/2024","05/27/2024","07/04/2024","09/02/2024","10/14/2024","11/11/2024","11/28/2024","12/25/2024","12/25/2024","12/26/2024","12/27/2024","12/28/2024","12/29/2024","12/30/2024","31/25/2024","01/01/2024","01/02/2024","01/03/2024","01/04/2024","01/05/2024"}))</f>
        <v>#VALUE!</v>
      </c>
      <c r="AJ601" s="1" t="b">
        <v>1</v>
      </c>
      <c r="AK601" s="1"/>
      <c r="AL601" s="1"/>
      <c r="AM601" s="1"/>
      <c r="AN601" s="1"/>
      <c r="AO601" s="1"/>
      <c r="AP601" s="1" t="b">
        <v>1</v>
      </c>
      <c r="AQ601" s="1"/>
      <c r="AR601" s="1"/>
      <c r="AS601" s="1"/>
      <c r="AT601" s="1"/>
      <c r="AU601" s="1"/>
      <c r="AV601" s="1"/>
      <c r="AW601" s="1"/>
      <c r="AX601" s="1"/>
      <c r="AY601" s="1"/>
      <c r="AZ601" s="1" t="b">
        <v>1</v>
      </c>
    </row>
    <row r="602" spans="1:52" ht="15" customHeight="1" x14ac:dyDescent="0.35">
      <c r="A602" s="1" t="s">
        <v>2013</v>
      </c>
      <c r="B602" s="1" t="s">
        <v>332</v>
      </c>
      <c r="C602" s="1" t="s">
        <v>988</v>
      </c>
      <c r="D602" s="1" t="s">
        <v>1725</v>
      </c>
      <c r="E602" s="1" t="s">
        <v>2003</v>
      </c>
      <c r="F602" s="9" t="s">
        <v>2014</v>
      </c>
      <c r="G602" s="1" t="s">
        <v>38</v>
      </c>
      <c r="H6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2" s="11" t="e">
        <f>ABS(NETWORKDAYS.INTL("05/20/2024", "05/22/2024", 1, {"01/01/2024","01/15/2024","02/19/2024","05/27/2024","07/04/2024","09/02/2024","10/14/2024","11/11/2024","11/28/2024","12/25/2024","12/25/2024","12/26/2024","12/27/2024","12/28/2024","12/29/2024","12/30/2024","31/25/2024","01/01/2024","01/02/2024","01/03/2024","01/04/2024","01/05/2024"}))</f>
        <v>#VALUE!</v>
      </c>
      <c r="J602">
        <f>0</f>
        <v>0</v>
      </c>
      <c r="K602" s="1"/>
      <c r="L602" s="1">
        <v>1</v>
      </c>
      <c r="M602" s="1" t="e">
        <f>ABS(NETWORKDAYS.INTL("06/19/2024", "06/19/2024", 1, {"01/01/2024","01/15/2024","02/19/2024","05/27/2024","07/04/2024","09/02/2024","10/14/2024","11/11/2024","11/28/2024","12/25/2024","12/25/2024","12/26/2024","12/27/2024","12/28/2024","12/29/2024","12/30/2024","31/25/2024","01/01/2024","01/02/2024","01/03/2024","01/04/2024","01/05/2024"}))</f>
        <v>#VALUE!</v>
      </c>
      <c r="N602" s="1">
        <f>0</f>
        <v>0</v>
      </c>
      <c r="O602" s="1">
        <f>0</f>
        <v>0</v>
      </c>
      <c r="P602" s="1"/>
      <c r="Q602" s="1">
        <v>0</v>
      </c>
      <c r="R602" s="1">
        <v>0</v>
      </c>
      <c r="S602" s="1">
        <f>0</f>
        <v>0</v>
      </c>
      <c r="T602" s="1">
        <f>0</f>
        <v>0</v>
      </c>
      <c r="U602" s="1"/>
      <c r="V602" s="1">
        <v>2</v>
      </c>
      <c r="W602" s="1">
        <v>1</v>
      </c>
      <c r="X602" s="1" t="e">
        <f>ABS(NETWORKDAYS.INTL("06/20/2024", "06/21/2024", 1, {"01/01/2024","01/15/2024","02/19/2024","05/27/2024","07/04/2024","09/02/2024","10/14/2024","11/11/2024","11/28/2024","12/25/2024","12/25/2024","12/26/2024","12/27/2024","12/28/2024","12/29/2024","12/30/2024","31/25/2024","01/01/2024","01/02/2024","01/03/2024","01/04/2024","01/05/2024"}))</f>
        <v>#VALUE!</v>
      </c>
      <c r="Y602" s="1" t="e">
        <f>ABS(NETWORKDAYS.INTL("07/01/2024", "07/01/2024", 1, {"01/01/2024","01/15/2024","02/19/2024","05/27/2024","07/04/2024","09/02/2024","10/14/2024","11/11/2024","11/28/2024","12/25/2024","12/25/2024","12/26/2024","12/27/2024","12/28/2024","12/29/2024","12/30/2024","31/25/2024","01/01/2024","01/02/2024","01/03/2024","01/04/2024","01/05/2024"}))</f>
        <v>#VALUE!</v>
      </c>
      <c r="Z602" s="1">
        <f>0</f>
        <v>0</v>
      </c>
      <c r="AA602" s="1"/>
      <c r="AB602" s="5">
        <v>45474</v>
      </c>
      <c r="AC602" s="5">
        <v>45503</v>
      </c>
      <c r="AD602" s="1" t="e">
        <f>ABS(NETWORKDAYS.INTL("06/19/2024", "05/22/2024", 1, {"01/01/2024","01/15/2024","02/19/2024","05/27/2024","07/04/2024","09/02/2024","10/14/2024","11/11/2024","11/28/2024","12/25/2024","12/25/2024","12/26/2024","12/27/2024","12/28/2024","12/29/2024","12/30/2024","31/25/2024","01/01/2024","01/02/2024","01/03/2024","01/04/2024","01/05/2024"}))</f>
        <v>#VALUE!</v>
      </c>
      <c r="AE602" s="1">
        <f>0</f>
        <v>0</v>
      </c>
      <c r="AF602" s="1">
        <f>0</f>
        <v>0</v>
      </c>
      <c r="AG602" s="1" t="e">
        <f>ABS(NETWORKDAYS.INTL("06/20/2024", "08/05/24", 1, {"01/01/2024","01/15/2024","02/19/2024","05/27/2024","07/04/2024","09/02/2024","10/14/2024","11/11/2024","11/28/2024","12/25/2024","12/25/2024","12/26/2024","12/27/2024","12/28/2024","12/29/2024","12/30/2024","31/25/2024","01/01/2024","01/02/2024","01/03/2024","01/04/2024","01/05/2024"}))</f>
        <v>#VALUE!</v>
      </c>
      <c r="AH602" s="1" t="e">
        <f>ABS(NETWORKDAYS.INTL("06/20/2024", "06/20/2024", 1, {"01/01/2024","01/15/2024","02/19/2024","05/27/2024","07/04/2024","09/02/2024","10/14/2024","11/11/2024","11/28/2024","12/25/2024","12/25/2024","12/26/2024","12/27/2024","12/28/2024","12/29/2024","12/30/2024","31/25/2024","01/01/2024","01/02/2024","01/03/2024","01/04/2024","01/05/2024"}))</f>
        <v>#VALUE!</v>
      </c>
      <c r="AI602" s="1" t="e">
        <f>ABS(NETWORKDAYS.INTL("07/30/2024", "07/01/2024", 1, {"01/01/2024","01/15/2024","02/19/2024","05/27/2024","07/04/2024","09/02/2024","10/14/2024","11/11/2024","11/28/2024","12/25/2024","12/25/2024","12/26/2024","12/27/2024","12/28/2024","12/29/2024","12/30/2024","31/25/2024","01/01/2024","01/02/2024","01/03/2024","01/04/2024","01/05/2024"}))</f>
        <v>#VALUE!</v>
      </c>
      <c r="AJ602" s="1" t="b">
        <v>1</v>
      </c>
      <c r="AK602" s="1"/>
      <c r="AL602" s="1"/>
      <c r="AM602" s="1"/>
      <c r="AN602" s="1"/>
      <c r="AO602" s="1"/>
      <c r="AP602" s="1" t="b">
        <v>1</v>
      </c>
      <c r="AQ602" s="1"/>
      <c r="AR602" s="1"/>
      <c r="AS602" s="1"/>
      <c r="AT602" s="1"/>
      <c r="AU602" s="1"/>
      <c r="AV602" s="1"/>
      <c r="AW602" s="1"/>
      <c r="AX602" s="1"/>
      <c r="AY602" s="1"/>
      <c r="AZ602" s="1" t="b">
        <v>1</v>
      </c>
    </row>
    <row r="603" spans="1:52" ht="15" customHeight="1" x14ac:dyDescent="0.35">
      <c r="A603" s="1" t="s">
        <v>2015</v>
      </c>
      <c r="B603" s="1" t="s">
        <v>333</v>
      </c>
      <c r="C603" s="1" t="s">
        <v>988</v>
      </c>
      <c r="D603" s="1" t="s">
        <v>1706</v>
      </c>
      <c r="E603" s="1" t="s">
        <v>2003</v>
      </c>
      <c r="F603" s="9" t="s">
        <v>2016</v>
      </c>
      <c r="G603" s="1" t="s">
        <v>38</v>
      </c>
      <c r="H6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3" s="11" t="e">
        <f>ABS(NETWORKDAYS.INTL("05/27/2024", "05/31/2024", 1, {"01/01/2024","01/15/2024","02/19/2024","05/27/2024","07/04/2024","09/02/2024","10/14/2024","11/11/2024","11/28/2024","12/25/2024","12/25/2024","12/26/2024","12/27/2024","12/28/2024","12/29/2024","12/30/2024","31/25/2024","01/01/2024","01/02/2024","01/03/2024","01/04/2024","01/05/2024"}))</f>
        <v>#VALUE!</v>
      </c>
      <c r="J603">
        <f>0</f>
        <v>0</v>
      </c>
      <c r="K603" s="1"/>
      <c r="L603" s="1">
        <v>1</v>
      </c>
      <c r="M603" s="1" t="e">
        <f>ABS(NETWORKDAYS.INTL("06/19/2024", "06/19/2024", 1, {"01/01/2024","01/15/2024","02/19/2024","05/27/2024","07/04/2024","09/02/2024","10/14/2024","11/11/2024","11/28/2024","12/25/2024","12/25/2024","12/26/2024","12/27/2024","12/28/2024","12/29/2024","12/30/2024","31/25/2024","01/01/2024","01/02/2024","01/03/2024","01/04/2024","01/05/2024"}))</f>
        <v>#VALUE!</v>
      </c>
      <c r="N603" s="1">
        <f>0</f>
        <v>0</v>
      </c>
      <c r="O603" s="1">
        <f>0</f>
        <v>0</v>
      </c>
      <c r="P603" s="1"/>
      <c r="Q603" s="1">
        <v>0</v>
      </c>
      <c r="R603" s="1">
        <v>0</v>
      </c>
      <c r="S603" s="1">
        <f>0</f>
        <v>0</v>
      </c>
      <c r="T603" s="1">
        <f>0</f>
        <v>0</v>
      </c>
      <c r="U603" s="1"/>
      <c r="V603" s="1">
        <v>1</v>
      </c>
      <c r="W603" s="1">
        <v>1</v>
      </c>
      <c r="X603" s="1" t="e">
        <f>ABS(NETWORKDAYS.INTL("06/19/2024", "06/20/2024", 1, {"01/01/2024","01/15/2024","02/19/2024","05/27/2024","07/04/2024","09/02/2024","10/14/2024","11/11/2024","11/28/2024","12/25/2024","12/25/2024","12/26/2024","12/27/2024","12/28/2024","12/29/2024","12/30/2024","31/25/2024","01/01/2024","01/02/2024","01/03/2024","01/04/2024","01/05/2024"}))</f>
        <v>#VALUE!</v>
      </c>
      <c r="Y603" s="1">
        <f>0</f>
        <v>0</v>
      </c>
      <c r="Z603" s="1">
        <f>0</f>
        <v>0</v>
      </c>
      <c r="AA603" s="1"/>
      <c r="AB603" s="5">
        <v>45471</v>
      </c>
      <c r="AC603" s="5">
        <v>45503</v>
      </c>
      <c r="AD603" s="1" t="e">
        <f>ABS(NETWORKDAYS.INTL("06/19/2024", "05/31/2024", 1, {"01/01/2024","01/15/2024","02/19/2024","05/27/2024","07/04/2024","09/02/2024","10/14/2024","11/11/2024","11/28/2024","12/25/2024","12/25/2024","12/26/2024","12/27/2024","12/28/2024","12/29/2024","12/30/2024","31/25/2024","01/01/2024","01/02/2024","01/03/2024","01/04/2024","01/05/2024"}))</f>
        <v>#VALUE!</v>
      </c>
      <c r="AE603" s="1">
        <f>0</f>
        <v>0</v>
      </c>
      <c r="AF603" s="1">
        <f>0</f>
        <v>0</v>
      </c>
      <c r="AG603" s="1" t="e">
        <f>ABS(NETWORKDAYS.INTL("06/19/2024", "08/05/24", 1, {"01/01/2024","01/15/2024","02/19/2024","05/27/2024","07/04/2024","09/02/2024","10/14/2024","11/11/2024","11/28/2024","12/25/2024","12/25/2024","12/26/2024","12/27/2024","12/28/2024","12/29/2024","12/30/2024","31/25/2024","01/01/2024","01/02/2024","01/03/2024","01/04/2024","01/05/2024"}))</f>
        <v>#VALUE!</v>
      </c>
      <c r="AH603" s="1" t="e">
        <f>ABS(NETWORKDAYS.INTL("06/19/2024", "06/19/2024", 1, {"01/01/2024","01/15/2024","02/19/2024","05/27/2024","07/04/2024","09/02/2024","10/14/2024","11/11/2024","11/28/2024","12/25/2024","12/25/2024","12/26/2024","12/27/2024","12/28/2024","12/29/2024","12/30/2024","31/25/2024","01/01/2024","01/02/2024","01/03/2024","01/04/2024","01/05/2024"}))</f>
        <v>#VALUE!</v>
      </c>
      <c r="AI603" s="1" t="e">
        <f>ABS(NETWORKDAYS.INTL("07/30/2024", "06/28/2024", 1, {"01/01/2024","01/15/2024","02/19/2024","05/27/2024","07/04/2024","09/02/2024","10/14/2024","11/11/2024","11/28/2024","12/25/2024","12/25/2024","12/26/2024","12/27/2024","12/28/2024","12/29/2024","12/30/2024","31/25/2024","01/01/2024","01/02/2024","01/03/2024","01/04/2024","01/05/2024"}))</f>
        <v>#VALUE!</v>
      </c>
      <c r="AJ603" s="1" t="b">
        <v>1</v>
      </c>
      <c r="AK603" s="1"/>
      <c r="AL603" s="1"/>
      <c r="AM603" s="1"/>
      <c r="AN603" s="1"/>
      <c r="AO603" s="1"/>
      <c r="AP603" s="1" t="b">
        <v>1</v>
      </c>
      <c r="AQ603" s="1"/>
      <c r="AR603" s="1"/>
      <c r="AS603" s="1"/>
      <c r="AT603" s="1"/>
      <c r="AU603" s="1"/>
      <c r="AV603" s="1"/>
      <c r="AW603" s="1"/>
      <c r="AX603" s="1"/>
      <c r="AY603" s="1"/>
      <c r="AZ603" s="1" t="b">
        <v>1</v>
      </c>
    </row>
    <row r="604" spans="1:52" ht="15" customHeight="1" x14ac:dyDescent="0.35">
      <c r="A604" s="1" t="s">
        <v>2017</v>
      </c>
      <c r="B604" s="1" t="s">
        <v>334</v>
      </c>
      <c r="C604" s="1" t="s">
        <v>988</v>
      </c>
      <c r="D604" s="1" t="s">
        <v>1374</v>
      </c>
      <c r="E604" s="1" t="s">
        <v>2003</v>
      </c>
      <c r="F604" s="9" t="s">
        <v>2018</v>
      </c>
      <c r="G604" s="1" t="s">
        <v>38</v>
      </c>
      <c r="H6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4" s="11" t="e">
        <f>ABS(NETWORKDAYS.INTL("05/31/2024", "05/31/2024", 1, {"01/01/2024","01/15/2024","02/19/2024","05/27/2024","07/04/2024","09/02/2024","10/14/2024","11/11/2024","11/28/2024","12/25/2024","12/25/2024","12/26/2024","12/27/2024","12/28/2024","12/29/2024","12/30/2024","31/25/2024","01/01/2024","01/02/2024","01/03/2024","01/04/2024","01/05/2024"}))</f>
        <v>#VALUE!</v>
      </c>
      <c r="J604">
        <f>0</f>
        <v>0</v>
      </c>
      <c r="K604" s="1"/>
      <c r="L604" s="1">
        <v>1</v>
      </c>
      <c r="M604" s="1" t="e">
        <f>ABS(NETWORKDAYS.INTL("06/13/2024", "06/13/2024", 1, {"01/01/2024","01/15/2024","02/19/2024","05/27/2024","07/04/2024","09/02/2024","10/14/2024","11/11/2024","11/28/2024","12/25/2024","12/25/2024","12/26/2024","12/27/2024","12/28/2024","12/29/2024","12/30/2024","31/25/2024","01/01/2024","01/02/2024","01/03/2024","01/04/2024","01/05/2024"}))</f>
        <v>#VALUE!</v>
      </c>
      <c r="N604" s="1">
        <f>0</f>
        <v>0</v>
      </c>
      <c r="O604" s="1">
        <f>0</f>
        <v>0</v>
      </c>
      <c r="P604" s="1"/>
      <c r="Q604" s="1">
        <v>0</v>
      </c>
      <c r="R604" s="1">
        <v>0</v>
      </c>
      <c r="S604" s="1">
        <f>0</f>
        <v>0</v>
      </c>
      <c r="T604" s="1">
        <f>0</f>
        <v>0</v>
      </c>
      <c r="U604" s="1"/>
      <c r="V604" s="1">
        <v>1</v>
      </c>
      <c r="W604" s="1">
        <v>1</v>
      </c>
      <c r="X604" s="1" t="e">
        <f>ABS(NETWORKDAYS.INTL("06/13/2024", "06/17/2024", 1, {"01/01/2024","01/15/2024","02/19/2024","05/27/2024","07/04/2024","09/02/2024","10/14/2024","11/11/2024","11/28/2024","12/25/2024","12/25/2024","12/26/2024","12/27/2024","12/28/2024","12/29/2024","12/30/2024","31/25/2024","01/01/2024","01/02/2024","01/03/2024","01/04/2024","01/05/2024"}))</f>
        <v>#VALUE!</v>
      </c>
      <c r="Y604" s="1">
        <f>0</f>
        <v>0</v>
      </c>
      <c r="Z604" s="1">
        <f>0</f>
        <v>0</v>
      </c>
      <c r="AA604" s="1"/>
      <c r="AB604" s="5">
        <v>45467</v>
      </c>
      <c r="AC604" s="5">
        <v>45504</v>
      </c>
      <c r="AD604" s="1" t="e">
        <f>ABS(NETWORKDAYS.INTL("06/13/2024", "05/31/2024", 1, {"01/01/2024","01/15/2024","02/19/2024","05/27/2024","07/04/2024","09/02/2024","10/14/2024","11/11/2024","11/28/2024","12/25/2024","12/25/2024","12/26/2024","12/27/2024","12/28/2024","12/29/2024","12/30/2024","31/25/2024","01/01/2024","01/02/2024","01/03/2024","01/04/2024","01/05/2024"}))</f>
        <v>#VALUE!</v>
      </c>
      <c r="AE604" s="1">
        <f>0</f>
        <v>0</v>
      </c>
      <c r="AF604" s="1">
        <f>0</f>
        <v>0</v>
      </c>
      <c r="AG604" s="1" t="e">
        <f>ABS(NETWORKDAYS.INTL("06/13/2024", "08/05/24", 1, {"01/01/2024","01/15/2024","02/19/2024","05/27/2024","07/04/2024","09/02/2024","10/14/2024","11/11/2024","11/28/2024","12/25/2024","12/25/2024","12/26/2024","12/27/2024","12/28/2024","12/29/2024","12/30/2024","31/25/2024","01/01/2024","01/02/2024","01/03/2024","01/04/2024","01/05/2024"}))</f>
        <v>#VALUE!</v>
      </c>
      <c r="AH604" s="1" t="e">
        <f>ABS(NETWORKDAYS.INTL("06/13/2024", "06/13/2024", 1, {"01/01/2024","01/15/2024","02/19/2024","05/27/2024","07/04/2024","09/02/2024","10/14/2024","11/11/2024","11/28/2024","12/25/2024","12/25/2024","12/26/2024","12/27/2024","12/28/2024","12/29/2024","12/30/2024","31/25/2024","01/01/2024","01/02/2024","01/03/2024","01/04/2024","01/05/2024"}))</f>
        <v>#VALUE!</v>
      </c>
      <c r="AI604" s="1" t="e">
        <f>ABS(NETWORKDAYS.INTL("07/31/2024", "06/24/2024", 1, {"01/01/2024","01/15/2024","02/19/2024","05/27/2024","07/04/2024","09/02/2024","10/14/2024","11/11/2024","11/28/2024","12/25/2024","12/25/2024","12/26/2024","12/27/2024","12/28/2024","12/29/2024","12/30/2024","31/25/2024","01/01/2024","01/02/2024","01/03/2024","01/04/2024","01/05/2024"}))</f>
        <v>#VALUE!</v>
      </c>
      <c r="AJ604" s="1" t="b">
        <v>1</v>
      </c>
      <c r="AK604" s="1"/>
      <c r="AL604" s="1"/>
      <c r="AM604" s="1"/>
      <c r="AN604" s="1"/>
      <c r="AO604" s="1"/>
      <c r="AP604" s="1" t="b">
        <v>1</v>
      </c>
      <c r="AQ604" s="1"/>
      <c r="AR604" s="1"/>
      <c r="AS604" s="1"/>
      <c r="AT604" s="1"/>
      <c r="AU604" s="1"/>
      <c r="AV604" s="1"/>
      <c r="AW604" s="1"/>
      <c r="AX604" s="1"/>
      <c r="AY604" s="1"/>
      <c r="AZ604" s="1" t="b">
        <v>1</v>
      </c>
    </row>
    <row r="605" spans="1:52" ht="15" customHeight="1" x14ac:dyDescent="0.35">
      <c r="A605" s="1" t="s">
        <v>2019</v>
      </c>
      <c r="B605" s="1" t="s">
        <v>335</v>
      </c>
      <c r="C605" s="1" t="s">
        <v>988</v>
      </c>
      <c r="D605" s="1" t="s">
        <v>2020</v>
      </c>
      <c r="E605" s="1" t="s">
        <v>1983</v>
      </c>
      <c r="F605" s="9" t="s">
        <v>2021</v>
      </c>
      <c r="G605" s="1" t="s">
        <v>38</v>
      </c>
      <c r="H6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5" s="11" t="e">
        <f>ABS(NETWORKDAYS.INTL("06/10/2024", "06/10/2024", 1, {"01/01/2024","01/15/2024","02/19/2024","05/27/2024","07/04/2024","09/02/2024","10/14/2024","11/11/2024","11/28/2024","12/25/2024","12/25/2024","12/26/2024","12/27/2024","12/28/2024","12/29/2024","12/30/2024","31/25/2024","01/01/2024","01/02/2024","01/03/2024","01/04/2024","01/05/2024"}))</f>
        <v>#VALUE!</v>
      </c>
      <c r="J605">
        <f>0</f>
        <v>0</v>
      </c>
      <c r="K605" s="1"/>
      <c r="L605" s="1">
        <v>1</v>
      </c>
      <c r="M605" s="1" t="e">
        <f>ABS(NETWORKDAYS.INTL("06/13/2024", "06/13/2024", 1, {"01/01/2024","01/15/2024","02/19/2024","05/27/2024","07/04/2024","09/02/2024","10/14/2024","11/11/2024","11/28/2024","12/25/2024","12/25/2024","12/26/2024","12/27/2024","12/28/2024","12/29/2024","12/30/2024","31/25/2024","01/01/2024","01/02/2024","01/03/2024","01/04/2024","01/05/2024"}))</f>
        <v>#VALUE!</v>
      </c>
      <c r="N605" s="1">
        <f>0</f>
        <v>0</v>
      </c>
      <c r="O605" s="1">
        <f>0</f>
        <v>0</v>
      </c>
      <c r="P605" s="1"/>
      <c r="Q605" s="1">
        <v>0</v>
      </c>
      <c r="R605" s="1">
        <v>0</v>
      </c>
      <c r="S605" s="1">
        <f>0</f>
        <v>0</v>
      </c>
      <c r="T605" s="1">
        <f>0</f>
        <v>0</v>
      </c>
      <c r="U605" s="1"/>
      <c r="V605" s="1">
        <v>2</v>
      </c>
      <c r="W605" s="1">
        <v>2</v>
      </c>
      <c r="X605" s="1" t="e">
        <f>ABS(NETWORKDAYS.INTL("06/13/2024", "06/13/2024", 1, {"01/01/2024","01/15/2024","02/19/2024","05/27/2024","07/04/2024","09/02/2024","10/14/2024","11/11/2024","11/28/2024","12/25/2024","12/25/2024","12/26/2024","12/27/2024","12/28/2024","12/29/2024","12/30/2024","31/25/2024","01/01/2024","01/02/2024","01/03/2024","01/04/2024","01/05/2024"})+NETWORKDAYS.INTL("06/14/2024", "06/14/2024", 1, {"01/01/2024","01/15/2024","02/19/2024","05/27/2024","07/04/2024","09/02/2024","10/14/2024","11/11/2024","11/28/2024","12/25/2024","12/25/2024","12/26/2024","12/27/2024","12/28/2024","12/29/2024","12/30/2024","31/25/2024","01/01/2024","01/02/2024","01/03/2024","01/04/2024","01/05/2024"}))</f>
        <v>#VALUE!</v>
      </c>
      <c r="Y605" s="1" t="e">
        <f>ABS(NETWORKDAYS.INTL("06/14/2024", "06/14/2024", 1, {"01/01/2024","01/15/2024","02/19/2024","05/27/2024","07/04/2024","09/02/2024","10/14/2024","11/11/2024","11/28/2024","12/25/2024","12/25/2024","12/26/2024","12/27/2024","12/28/2024","12/29/2024","12/30/2024","31/25/2024","01/01/2024","01/02/2024","01/03/2024","01/04/2024","01/05/2024"}))</f>
        <v>#VALUE!</v>
      </c>
      <c r="Z605" s="1">
        <f>0</f>
        <v>0</v>
      </c>
      <c r="AA605" s="1"/>
      <c r="AB605" s="5">
        <v>45457</v>
      </c>
      <c r="AC605" s="1"/>
      <c r="AD605" s="1" t="e">
        <f>ABS(NETWORKDAYS.INTL("06/13/2024", "06/10/2024", 1, {"01/01/2024","01/15/2024","02/19/2024","05/27/2024","07/04/2024","09/02/2024","10/14/2024","11/11/2024","11/28/2024","12/25/2024","12/25/2024","12/26/2024","12/27/2024","12/28/2024","12/29/2024","12/30/2024","31/25/2024","01/01/2024","01/02/2024","01/03/2024","01/04/2024","01/05/2024"}))</f>
        <v>#VALUE!</v>
      </c>
      <c r="AE605" s="1">
        <f>0</f>
        <v>0</v>
      </c>
      <c r="AF605" s="1">
        <f>0</f>
        <v>0</v>
      </c>
      <c r="AG605" s="1" t="e">
        <f>ABS(NETWORKDAYS.INTL("06/13/2024", "08/05/24", 1, {"01/01/2024","01/15/2024","02/19/2024","05/27/2024","07/04/2024","09/02/2024","10/14/2024","11/11/2024","11/28/2024","12/25/2024","12/25/2024","12/26/2024","12/27/2024","12/28/2024","12/29/2024","12/30/2024","31/25/2024","01/01/2024","01/02/2024","01/03/2024","01/04/2024","01/05/2024"}))</f>
        <v>#VALUE!</v>
      </c>
      <c r="AH605" s="1" t="e">
        <f>ABS(NETWORKDAYS.INTL("06/13/2024", "06/13/2024", 1, {"01/01/2024","01/15/2024","02/19/2024","05/27/2024","07/04/2024","09/02/2024","10/14/2024","11/11/2024","11/28/2024","12/25/2024","12/25/2024","12/26/2024","12/27/2024","12/28/2024","12/29/2024","12/30/2024","31/25/2024","01/01/2024","01/02/2024","01/03/2024","01/04/2024","01/05/2024"}))</f>
        <v>#VALUE!</v>
      </c>
      <c r="AI605" s="1">
        <f>0</f>
        <v>0</v>
      </c>
      <c r="AJ605" s="1" t="b">
        <v>1</v>
      </c>
      <c r="AK605" s="1"/>
      <c r="AL605" s="1"/>
      <c r="AM605" s="1"/>
      <c r="AN605" s="1"/>
      <c r="AO605" s="1"/>
      <c r="AP605" s="1" t="b">
        <v>1</v>
      </c>
      <c r="AQ605" s="1"/>
      <c r="AR605" s="1"/>
      <c r="AS605" s="1"/>
      <c r="AT605" s="1"/>
      <c r="AU605" s="1"/>
      <c r="AV605" s="1"/>
      <c r="AW605" s="1"/>
      <c r="AX605" s="1"/>
      <c r="AY605" s="1"/>
      <c r="AZ605" s="1" t="b">
        <v>1</v>
      </c>
    </row>
    <row r="606" spans="1:52" ht="15" customHeight="1" x14ac:dyDescent="0.35">
      <c r="A606" s="1" t="s">
        <v>2022</v>
      </c>
      <c r="B606" s="1" t="s">
        <v>336</v>
      </c>
      <c r="C606" s="1" t="s">
        <v>1157</v>
      </c>
      <c r="D606" s="1" t="s">
        <v>1982</v>
      </c>
      <c r="E606" s="1" t="s">
        <v>1983</v>
      </c>
      <c r="F606" s="9" t="s">
        <v>2023</v>
      </c>
      <c r="G606" s="1" t="s">
        <v>38</v>
      </c>
      <c r="H6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06" s="11" t="e">
        <f>ABS(NETWORKDAYS.INTL("05/29/2024", "05/29/2024", 1, {"01/01/2024","01/15/2024","02/19/2024","05/27/2024","07/04/2024","09/02/2024","10/14/2024","11/11/2024","11/28/2024","12/25/2024","12/25/2024","12/26/2024","12/27/2024","12/28/2024","12/29/2024","12/30/2024","31/25/2024","01/01/2024","01/02/2024","01/03/2024","01/04/2024","01/05/2024"}))</f>
        <v>#VALUE!</v>
      </c>
      <c r="J606">
        <f>0</f>
        <v>0</v>
      </c>
      <c r="K606" s="1"/>
      <c r="L606" s="1">
        <v>1</v>
      </c>
      <c r="M606" s="1" t="e">
        <f>ABS(NETWORKDAYS.INTL("06/18/2024", "06/18/2024", 1, {"01/01/2024","01/15/2024","02/19/2024","05/27/2024","07/04/2024","09/02/2024","10/14/2024","11/11/2024","11/28/2024","12/25/2024","12/25/2024","12/26/2024","12/27/2024","12/28/2024","12/29/2024","12/30/2024","31/25/2024","01/01/2024","01/02/2024","01/03/2024","01/04/2024","01/05/2024"}))</f>
        <v>#VALUE!</v>
      </c>
      <c r="N606" s="1">
        <f>0</f>
        <v>0</v>
      </c>
      <c r="O606" s="1">
        <f>0</f>
        <v>0</v>
      </c>
      <c r="P606" s="1"/>
      <c r="Q606" s="1">
        <v>0</v>
      </c>
      <c r="R606" s="1">
        <v>0</v>
      </c>
      <c r="S606" s="1">
        <f>0</f>
        <v>0</v>
      </c>
      <c r="T606" s="1">
        <f>0</f>
        <v>0</v>
      </c>
      <c r="U606" s="1"/>
      <c r="V606" s="1">
        <v>1</v>
      </c>
      <c r="W606" s="1">
        <v>1</v>
      </c>
      <c r="X606" s="1" t="e">
        <f>ABS(NETWORKDAYS.INTL("06/18/2024", "06/20/2024", 1, {"01/01/2024","01/15/2024","02/19/2024","05/27/2024","07/04/2024","09/02/2024","10/14/2024","11/11/2024","11/28/2024","12/25/2024","12/25/2024","12/26/2024","12/27/2024","12/28/2024","12/29/2024","12/30/2024","31/25/2024","01/01/2024","01/02/2024","01/03/2024","01/04/2024","01/05/2024"}))</f>
        <v>#VALUE!</v>
      </c>
      <c r="Y606" s="1">
        <f>0</f>
        <v>0</v>
      </c>
      <c r="Z606" s="1">
        <f>0</f>
        <v>0</v>
      </c>
      <c r="AA606" s="1"/>
      <c r="AB606" s="5">
        <v>45468</v>
      </c>
      <c r="AC606" s="1"/>
      <c r="AD606" s="1" t="e">
        <f>ABS(NETWORKDAYS.INTL("06/18/2024", "05/29/2024", 1, {"01/01/2024","01/15/2024","02/19/2024","05/27/2024","07/04/2024","09/02/2024","10/14/2024","11/11/2024","11/28/2024","12/25/2024","12/25/2024","12/26/2024","12/27/2024","12/28/2024","12/29/2024","12/30/2024","31/25/2024","01/01/2024","01/02/2024","01/03/2024","01/04/2024","01/05/2024"}))</f>
        <v>#VALUE!</v>
      </c>
      <c r="AE606" s="1">
        <f>0</f>
        <v>0</v>
      </c>
      <c r="AF606" s="1">
        <f>0</f>
        <v>0</v>
      </c>
      <c r="AG606" s="1" t="e">
        <f>ABS(NETWORKDAYS.INTL("06/18/2024", "08/05/24", 1, {"01/01/2024","01/15/2024","02/19/2024","05/27/2024","07/04/2024","09/02/2024","10/14/2024","11/11/2024","11/28/2024","12/25/2024","12/25/2024","12/26/2024","12/27/2024","12/28/2024","12/29/2024","12/30/2024","31/25/2024","01/01/2024","01/02/2024","01/03/2024","01/04/2024","01/05/2024"}))</f>
        <v>#VALUE!</v>
      </c>
      <c r="AH606" s="1" t="e">
        <f>ABS(NETWORKDAYS.INTL("06/18/2024", "06/18/2024", 1, {"01/01/2024","01/15/2024","02/19/2024","05/27/2024","07/04/2024","09/02/2024","10/14/2024","11/11/2024","11/28/2024","12/25/2024","12/25/2024","12/26/2024","12/27/2024","12/28/2024","12/29/2024","12/30/2024","31/25/2024","01/01/2024","01/02/2024","01/03/2024","01/04/2024","01/05/2024"}))</f>
        <v>#VALUE!</v>
      </c>
      <c r="AI606" s="1">
        <f>0</f>
        <v>0</v>
      </c>
      <c r="AJ606" s="1" t="b">
        <v>1</v>
      </c>
      <c r="AK606" s="1"/>
      <c r="AL606" s="1"/>
      <c r="AM606" s="1"/>
      <c r="AN606" s="1"/>
      <c r="AO606" s="1"/>
      <c r="AP606" s="1" t="b">
        <v>1</v>
      </c>
      <c r="AQ606" s="1"/>
      <c r="AR606" s="1"/>
      <c r="AS606" s="1"/>
      <c r="AT606" s="1"/>
      <c r="AU606" s="1"/>
      <c r="AV606" s="1"/>
      <c r="AW606" s="1"/>
      <c r="AX606" s="1"/>
      <c r="AY606" s="1"/>
      <c r="AZ606" s="1" t="b">
        <v>1</v>
      </c>
    </row>
    <row r="607" spans="1:52" ht="15" customHeight="1" x14ac:dyDescent="0.35">
      <c r="A607" s="1" t="s">
        <v>2024</v>
      </c>
      <c r="B607" s="1" t="s">
        <v>337</v>
      </c>
      <c r="C607" s="1" t="s">
        <v>988</v>
      </c>
      <c r="D607" s="1" t="s">
        <v>2020</v>
      </c>
      <c r="E607" s="1" t="s">
        <v>1983</v>
      </c>
      <c r="F607" s="9" t="s">
        <v>2025</v>
      </c>
      <c r="G607" s="1" t="s">
        <v>38</v>
      </c>
      <c r="H6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7" s="11" t="e">
        <f>ABS(NETWORKDAYS.INTL("06/10/2024", "06/10/2024", 1, {"01/01/2024","01/15/2024","02/19/2024","05/27/2024","07/04/2024","09/02/2024","10/14/2024","11/11/2024","11/28/2024","12/25/2024","12/25/2024","12/26/2024","12/27/2024","12/28/2024","12/29/2024","12/30/2024","31/25/2024","01/01/2024","01/02/2024","01/03/2024","01/04/2024","01/05/2024"}))</f>
        <v>#VALUE!</v>
      </c>
      <c r="J607">
        <f>0</f>
        <v>0</v>
      </c>
      <c r="K607" s="1"/>
      <c r="L607" s="1">
        <v>1</v>
      </c>
      <c r="M607" s="1" t="e">
        <f>ABS(NETWORKDAYS.INTL("06/13/2024", "06/13/2024", 1, {"01/01/2024","01/15/2024","02/19/2024","05/27/2024","07/04/2024","09/02/2024","10/14/2024","11/11/2024","11/28/2024","12/25/2024","12/25/2024","12/26/2024","12/27/2024","12/28/2024","12/29/2024","12/30/2024","31/25/2024","01/01/2024","01/02/2024","01/03/2024","01/04/2024","01/05/2024"}))</f>
        <v>#VALUE!</v>
      </c>
      <c r="N607" s="1">
        <f>0</f>
        <v>0</v>
      </c>
      <c r="O607" s="1">
        <f>0</f>
        <v>0</v>
      </c>
      <c r="P607" s="1"/>
      <c r="Q607" s="1">
        <v>0</v>
      </c>
      <c r="R607" s="1">
        <v>0</v>
      </c>
      <c r="S607" s="1">
        <f>0</f>
        <v>0</v>
      </c>
      <c r="T607" s="1">
        <f>0</f>
        <v>0</v>
      </c>
      <c r="U607" s="1"/>
      <c r="V607" s="1">
        <v>1</v>
      </c>
      <c r="W607" s="1">
        <v>1</v>
      </c>
      <c r="X607" s="1" t="e">
        <f>ABS(NETWORKDAYS.INTL("06/14/2024", "06/14/2024", 1, {"01/01/2024","01/15/2024","02/19/2024","05/27/2024","07/04/2024","09/02/2024","10/14/2024","11/11/2024","11/28/2024","12/25/2024","12/25/2024","12/26/2024","12/27/2024","12/28/2024","12/29/2024","12/30/2024","31/25/2024","01/01/2024","01/02/2024","01/03/2024","01/04/2024","01/05/2024"}))</f>
        <v>#VALUE!</v>
      </c>
      <c r="Y607" s="1">
        <f>0</f>
        <v>0</v>
      </c>
      <c r="Z607" s="1">
        <f>0</f>
        <v>0</v>
      </c>
      <c r="AA607" s="1"/>
      <c r="AB607" s="5">
        <v>45457</v>
      </c>
      <c r="AC607" s="5">
        <v>45502</v>
      </c>
      <c r="AD607" s="1" t="e">
        <f>ABS(NETWORKDAYS.INTL("06/13/2024", "06/10/2024", 1, {"01/01/2024","01/15/2024","02/19/2024","05/27/2024","07/04/2024","09/02/2024","10/14/2024","11/11/2024","11/28/2024","12/25/2024","12/25/2024","12/26/2024","12/27/2024","12/28/2024","12/29/2024","12/30/2024","31/25/2024","01/01/2024","01/02/2024","01/03/2024","01/04/2024","01/05/2024"}))</f>
        <v>#VALUE!</v>
      </c>
      <c r="AE607" s="1">
        <f>0</f>
        <v>0</v>
      </c>
      <c r="AF607" s="1">
        <f>0</f>
        <v>0</v>
      </c>
      <c r="AG607" s="1" t="e">
        <f>ABS(NETWORKDAYS.INTL("06/13/2024", "08/05/24", 1, {"01/01/2024","01/15/2024","02/19/2024","05/27/2024","07/04/2024","09/02/2024","10/14/2024","11/11/2024","11/28/2024","12/25/2024","12/25/2024","12/26/2024","12/27/2024","12/28/2024","12/29/2024","12/30/2024","31/25/2024","01/01/2024","01/02/2024","01/03/2024","01/04/2024","01/05/2024"}))</f>
        <v>#VALUE!</v>
      </c>
      <c r="AH607" s="1" t="e">
        <f>ABS(NETWORKDAYS.INTL("06/14/2024", "06/13/2024", 1, {"01/01/2024","01/15/2024","02/19/2024","05/27/2024","07/04/2024","09/02/2024","10/14/2024","11/11/2024","11/28/2024","12/25/2024","12/25/2024","12/26/2024","12/27/2024","12/28/2024","12/29/2024","12/30/2024","31/25/2024","01/01/2024","01/02/2024","01/03/2024","01/04/2024","01/05/2024"}))</f>
        <v>#VALUE!</v>
      </c>
      <c r="AI607" s="1" t="e">
        <f>ABS(NETWORKDAYS.INTL("7/29/2024", "06/14/2024", 1, {"01/01/2024","01/15/2024","02/19/2024","05/27/2024","07/04/2024","09/02/2024","10/14/2024","11/11/2024","11/28/2024","12/25/2024","12/25/2024","12/26/2024","12/27/2024","12/28/2024","12/29/2024","12/30/2024","31/25/2024","01/01/2024","01/02/2024","01/03/2024","01/04/2024","01/05/2024"}))</f>
        <v>#VALUE!</v>
      </c>
      <c r="AJ607" s="1" t="b">
        <v>1</v>
      </c>
      <c r="AK607" s="1"/>
      <c r="AL607" s="1"/>
      <c r="AM607" s="1"/>
      <c r="AN607" s="1"/>
      <c r="AO607" s="1"/>
      <c r="AP607" s="1" t="b">
        <v>1</v>
      </c>
      <c r="AQ607" s="1"/>
      <c r="AR607" s="1"/>
      <c r="AS607" s="1"/>
      <c r="AT607" s="1"/>
      <c r="AU607" s="1"/>
      <c r="AV607" s="1"/>
      <c r="AW607" s="1"/>
      <c r="AX607" s="1"/>
      <c r="AY607" s="1"/>
      <c r="AZ607" s="1" t="b">
        <v>1</v>
      </c>
    </row>
    <row r="608" spans="1:52" ht="15" customHeight="1" x14ac:dyDescent="0.35">
      <c r="A608" s="1" t="s">
        <v>2026</v>
      </c>
      <c r="B608" s="1" t="s">
        <v>338</v>
      </c>
      <c r="C608" s="1" t="s">
        <v>988</v>
      </c>
      <c r="D608" s="1" t="s">
        <v>1738</v>
      </c>
      <c r="E608" s="1" t="s">
        <v>2003</v>
      </c>
      <c r="F608" s="9" t="s">
        <v>2027</v>
      </c>
      <c r="G608" s="1" t="s">
        <v>38</v>
      </c>
      <c r="H6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8" s="11" t="e">
        <f>ABS(NETWORKDAYS.INTL("05/21/2024", "05/22/2024", 1, {"01/01/2024","01/15/2024","02/19/2024","05/27/2024","07/04/2024","09/02/2024","10/14/2024","11/11/2024","11/28/2024","12/25/2024","12/25/2024","12/26/2024","12/27/2024","12/28/2024","12/29/2024","12/30/2024","31/25/2024","01/01/2024","01/02/2024","01/03/2024","01/04/2024","01/05/2024"}))</f>
        <v>#VALUE!</v>
      </c>
      <c r="J608">
        <f>0</f>
        <v>0</v>
      </c>
      <c r="K608" s="1"/>
      <c r="L608" s="1">
        <v>1</v>
      </c>
      <c r="M608" s="1" t="e">
        <f>ABS(NETWORKDAYS.INTL("06/19/2024", "06/19/2024", 1, {"01/01/2024","01/15/2024","02/19/2024","05/27/2024","07/04/2024","09/02/2024","10/14/2024","11/11/2024","11/28/2024","12/25/2024","12/25/2024","12/26/2024","12/27/2024","12/28/2024","12/29/2024","12/30/2024","31/25/2024","01/01/2024","01/02/2024","01/03/2024","01/04/2024","01/05/2024"}))</f>
        <v>#VALUE!</v>
      </c>
      <c r="N608" s="1">
        <f>0</f>
        <v>0</v>
      </c>
      <c r="O608" s="1">
        <f>0</f>
        <v>0</v>
      </c>
      <c r="P608" s="1"/>
      <c r="Q608" s="1">
        <v>0</v>
      </c>
      <c r="R608" s="1">
        <v>0</v>
      </c>
      <c r="S608" s="1">
        <f>0</f>
        <v>0</v>
      </c>
      <c r="T608" s="1">
        <f>0</f>
        <v>0</v>
      </c>
      <c r="U608" s="1"/>
      <c r="V608" s="1">
        <v>2</v>
      </c>
      <c r="W608" s="1">
        <v>2</v>
      </c>
      <c r="X608" s="1" t="e">
        <f>ABS(NETWORKDAYS.INTL("06/19/2024", "06/21/2024", 1, {"01/01/2024","01/15/2024","02/19/2024","05/27/2024","07/04/2024","09/02/2024","10/14/2024","11/11/2024","11/28/2024","12/25/2024","12/25/2024","12/26/2024","12/27/2024","12/28/2024","12/29/2024","12/30/2024","31/25/2024","01/01/2024","01/02/2024","01/03/2024","01/04/2024","01/05/2024"})+NETWORKDAYS.INTL("07/01/2024", "07/01/2024", 1, {"01/01/2024","01/15/2024","02/19/2024","05/27/2024","07/04/2024","09/02/2024","10/14/2024","11/11/2024","11/28/2024","12/25/2024","12/25/2024","12/26/2024","12/27/2024","12/28/2024","12/29/2024","12/30/2024","31/25/2024","01/01/2024","01/02/2024","01/03/2024","01/04/2024","01/05/2024"}))</f>
        <v>#VALUE!</v>
      </c>
      <c r="Y608" s="1" t="e">
        <f>ABS(NETWORKDAYS.INTL("07/01/2024", "07/01/2024", 1, {"01/01/2024","01/15/2024","02/19/2024","05/27/2024","07/04/2024","09/02/2024","10/14/2024","11/11/2024","11/28/2024","12/25/2024","12/25/2024","12/26/2024","12/27/2024","12/28/2024","12/29/2024","12/30/2024","31/25/2024","01/01/2024","01/02/2024","01/03/2024","01/04/2024","01/05/2024"}))</f>
        <v>#VALUE!</v>
      </c>
      <c r="Z608" s="1">
        <f>0</f>
        <v>0</v>
      </c>
      <c r="AA608" s="1"/>
      <c r="AB608" s="5">
        <v>45474</v>
      </c>
      <c r="AC608" s="5">
        <v>45504</v>
      </c>
      <c r="AD608" s="1" t="e">
        <f>ABS(NETWORKDAYS.INTL("06/19/2024", "05/22/2024", 1, {"01/01/2024","01/15/2024","02/19/2024","05/27/2024","07/04/2024","09/02/2024","10/14/2024","11/11/2024","11/28/2024","12/25/2024","12/25/2024","12/26/2024","12/27/2024","12/28/2024","12/29/2024","12/30/2024","31/25/2024","01/01/2024","01/02/2024","01/03/2024","01/04/2024","01/05/2024"}))</f>
        <v>#VALUE!</v>
      </c>
      <c r="AE608" s="1">
        <f>0</f>
        <v>0</v>
      </c>
      <c r="AF608" s="1">
        <f>0</f>
        <v>0</v>
      </c>
      <c r="AG608" s="1" t="e">
        <f>ABS(NETWORKDAYS.INTL("06/19/2024", "08/05/24", 1, {"01/01/2024","01/15/2024","02/19/2024","05/27/2024","07/04/2024","09/02/2024","10/14/2024","11/11/2024","11/28/2024","12/25/2024","12/25/2024","12/26/2024","12/27/2024","12/28/2024","12/29/2024","12/30/2024","31/25/2024","01/01/2024","01/02/2024","01/03/2024","01/04/2024","01/05/2024"}))</f>
        <v>#VALUE!</v>
      </c>
      <c r="AH608" s="1" t="e">
        <f>ABS(NETWORKDAYS.INTL("06/19/2024", "06/19/2024", 1, {"01/01/2024","01/15/2024","02/19/2024","05/27/2024","07/04/2024","09/02/2024","10/14/2024","11/11/2024","11/28/2024","12/25/2024","12/25/2024","12/26/2024","12/27/2024","12/28/2024","12/29/2024","12/30/2024","31/25/2024","01/01/2024","01/02/2024","01/03/2024","01/04/2024","01/05/2024"}))</f>
        <v>#VALUE!</v>
      </c>
      <c r="AI608" s="1" t="e">
        <f>ABS(NETWORKDAYS.INTL("07/31/2024", "07/01/2024", 1, {"01/01/2024","01/15/2024","02/19/2024","05/27/2024","07/04/2024","09/02/2024","10/14/2024","11/11/2024","11/28/2024","12/25/2024","12/25/2024","12/26/2024","12/27/2024","12/28/2024","12/29/2024","12/30/2024","31/25/2024","01/01/2024","01/02/2024","01/03/2024","01/04/2024","01/05/2024"}))</f>
        <v>#VALUE!</v>
      </c>
      <c r="AJ608" s="1" t="b">
        <v>1</v>
      </c>
      <c r="AK608" s="1"/>
      <c r="AL608" s="1"/>
      <c r="AM608" s="1"/>
      <c r="AN608" s="1"/>
      <c r="AO608" s="1"/>
      <c r="AP608" s="1" t="b">
        <v>1</v>
      </c>
      <c r="AQ608" s="1"/>
      <c r="AR608" s="1"/>
      <c r="AS608" s="1"/>
      <c r="AT608" s="1"/>
      <c r="AU608" s="1"/>
      <c r="AV608" s="1"/>
      <c r="AW608" s="1"/>
      <c r="AX608" s="1"/>
      <c r="AY608" s="1"/>
      <c r="AZ608" s="1" t="b">
        <v>1</v>
      </c>
    </row>
    <row r="609" spans="1:52" ht="15" customHeight="1" x14ac:dyDescent="0.35">
      <c r="A609" s="1" t="s">
        <v>2028</v>
      </c>
      <c r="B609" s="1" t="s">
        <v>339</v>
      </c>
      <c r="C609" s="1" t="s">
        <v>988</v>
      </c>
      <c r="D609" s="1" t="s">
        <v>2029</v>
      </c>
      <c r="E609" s="1" t="s">
        <v>1983</v>
      </c>
      <c r="F609" s="9" t="s">
        <v>2030</v>
      </c>
      <c r="G609" s="1" t="s">
        <v>38</v>
      </c>
      <c r="H6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09" s="11" t="e">
        <f>ABS(NETWORKDAYS.INTL("05/31/2024", "06/03/2024", 1, {"01/01/2024","01/15/2024","02/19/2024","05/27/2024","07/04/2024","09/02/2024","10/14/2024","11/11/2024","11/28/2024","12/25/2024","12/25/2024","12/26/2024","12/27/2024","12/28/2024","12/29/2024","12/30/2024","31/25/2024","01/01/2024","01/02/2024","01/03/2024","01/04/2024","01/05/2024"}))</f>
        <v>#VALUE!</v>
      </c>
      <c r="J609">
        <f>0</f>
        <v>0</v>
      </c>
      <c r="K609" s="1"/>
      <c r="L609" s="1">
        <v>1</v>
      </c>
      <c r="M609" s="1" t="e">
        <f>ABS(NETWORKDAYS.INTL("06/20/2024", "06/20/2024", 1, {"01/01/2024","01/15/2024","02/19/2024","05/27/2024","07/04/2024","09/02/2024","10/14/2024","11/11/2024","11/28/2024","12/25/2024","12/25/2024","12/26/2024","12/27/2024","12/28/2024","12/29/2024","12/30/2024","31/25/2024","01/01/2024","01/02/2024","01/03/2024","01/04/2024","01/05/2024"}))</f>
        <v>#VALUE!</v>
      </c>
      <c r="N609" s="1">
        <f>0</f>
        <v>0</v>
      </c>
      <c r="O609" s="1">
        <f>0</f>
        <v>0</v>
      </c>
      <c r="P609" s="1"/>
      <c r="Q609" s="1">
        <v>0</v>
      </c>
      <c r="R609" s="1">
        <v>0</v>
      </c>
      <c r="S609" s="1">
        <f>0</f>
        <v>0</v>
      </c>
      <c r="T609" s="1">
        <f>0</f>
        <v>0</v>
      </c>
      <c r="U609" s="1"/>
      <c r="V609" s="1">
        <v>2</v>
      </c>
      <c r="W609" s="1">
        <v>1</v>
      </c>
      <c r="X609" s="1" t="e">
        <f>ABS(NETWORKDAYS.INTL("06/20/2024", "06/20/2024", 1, {"01/01/2024","01/15/2024","02/19/2024","05/27/2024","07/04/2024","09/02/2024","10/14/2024","11/11/2024","11/28/2024","12/25/2024","12/25/2024","12/26/2024","12/27/2024","12/28/2024","12/29/2024","12/30/2024","31/25/2024","01/01/2024","01/02/2024","01/03/2024","01/04/2024","01/05/2024"}))</f>
        <v>#VALUE!</v>
      </c>
      <c r="Y609" s="1" t="e">
        <f>ABS(NETWORKDAYS.INTL("07/03/2024", "07/03/2024", 1, {"01/01/2024","01/15/2024","02/19/2024","05/27/2024","07/04/2024","09/02/2024","10/14/2024","11/11/2024","11/28/2024","12/25/2024","12/25/2024","12/26/2024","12/27/2024","12/28/2024","12/29/2024","12/30/2024","31/25/2024","01/01/2024","01/02/2024","01/03/2024","01/04/2024","01/05/2024"}))</f>
        <v>#VALUE!</v>
      </c>
      <c r="Z609" s="1">
        <f>0</f>
        <v>0</v>
      </c>
      <c r="AA609" s="1"/>
      <c r="AB609" s="5">
        <v>45483</v>
      </c>
      <c r="AC609" s="5">
        <v>45503</v>
      </c>
      <c r="AD609" s="1" t="e">
        <f>ABS(NETWORKDAYS.INTL("06/20/2024", "06/03/2024", 1, {"01/01/2024","01/15/2024","02/19/2024","05/27/2024","07/04/2024","09/02/2024","10/14/2024","11/11/2024","11/28/2024","12/25/2024","12/25/2024","12/26/2024","12/27/2024","12/28/2024","12/29/2024","12/30/2024","31/25/2024","01/01/2024","01/02/2024","01/03/2024","01/04/2024","01/05/2024"}))</f>
        <v>#VALUE!</v>
      </c>
      <c r="AE609" s="1">
        <f>0</f>
        <v>0</v>
      </c>
      <c r="AF609" s="1">
        <f>0</f>
        <v>0</v>
      </c>
      <c r="AG609" s="1" t="e">
        <f>ABS(NETWORKDAYS.INTL("06/20/2024", "08/05/24", 1, {"01/01/2024","01/15/2024","02/19/2024","05/27/2024","07/04/2024","09/02/2024","10/14/2024","11/11/2024","11/28/2024","12/25/2024","12/25/2024","12/26/2024","12/27/2024","12/28/2024","12/29/2024","12/30/2024","31/25/2024","01/01/2024","01/02/2024","01/03/2024","01/04/2024","01/05/2024"}))</f>
        <v>#VALUE!</v>
      </c>
      <c r="AH609" s="1" t="e">
        <f>ABS(NETWORKDAYS.INTL("06/20/2024", "06/20/2024", 1, {"01/01/2024","01/15/2024","02/19/2024","05/27/2024","07/04/2024","09/02/2024","10/14/2024","11/11/2024","11/28/2024","12/25/2024","12/25/2024","12/26/2024","12/27/2024","12/28/2024","12/29/2024","12/30/2024","31/25/2024","01/01/2024","01/02/2024","01/03/2024","01/04/2024","01/05/2024"}))</f>
        <v>#VALUE!</v>
      </c>
      <c r="AI609" s="1" t="e">
        <f>ABS(NETWORKDAYS.INTL("07/30/2024", "07/10/2024", 1, {"01/01/2024","01/15/2024","02/19/2024","05/27/2024","07/04/2024","09/02/2024","10/14/2024","11/11/2024","11/28/2024","12/25/2024","12/25/2024","12/26/2024","12/27/2024","12/28/2024","12/29/2024","12/30/2024","31/25/2024","01/01/2024","01/02/2024","01/03/2024","01/04/2024","01/05/2024"}))</f>
        <v>#VALUE!</v>
      </c>
      <c r="AJ609" s="1" t="b">
        <v>1</v>
      </c>
      <c r="AK609" s="1"/>
      <c r="AL609" s="1"/>
      <c r="AM609" s="1"/>
      <c r="AN609" s="1"/>
      <c r="AO609" s="1"/>
      <c r="AP609" s="1" t="b">
        <v>1</v>
      </c>
      <c r="AQ609" s="1"/>
      <c r="AR609" s="1"/>
      <c r="AS609" s="1"/>
      <c r="AT609" s="1"/>
      <c r="AU609" s="1"/>
      <c r="AV609" s="1"/>
      <c r="AW609" s="1"/>
      <c r="AX609" s="1"/>
      <c r="AY609" s="1"/>
      <c r="AZ609" s="1" t="b">
        <v>1</v>
      </c>
    </row>
    <row r="610" spans="1:52" ht="15" customHeight="1" x14ac:dyDescent="0.35">
      <c r="A610" s="1" t="s">
        <v>2031</v>
      </c>
      <c r="B610" s="1" t="s">
        <v>340</v>
      </c>
      <c r="C610" s="1" t="s">
        <v>988</v>
      </c>
      <c r="D610" s="1" t="s">
        <v>1706</v>
      </c>
      <c r="E610" s="1" t="s">
        <v>1983</v>
      </c>
      <c r="F610" s="9" t="s">
        <v>2032</v>
      </c>
      <c r="G610" s="1" t="s">
        <v>38</v>
      </c>
      <c r="H6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0" s="11" t="e">
        <f>ABS(NETWORKDAYS.INTL("05/27/2024", "05/31/2024", 1, {"01/01/2024","01/15/2024","02/19/2024","05/27/2024","07/04/2024","09/02/2024","10/14/2024","11/11/2024","11/28/2024","12/25/2024","12/25/2024","12/26/2024","12/27/2024","12/28/2024","12/29/2024","12/30/2024","31/25/2024","01/01/2024","01/02/2024","01/03/2024","01/04/2024","01/05/2024"}))</f>
        <v>#VALUE!</v>
      </c>
      <c r="J610">
        <f>0</f>
        <v>0</v>
      </c>
      <c r="K610" s="1"/>
      <c r="L610" s="1">
        <v>1</v>
      </c>
      <c r="M610" s="1" t="e">
        <f>ABS(NETWORKDAYS.INTL("06/19/2024", "06/19/2024", 1, {"01/01/2024","01/15/2024","02/19/2024","05/27/2024","07/04/2024","09/02/2024","10/14/2024","11/11/2024","11/28/2024","12/25/2024","12/25/2024","12/26/2024","12/27/2024","12/28/2024","12/29/2024","12/30/2024","31/25/2024","01/01/2024","01/02/2024","01/03/2024","01/04/2024","01/05/2024"}))</f>
        <v>#VALUE!</v>
      </c>
      <c r="N610" s="1">
        <f>0</f>
        <v>0</v>
      </c>
      <c r="O610" s="1">
        <f>0</f>
        <v>0</v>
      </c>
      <c r="P610" s="1"/>
      <c r="Q610" s="1">
        <v>0</v>
      </c>
      <c r="R610" s="1">
        <v>0</v>
      </c>
      <c r="S610" s="1">
        <f>0</f>
        <v>0</v>
      </c>
      <c r="T610" s="1">
        <f>0</f>
        <v>0</v>
      </c>
      <c r="U610" s="1"/>
      <c r="V610" s="1">
        <v>1</v>
      </c>
      <c r="W610" s="1">
        <v>1</v>
      </c>
      <c r="X610" s="1" t="e">
        <f>ABS(NETWORKDAYS.INTL("06/19/2024", "06/20/2024", 1, {"01/01/2024","01/15/2024","02/19/2024","05/27/2024","07/04/2024","09/02/2024","10/14/2024","11/11/2024","11/28/2024","12/25/2024","12/25/2024","12/26/2024","12/27/2024","12/28/2024","12/29/2024","12/30/2024","31/25/2024","01/01/2024","01/02/2024","01/03/2024","01/04/2024","01/05/2024"}))</f>
        <v>#VALUE!</v>
      </c>
      <c r="Y610" s="1">
        <f>0</f>
        <v>0</v>
      </c>
      <c r="Z610" s="1">
        <f>0</f>
        <v>0</v>
      </c>
      <c r="AA610" s="1"/>
      <c r="AB610" s="5">
        <v>45470</v>
      </c>
      <c r="AC610" s="5">
        <v>45503</v>
      </c>
      <c r="AD610" s="1" t="e">
        <f>ABS(NETWORKDAYS.INTL("06/19/2024", "05/31/2024", 1, {"01/01/2024","01/15/2024","02/19/2024","05/27/2024","07/04/2024","09/02/2024","10/14/2024","11/11/2024","11/28/2024","12/25/2024","12/25/2024","12/26/2024","12/27/2024","12/28/2024","12/29/2024","12/30/2024","31/25/2024","01/01/2024","01/02/2024","01/03/2024","01/04/2024","01/05/2024"}))</f>
        <v>#VALUE!</v>
      </c>
      <c r="AE610" s="1">
        <f>0</f>
        <v>0</v>
      </c>
      <c r="AF610" s="1">
        <f>0</f>
        <v>0</v>
      </c>
      <c r="AG610" s="1" t="e">
        <f>ABS(NETWORKDAYS.INTL("06/19/2024", "08/05/24", 1, {"01/01/2024","01/15/2024","02/19/2024","05/27/2024","07/04/2024","09/02/2024","10/14/2024","11/11/2024","11/28/2024","12/25/2024","12/25/2024","12/26/2024","12/27/2024","12/28/2024","12/29/2024","12/30/2024","31/25/2024","01/01/2024","01/02/2024","01/03/2024","01/04/2024","01/05/2024"}))</f>
        <v>#VALUE!</v>
      </c>
      <c r="AH610" s="1" t="e">
        <f>ABS(NETWORKDAYS.INTL("06/19/2024", "06/19/2024", 1, {"01/01/2024","01/15/2024","02/19/2024","05/27/2024","07/04/2024","09/02/2024","10/14/2024","11/11/2024","11/28/2024","12/25/2024","12/25/2024","12/26/2024","12/27/2024","12/28/2024","12/29/2024","12/30/2024","31/25/2024","01/01/2024","01/02/2024","01/03/2024","01/04/2024","01/05/2024"}))</f>
        <v>#VALUE!</v>
      </c>
      <c r="AI610" s="1" t="e">
        <f>ABS(NETWORKDAYS.INTL("07/30/2024", "06/27/2024", 1, {"01/01/2024","01/15/2024","02/19/2024","05/27/2024","07/04/2024","09/02/2024","10/14/2024","11/11/2024","11/28/2024","12/25/2024","12/25/2024","12/26/2024","12/27/2024","12/28/2024","12/29/2024","12/30/2024","31/25/2024","01/01/2024","01/02/2024","01/03/2024","01/04/2024","01/05/2024"}))</f>
        <v>#VALUE!</v>
      </c>
      <c r="AJ610" s="1" t="b">
        <v>1</v>
      </c>
      <c r="AK610" s="1"/>
      <c r="AL610" s="1"/>
      <c r="AM610" s="1"/>
      <c r="AN610" s="1"/>
      <c r="AO610" s="1"/>
      <c r="AP610" s="1" t="b">
        <v>1</v>
      </c>
      <c r="AQ610" s="1"/>
      <c r="AR610" s="1"/>
      <c r="AS610" s="1"/>
      <c r="AT610" s="1"/>
      <c r="AU610" s="1"/>
      <c r="AV610" s="1"/>
      <c r="AW610" s="1"/>
      <c r="AX610" s="1"/>
      <c r="AY610" s="1"/>
      <c r="AZ610" s="1" t="b">
        <v>1</v>
      </c>
    </row>
    <row r="611" spans="1:52" ht="15" customHeight="1" x14ac:dyDescent="0.35">
      <c r="A611" s="1" t="s">
        <v>2033</v>
      </c>
      <c r="B611" s="1" t="s">
        <v>341</v>
      </c>
      <c r="C611" s="1" t="s">
        <v>1329</v>
      </c>
      <c r="D611" s="1" t="s">
        <v>1680</v>
      </c>
      <c r="E611" s="1" t="s">
        <v>1336</v>
      </c>
      <c r="F611" s="9" t="s">
        <v>2034</v>
      </c>
      <c r="G611" s="1" t="s">
        <v>38</v>
      </c>
      <c r="H6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1" s="11" t="e">
        <f>ABS(NETWORKDAYS.INTL("06/05/24", "06/07/24", 1, {"01/01/2024","01/15/2024","02/19/2024","05/27/2024","07/04/2024","09/02/2024","10/14/2024","11/11/2024","11/28/2024","12/25/2024","12/25/2024","12/26/2024","12/27/2024","12/28/2024","12/29/2024","12/30/2024","31/25/2024","01/01/2024","01/02/2024","01/03/2024","01/04/2024","01/05/2024"}))</f>
        <v>#VALUE!</v>
      </c>
      <c r="J611">
        <f>0</f>
        <v>0</v>
      </c>
      <c r="K611" s="1"/>
      <c r="L611" s="1">
        <v>0</v>
      </c>
      <c r="M611" s="1">
        <f>0</f>
        <v>0</v>
      </c>
      <c r="N611" s="1">
        <f>0</f>
        <v>0</v>
      </c>
      <c r="O611" s="1">
        <f>0</f>
        <v>0</v>
      </c>
      <c r="P611" s="1"/>
      <c r="Q611" s="1">
        <v>0</v>
      </c>
      <c r="R611" s="1">
        <v>0</v>
      </c>
      <c r="S611" s="1">
        <f>0</f>
        <v>0</v>
      </c>
      <c r="T611" s="1">
        <f>0</f>
        <v>0</v>
      </c>
      <c r="U611" s="1"/>
      <c r="V611" s="1">
        <v>0</v>
      </c>
      <c r="W611" s="1">
        <v>0</v>
      </c>
      <c r="X611" s="1">
        <f>0</f>
        <v>0</v>
      </c>
      <c r="Y611" s="1">
        <f>0</f>
        <v>0</v>
      </c>
      <c r="Z611" s="1">
        <f>0</f>
        <v>0</v>
      </c>
      <c r="AA611" s="1"/>
      <c r="AB611" s="5"/>
      <c r="AC611" s="1"/>
      <c r="AD611" s="1">
        <f>0</f>
        <v>0</v>
      </c>
      <c r="AE611" s="1">
        <f>0</f>
        <v>0</v>
      </c>
      <c r="AF611" s="1">
        <f>0</f>
        <v>0</v>
      </c>
      <c r="AG611" s="1">
        <f>0</f>
        <v>0</v>
      </c>
      <c r="AH611" s="1">
        <f>0</f>
        <v>0</v>
      </c>
      <c r="AI611" s="1">
        <f>0</f>
        <v>0</v>
      </c>
      <c r="AJ611" s="1" t="b">
        <v>1</v>
      </c>
      <c r="AK611" s="1"/>
      <c r="AL611" s="1"/>
      <c r="AM611" s="1"/>
      <c r="AN611" s="1"/>
      <c r="AO611" s="1"/>
      <c r="AP611" s="1" t="b">
        <v>1</v>
      </c>
      <c r="AQ611" s="1"/>
      <c r="AR611" s="1"/>
      <c r="AS611" s="1"/>
      <c r="AT611" s="1"/>
      <c r="AU611" s="1"/>
      <c r="AV611" s="1"/>
      <c r="AW611" s="1"/>
      <c r="AX611" s="1"/>
      <c r="AY611" s="1" t="b">
        <v>1</v>
      </c>
      <c r="AZ611" s="1"/>
    </row>
    <row r="612" spans="1:52" ht="15" customHeight="1" x14ac:dyDescent="0.35">
      <c r="A612" s="1" t="s">
        <v>2035</v>
      </c>
      <c r="B612" s="1" t="s">
        <v>342</v>
      </c>
      <c r="C612" s="1" t="s">
        <v>1329</v>
      </c>
      <c r="D612" s="1" t="s">
        <v>1335</v>
      </c>
      <c r="E612" s="1" t="s">
        <v>1336</v>
      </c>
      <c r="F612" s="9" t="s">
        <v>2036</v>
      </c>
      <c r="G612" s="1" t="s">
        <v>38</v>
      </c>
      <c r="H6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12" s="11" t="e">
        <f>ABS(NETWORKDAYS.INTL("05/24/24", "06/07/24", 1, {"01/01/2024","01/15/2024","02/19/2024","05/27/2024","07/04/2024","09/02/2024","10/14/2024","11/11/2024","11/28/2024","12/25/2024","12/25/2024","12/26/2024","12/27/2024","12/28/2024","12/29/2024","12/30/2024","31/25/2024","01/01/2024","01/02/2024","01/03/2024","01/04/2024","01/05/2024"}))</f>
        <v>#VALUE!</v>
      </c>
      <c r="J612">
        <f>0</f>
        <v>0</v>
      </c>
      <c r="K612" s="1"/>
      <c r="L612" s="1">
        <v>0</v>
      </c>
      <c r="M612" s="1">
        <f>0</f>
        <v>0</v>
      </c>
      <c r="N612" s="1">
        <f>0</f>
        <v>0</v>
      </c>
      <c r="O612" s="1">
        <f>0</f>
        <v>0</v>
      </c>
      <c r="P612" s="1"/>
      <c r="Q612" s="1">
        <v>0</v>
      </c>
      <c r="R612" s="1">
        <v>0</v>
      </c>
      <c r="S612" s="1">
        <f>0</f>
        <v>0</v>
      </c>
      <c r="T612" s="1">
        <f>0</f>
        <v>0</v>
      </c>
      <c r="U612" s="1"/>
      <c r="V612" s="1">
        <v>0</v>
      </c>
      <c r="W612" s="1">
        <v>0</v>
      </c>
      <c r="X612" s="1">
        <f>0</f>
        <v>0</v>
      </c>
      <c r="Y612" s="1">
        <f>0</f>
        <v>0</v>
      </c>
      <c r="Z612" s="1">
        <f>0</f>
        <v>0</v>
      </c>
      <c r="AA612" s="1"/>
      <c r="AB612" s="5"/>
      <c r="AC612" s="1"/>
      <c r="AD612" s="1">
        <f>0</f>
        <v>0</v>
      </c>
      <c r="AE612" s="1">
        <f>0</f>
        <v>0</v>
      </c>
      <c r="AF612" s="1">
        <f>0</f>
        <v>0</v>
      </c>
      <c r="AG612" s="1">
        <f>0</f>
        <v>0</v>
      </c>
      <c r="AH612" s="1">
        <f>0</f>
        <v>0</v>
      </c>
      <c r="AI612" s="1">
        <f>0</f>
        <v>0</v>
      </c>
      <c r="AJ612" s="1" t="b">
        <v>1</v>
      </c>
      <c r="AK612" s="1"/>
      <c r="AL612" s="1"/>
      <c r="AM612" s="1"/>
      <c r="AN612" s="1"/>
      <c r="AO612" s="1"/>
      <c r="AP612" s="1" t="b">
        <v>1</v>
      </c>
      <c r="AQ612" s="1"/>
      <c r="AR612" s="1"/>
      <c r="AS612" s="1"/>
      <c r="AT612" s="1"/>
      <c r="AU612" s="1"/>
      <c r="AV612" s="1"/>
      <c r="AW612" s="1"/>
      <c r="AX612" s="1"/>
      <c r="AY612" s="1" t="b">
        <v>1</v>
      </c>
      <c r="AZ612" s="1"/>
    </row>
    <row r="613" spans="1:52" ht="15" customHeight="1" x14ac:dyDescent="0.35">
      <c r="A613" s="1" t="s">
        <v>2037</v>
      </c>
      <c r="B613" s="1" t="s">
        <v>343</v>
      </c>
      <c r="C613" s="1" t="s">
        <v>988</v>
      </c>
      <c r="D613" s="1" t="s">
        <v>2038</v>
      </c>
      <c r="E613" s="1" t="s">
        <v>1983</v>
      </c>
      <c r="F613" s="9" t="s">
        <v>2039</v>
      </c>
      <c r="G613" s="1" t="s">
        <v>38</v>
      </c>
      <c r="H6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3" s="11" t="e">
        <f>ABS(NETWORKDAYS.INTL("06/10/2024", "06/10/2024", 1, {"01/01/2024","01/15/2024","02/19/2024","05/27/2024","07/04/2024","09/02/2024","10/14/2024","11/11/2024","11/28/2024","12/25/2024","12/25/2024","12/26/2024","12/27/2024","12/28/2024","12/29/2024","12/30/2024","31/25/2024","01/01/2024","01/02/2024","01/03/2024","01/04/2024","01/05/2024"}))</f>
        <v>#VALUE!</v>
      </c>
      <c r="J613">
        <f>0</f>
        <v>0</v>
      </c>
      <c r="K613" s="1"/>
      <c r="L613" s="1">
        <v>1</v>
      </c>
      <c r="M613" s="1" t="e">
        <f>ABS(NETWORKDAYS.INTL("06/13/2024", "06/13/2024", 1, {"01/01/2024","01/15/2024","02/19/2024","05/27/2024","07/04/2024","09/02/2024","10/14/2024","11/11/2024","11/28/2024","12/25/2024","12/25/2024","12/26/2024","12/27/2024","12/28/2024","12/29/2024","12/30/2024","31/25/2024","01/01/2024","01/02/2024","01/03/2024","01/04/2024","01/05/2024"}))</f>
        <v>#VALUE!</v>
      </c>
      <c r="N613" s="1">
        <f>0</f>
        <v>0</v>
      </c>
      <c r="O613" s="1">
        <f>0</f>
        <v>0</v>
      </c>
      <c r="P613" s="1"/>
      <c r="Q613" s="1">
        <v>0</v>
      </c>
      <c r="R613" s="1">
        <v>0</v>
      </c>
      <c r="S613" s="1">
        <f>0</f>
        <v>0</v>
      </c>
      <c r="T613" s="1">
        <f>0</f>
        <v>0</v>
      </c>
      <c r="U613" s="1"/>
      <c r="V613" s="1">
        <v>2</v>
      </c>
      <c r="W613" s="1">
        <v>1</v>
      </c>
      <c r="X613" s="1" t="e">
        <f>ABS(NETWORKDAYS.INTL("06/14/2024", "06/14/2024", 1, {"01/01/2024","01/15/2024","02/19/2024","05/27/2024","07/04/2024","09/02/2024","10/14/2024","11/11/2024","11/28/2024","12/25/2024","12/25/2024","12/26/2024","12/27/2024","12/28/2024","12/29/2024","12/30/2024","31/25/2024","01/01/2024","01/02/2024","01/03/2024","01/04/2024","01/05/2024"}))</f>
        <v>#VALUE!</v>
      </c>
      <c r="Y613" s="1" t="e">
        <f>ABS(NETWORKDAYS.INTL("06/14/2024", "06/14/2024", 1, {"01/01/2024","01/15/2024","02/19/2024","05/27/2024","07/04/2024","09/02/2024","10/14/2024","11/11/2024","11/28/2024","12/25/2024","12/25/2024","12/26/2024","12/27/2024","12/28/2024","12/29/2024","12/30/2024","31/25/2024","01/01/2024","01/02/2024","01/03/2024","01/04/2024","01/05/2024"}))</f>
        <v>#VALUE!</v>
      </c>
      <c r="Z613" s="1">
        <f>0</f>
        <v>0</v>
      </c>
      <c r="AA613" s="1"/>
      <c r="AB613" s="5">
        <v>45457</v>
      </c>
      <c r="AC613" s="5">
        <v>45502</v>
      </c>
      <c r="AD613" s="1" t="e">
        <f>ABS(NETWORKDAYS.INTL("06/13/2024", "06/10/2024", 1, {"01/01/2024","01/15/2024","02/19/2024","05/27/2024","07/04/2024","09/02/2024","10/14/2024","11/11/2024","11/28/2024","12/25/2024","12/25/2024","12/26/2024","12/27/2024","12/28/2024","12/29/2024","12/30/2024","31/25/2024","01/01/2024","01/02/2024","01/03/2024","01/04/2024","01/05/2024"}))</f>
        <v>#VALUE!</v>
      </c>
      <c r="AE613" s="1">
        <f>0</f>
        <v>0</v>
      </c>
      <c r="AF613" s="1">
        <f>0</f>
        <v>0</v>
      </c>
      <c r="AG613" s="1" t="e">
        <f>ABS(NETWORKDAYS.INTL("06/13/2024", "08/05/24", 1, {"01/01/2024","01/15/2024","02/19/2024","05/27/2024","07/04/2024","09/02/2024","10/14/2024","11/11/2024","11/28/2024","12/25/2024","12/25/2024","12/26/2024","12/27/2024","12/28/2024","12/29/2024","12/30/2024","31/25/2024","01/01/2024","01/02/2024","01/03/2024","01/04/2024","01/05/2024"}))</f>
        <v>#VALUE!</v>
      </c>
      <c r="AH613" s="1" t="e">
        <f>ABS(NETWORKDAYS.INTL("06/14/2024", "06/13/2024", 1, {"01/01/2024","01/15/2024","02/19/2024","05/27/2024","07/04/2024","09/02/2024","10/14/2024","11/11/2024","11/28/2024","12/25/2024","12/25/2024","12/26/2024","12/27/2024","12/28/2024","12/29/2024","12/30/2024","31/25/2024","01/01/2024","01/02/2024","01/03/2024","01/04/2024","01/05/2024"}))</f>
        <v>#VALUE!</v>
      </c>
      <c r="AI613" s="1" t="e">
        <f>ABS(NETWORKDAYS.INTL("7/29/2024", "06/14/2024", 1, {"01/01/2024","01/15/2024","02/19/2024","05/27/2024","07/04/2024","09/02/2024","10/14/2024","11/11/2024","11/28/2024","12/25/2024","12/25/2024","12/26/2024","12/27/2024","12/28/2024","12/29/2024","12/30/2024","31/25/2024","01/01/2024","01/02/2024","01/03/2024","01/04/2024","01/05/2024"}))</f>
        <v>#VALUE!</v>
      </c>
      <c r="AJ613" s="1" t="b">
        <v>1</v>
      </c>
      <c r="AK613" s="1"/>
      <c r="AL613" s="1"/>
      <c r="AM613" s="1"/>
      <c r="AN613" s="1"/>
      <c r="AO613" s="1"/>
      <c r="AP613" s="1" t="b">
        <v>1</v>
      </c>
      <c r="AQ613" s="1"/>
      <c r="AR613" s="1"/>
      <c r="AS613" s="1"/>
      <c r="AT613" s="1"/>
      <c r="AU613" s="1"/>
      <c r="AV613" s="1"/>
      <c r="AW613" s="1"/>
      <c r="AX613" s="1"/>
      <c r="AY613" s="1"/>
      <c r="AZ613" s="1" t="b">
        <v>1</v>
      </c>
    </row>
    <row r="614" spans="1:52" ht="15" customHeight="1" x14ac:dyDescent="0.35">
      <c r="A614" s="1" t="s">
        <v>2040</v>
      </c>
      <c r="B614" s="1" t="s">
        <v>344</v>
      </c>
      <c r="C614" s="1" t="s">
        <v>988</v>
      </c>
      <c r="D614" s="1" t="s">
        <v>1725</v>
      </c>
      <c r="E614" s="1" t="s">
        <v>1983</v>
      </c>
      <c r="F614" s="9" t="s">
        <v>2041</v>
      </c>
      <c r="G614" s="1" t="s">
        <v>38</v>
      </c>
      <c r="H6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4" s="11" t="e">
        <f>ABS(NETWORKDAYS.INTL("06/10/2024", "06/11/2024", 1, {"01/01/2024","01/15/2024","02/19/2024","05/27/2024","07/04/2024","09/02/2024","10/14/2024","11/11/2024","11/28/2024","12/25/2024","12/25/2024","12/26/2024","12/27/2024","12/28/2024","12/29/2024","12/30/2024","31/25/2024","01/01/2024","01/02/2024","01/03/2024","01/04/2024","01/05/2024"}))</f>
        <v>#VALUE!</v>
      </c>
      <c r="J614">
        <f>0</f>
        <v>0</v>
      </c>
      <c r="K614" s="1"/>
      <c r="L614" s="1">
        <v>1</v>
      </c>
      <c r="M614" s="1" t="e">
        <f>ABS(NETWORKDAYS.INTL("06/13/2024", "06/13/2024", 1, {"01/01/2024","01/15/2024","02/19/2024","05/27/2024","07/04/2024","09/02/2024","10/14/2024","11/11/2024","11/28/2024","12/25/2024","12/25/2024","12/26/2024","12/27/2024","12/28/2024","12/29/2024","12/30/2024","31/25/2024","01/01/2024","01/02/2024","01/03/2024","01/04/2024","01/05/2024"}))</f>
        <v>#VALUE!</v>
      </c>
      <c r="N614" s="1">
        <f>0</f>
        <v>0</v>
      </c>
      <c r="O614" s="1">
        <f>0</f>
        <v>0</v>
      </c>
      <c r="P614" s="1"/>
      <c r="Q614" s="1">
        <v>0</v>
      </c>
      <c r="R614" s="1">
        <v>0</v>
      </c>
      <c r="S614" s="1">
        <f>0</f>
        <v>0</v>
      </c>
      <c r="T614" s="1">
        <f>0</f>
        <v>0</v>
      </c>
      <c r="U614" s="1"/>
      <c r="V614" s="1">
        <v>1</v>
      </c>
      <c r="W614" s="1">
        <v>1</v>
      </c>
      <c r="X614" s="1" t="e">
        <f>ABS(NETWORKDAYS.INTL("06/13/2024", "06/13/2024", 1, {"01/01/2024","01/15/2024","02/19/2024","05/27/2024","07/04/2024","09/02/2024","10/14/2024","11/11/2024","11/28/2024","12/25/2024","12/25/2024","12/26/2024","12/27/2024","12/28/2024","12/29/2024","12/30/2024","31/25/2024","01/01/2024","01/02/2024","01/03/2024","01/04/2024","01/05/2024"}))</f>
        <v>#VALUE!</v>
      </c>
      <c r="Y614" s="1">
        <f>0</f>
        <v>0</v>
      </c>
      <c r="Z614" s="1">
        <f>0</f>
        <v>0</v>
      </c>
      <c r="AA614" s="1"/>
      <c r="AB614" s="5">
        <v>45456</v>
      </c>
      <c r="AC614" s="5">
        <v>45502</v>
      </c>
      <c r="AD614" s="1" t="e">
        <f>ABS(NETWORKDAYS.INTL("06/13/2024", "06/11/2024", 1, {"01/01/2024","01/15/2024","02/19/2024","05/27/2024","07/04/2024","09/02/2024","10/14/2024","11/11/2024","11/28/2024","12/25/2024","12/25/2024","12/26/2024","12/27/2024","12/28/2024","12/29/2024","12/30/2024","31/25/2024","01/01/2024","01/02/2024","01/03/2024","01/04/2024","01/05/2024"}))</f>
        <v>#VALUE!</v>
      </c>
      <c r="AE614" s="1">
        <f>0</f>
        <v>0</v>
      </c>
      <c r="AF614" s="1">
        <f>0</f>
        <v>0</v>
      </c>
      <c r="AG614" s="1" t="e">
        <f>ABS(NETWORKDAYS.INTL("06/13/2024", "08/05/24", 1, {"01/01/2024","01/15/2024","02/19/2024","05/27/2024","07/04/2024","09/02/2024","10/14/2024","11/11/2024","11/28/2024","12/25/2024","12/25/2024","12/26/2024","12/27/2024","12/28/2024","12/29/2024","12/30/2024","31/25/2024","01/01/2024","01/02/2024","01/03/2024","01/04/2024","01/05/2024"}))</f>
        <v>#VALUE!</v>
      </c>
      <c r="AH614" s="1" t="e">
        <f>ABS(NETWORKDAYS.INTL("06/13/2024", "06/13/2024", 1, {"01/01/2024","01/15/2024","02/19/2024","05/27/2024","07/04/2024","09/02/2024","10/14/2024","11/11/2024","11/28/2024","12/25/2024","12/25/2024","12/26/2024","12/27/2024","12/28/2024","12/29/2024","12/30/2024","31/25/2024","01/01/2024","01/02/2024","01/03/2024","01/04/2024","01/05/2024"}))</f>
        <v>#VALUE!</v>
      </c>
      <c r="AI614" s="1" t="e">
        <f>ABS(NETWORKDAYS.INTL("7/29/2024", "06/13/2024", 1, {"01/01/2024","01/15/2024","02/19/2024","05/27/2024","07/04/2024","09/02/2024","10/14/2024","11/11/2024","11/28/2024","12/25/2024","12/25/2024","12/26/2024","12/27/2024","12/28/2024","12/29/2024","12/30/2024","31/25/2024","01/01/2024","01/02/2024","01/03/2024","01/04/2024","01/05/2024"}))</f>
        <v>#VALUE!</v>
      </c>
      <c r="AJ614" s="1" t="b">
        <v>1</v>
      </c>
      <c r="AK614" s="1"/>
      <c r="AL614" s="1"/>
      <c r="AM614" s="1"/>
      <c r="AN614" s="1"/>
      <c r="AO614" s="1"/>
      <c r="AP614" s="1" t="b">
        <v>1</v>
      </c>
      <c r="AQ614" s="1"/>
      <c r="AR614" s="1"/>
      <c r="AS614" s="1"/>
      <c r="AT614" s="1"/>
      <c r="AU614" s="1"/>
      <c r="AV614" s="1"/>
      <c r="AW614" s="1"/>
      <c r="AX614" s="1"/>
      <c r="AY614" s="1"/>
      <c r="AZ614" s="1" t="b">
        <v>1</v>
      </c>
    </row>
    <row r="615" spans="1:52" ht="15" customHeight="1" x14ac:dyDescent="0.35">
      <c r="A615" s="1" t="s">
        <v>2042</v>
      </c>
      <c r="B615" s="1" t="s">
        <v>345</v>
      </c>
      <c r="C615" s="1" t="s">
        <v>988</v>
      </c>
      <c r="D615" s="1" t="s">
        <v>1706</v>
      </c>
      <c r="E615" s="1" t="s">
        <v>1983</v>
      </c>
      <c r="F615" s="9" t="s">
        <v>2043</v>
      </c>
      <c r="G615" s="1" t="s">
        <v>38</v>
      </c>
      <c r="H6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5" s="11" t="e">
        <f>ABS(NETWORKDAYS.INTL("05/27/2024", "05/31/2024", 1, {"01/01/2024","01/15/2024","02/19/2024","05/27/2024","07/04/2024","09/02/2024","10/14/2024","11/11/2024","11/28/2024","12/25/2024","12/25/2024","12/26/2024","12/27/2024","12/28/2024","12/29/2024","12/30/2024","31/25/2024","01/01/2024","01/02/2024","01/03/2024","01/04/2024","01/05/2024"}))</f>
        <v>#VALUE!</v>
      </c>
      <c r="J615">
        <f>0</f>
        <v>0</v>
      </c>
      <c r="K615" s="1"/>
      <c r="L615" s="1">
        <v>1</v>
      </c>
      <c r="M615" s="1" t="e">
        <f>ABS(NETWORKDAYS.INTL("06/19/2024", "06/19/2024", 1, {"01/01/2024","01/15/2024","02/19/2024","05/27/2024","07/04/2024","09/02/2024","10/14/2024","11/11/2024","11/28/2024","12/25/2024","12/25/2024","12/26/2024","12/27/2024","12/28/2024","12/29/2024","12/30/2024","31/25/2024","01/01/2024","01/02/2024","01/03/2024","01/04/2024","01/05/2024"}))</f>
        <v>#VALUE!</v>
      </c>
      <c r="N615" s="1">
        <f>0</f>
        <v>0</v>
      </c>
      <c r="O615" s="1">
        <f>0</f>
        <v>0</v>
      </c>
      <c r="P615" s="1"/>
      <c r="Q615" s="1">
        <v>0</v>
      </c>
      <c r="R615" s="1">
        <v>0</v>
      </c>
      <c r="S615" s="1">
        <f>0</f>
        <v>0</v>
      </c>
      <c r="T615" s="1">
        <f>0</f>
        <v>0</v>
      </c>
      <c r="U615" s="1"/>
      <c r="V615" s="1">
        <v>1</v>
      </c>
      <c r="W615" s="1">
        <v>1</v>
      </c>
      <c r="X615" s="1" t="e">
        <f>ABS(NETWORKDAYS.INTL("06/19/2024", "06/20/2024", 1, {"01/01/2024","01/15/2024","02/19/2024","05/27/2024","07/04/2024","09/02/2024","10/14/2024","11/11/2024","11/28/2024","12/25/2024","12/25/2024","12/26/2024","12/27/2024","12/28/2024","12/29/2024","12/30/2024","31/25/2024","01/01/2024","01/02/2024","01/03/2024","01/04/2024","01/05/2024"}))</f>
        <v>#VALUE!</v>
      </c>
      <c r="Y615" s="1">
        <f>0</f>
        <v>0</v>
      </c>
      <c r="Z615" s="1">
        <f>0</f>
        <v>0</v>
      </c>
      <c r="AA615" s="1"/>
      <c r="AB615" s="5">
        <v>45470</v>
      </c>
      <c r="AC615" s="5">
        <v>45503</v>
      </c>
      <c r="AD615" s="1" t="e">
        <f>ABS(NETWORKDAYS.INTL("06/19/2024", "05/31/2024", 1, {"01/01/2024","01/15/2024","02/19/2024","05/27/2024","07/04/2024","09/02/2024","10/14/2024","11/11/2024","11/28/2024","12/25/2024","12/25/2024","12/26/2024","12/27/2024","12/28/2024","12/29/2024","12/30/2024","31/25/2024","01/01/2024","01/02/2024","01/03/2024","01/04/2024","01/05/2024"}))</f>
        <v>#VALUE!</v>
      </c>
      <c r="AE615" s="1">
        <f>0</f>
        <v>0</v>
      </c>
      <c r="AF615" s="1">
        <f>0</f>
        <v>0</v>
      </c>
      <c r="AG615" s="1" t="e">
        <f>ABS(NETWORKDAYS.INTL("06/19/2024", "08/05/24", 1, {"01/01/2024","01/15/2024","02/19/2024","05/27/2024","07/04/2024","09/02/2024","10/14/2024","11/11/2024","11/28/2024","12/25/2024","12/25/2024","12/26/2024","12/27/2024","12/28/2024","12/29/2024","12/30/2024","31/25/2024","01/01/2024","01/02/2024","01/03/2024","01/04/2024","01/05/2024"}))</f>
        <v>#VALUE!</v>
      </c>
      <c r="AH615" s="1" t="e">
        <f>ABS(NETWORKDAYS.INTL("06/19/2024", "06/19/2024", 1, {"01/01/2024","01/15/2024","02/19/2024","05/27/2024","07/04/2024","09/02/2024","10/14/2024","11/11/2024","11/28/2024","12/25/2024","12/25/2024","12/26/2024","12/27/2024","12/28/2024","12/29/2024","12/30/2024","31/25/2024","01/01/2024","01/02/2024","01/03/2024","01/04/2024","01/05/2024"}))</f>
        <v>#VALUE!</v>
      </c>
      <c r="AI615" s="1" t="e">
        <f>ABS(NETWORKDAYS.INTL("07/30/2024", "06/27/2024", 1, {"01/01/2024","01/15/2024","02/19/2024","05/27/2024","07/04/2024","09/02/2024","10/14/2024","11/11/2024","11/28/2024","12/25/2024","12/25/2024","12/26/2024","12/27/2024","12/28/2024","12/29/2024","12/30/2024","31/25/2024","01/01/2024","01/02/2024","01/03/2024","01/04/2024","01/05/2024"}))</f>
        <v>#VALUE!</v>
      </c>
      <c r="AJ615" s="1" t="b">
        <v>1</v>
      </c>
      <c r="AK615" s="1"/>
      <c r="AL615" s="1"/>
      <c r="AM615" s="1"/>
      <c r="AN615" s="1"/>
      <c r="AO615" s="1"/>
      <c r="AP615" s="1" t="b">
        <v>1</v>
      </c>
      <c r="AQ615" s="1"/>
      <c r="AR615" s="1"/>
      <c r="AS615" s="1"/>
      <c r="AT615" s="1"/>
      <c r="AU615" s="1"/>
      <c r="AV615" s="1"/>
      <c r="AW615" s="1"/>
      <c r="AX615" s="1"/>
      <c r="AY615" s="1"/>
      <c r="AZ615" s="1" t="b">
        <v>1</v>
      </c>
    </row>
    <row r="616" spans="1:52" ht="15" customHeight="1" x14ac:dyDescent="0.35">
      <c r="A616" s="1" t="s">
        <v>2044</v>
      </c>
      <c r="B616" s="1" t="s">
        <v>346</v>
      </c>
      <c r="C616" s="1" t="s">
        <v>988</v>
      </c>
      <c r="D616" s="1" t="s">
        <v>1986</v>
      </c>
      <c r="E616" s="1" t="s">
        <v>1983</v>
      </c>
      <c r="F616" s="9" t="s">
        <v>2045</v>
      </c>
      <c r="G616" s="1" t="s">
        <v>38</v>
      </c>
      <c r="H6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6" s="11" t="e">
        <f>ABS(NETWORKDAYS.INTL("05/29/2024", "05/29/2024", 1, {"01/01/2024","01/15/2024","02/19/2024","05/27/2024","07/04/2024","09/02/2024","10/14/2024","11/11/2024","11/28/2024","12/25/2024","12/25/2024","12/26/2024","12/27/2024","12/28/2024","12/29/2024","12/30/2024","31/25/2024","01/01/2024","01/02/2024","01/03/2024","01/04/2024","01/05/2024"}))</f>
        <v>#VALUE!</v>
      </c>
      <c r="J616">
        <f>0</f>
        <v>0</v>
      </c>
      <c r="K616" s="1"/>
      <c r="L616" s="1">
        <v>1</v>
      </c>
      <c r="M616" s="1" t="e">
        <f>ABS(NETWORKDAYS.INTL("06/14/2024", "06/14/2024", 1, {"01/01/2024","01/15/2024","02/19/2024","05/27/2024","07/04/2024","09/02/2024","10/14/2024","11/11/2024","11/28/2024","12/25/2024","12/25/2024","12/26/2024","12/27/2024","12/28/2024","12/29/2024","12/30/2024","31/25/2024","01/01/2024","01/02/2024","01/03/2024","01/04/2024","01/05/2024"}))</f>
        <v>#VALUE!</v>
      </c>
      <c r="N616" s="1">
        <f>0</f>
        <v>0</v>
      </c>
      <c r="O616" s="1">
        <f>0</f>
        <v>0</v>
      </c>
      <c r="P616" s="1"/>
      <c r="Q616" s="1">
        <v>0</v>
      </c>
      <c r="R616" s="1">
        <v>0</v>
      </c>
      <c r="S616" s="1">
        <f>0</f>
        <v>0</v>
      </c>
      <c r="T616" s="1">
        <f>0</f>
        <v>0</v>
      </c>
      <c r="U616" s="1"/>
      <c r="V616" s="1">
        <v>2</v>
      </c>
      <c r="W616" s="1">
        <v>1</v>
      </c>
      <c r="X616" s="1" t="e">
        <f>ABS(NETWORKDAYS.INTL("06/14/2024", "06/14/2024", 1, {"01/01/2024","01/15/2024","02/19/2024","05/27/2024","07/04/2024","09/02/2024","10/14/2024","11/11/2024","11/28/2024","12/25/2024","12/25/2024","12/26/2024","12/27/2024","12/28/2024","12/29/2024","12/30/2024","31/25/2024","01/01/2024","01/02/2024","01/03/2024","01/04/2024","01/05/2024"}))</f>
        <v>#VALUE!</v>
      </c>
      <c r="Y616" s="1" t="e">
        <f>ABS(NETWORKDAYS.INTL("06/14/2024", "06/14/2024", 1, {"01/01/2024","01/15/2024","02/19/2024","05/27/2024","07/04/2024","09/02/2024","10/14/2024","11/11/2024","11/28/2024","12/25/2024","12/25/2024","12/26/2024","12/27/2024","12/28/2024","12/29/2024","12/30/2024","31/25/2024","01/01/2024","01/02/2024","01/03/2024","01/04/2024","01/05/2024"}))</f>
        <v>#VALUE!</v>
      </c>
      <c r="Z616" s="1">
        <f>0</f>
        <v>0</v>
      </c>
      <c r="AA616" s="1"/>
      <c r="AB616" s="5">
        <v>45457</v>
      </c>
      <c r="AC616" s="5">
        <v>45503</v>
      </c>
      <c r="AD616" s="1" t="e">
        <f>ABS(NETWORKDAYS.INTL("06/14/2024", "05/29/2024", 1, {"01/01/2024","01/15/2024","02/19/2024","05/27/2024","07/04/2024","09/02/2024","10/14/2024","11/11/2024","11/28/2024","12/25/2024","12/25/2024","12/26/2024","12/27/2024","12/28/2024","12/29/2024","12/30/2024","31/25/2024","01/01/2024","01/02/2024","01/03/2024","01/04/2024","01/05/2024"}))</f>
        <v>#VALUE!</v>
      </c>
      <c r="AE616" s="1">
        <f>0</f>
        <v>0</v>
      </c>
      <c r="AF616" s="1">
        <f>0</f>
        <v>0</v>
      </c>
      <c r="AG616" s="1" t="e">
        <f>ABS(NETWORKDAYS.INTL("06/14/2024", "08/05/24", 1, {"01/01/2024","01/15/2024","02/19/2024","05/27/2024","07/04/2024","09/02/2024","10/14/2024","11/11/2024","11/28/2024","12/25/2024","12/25/2024","12/26/2024","12/27/2024","12/28/2024","12/29/2024","12/30/2024","31/25/2024","01/01/2024","01/02/2024","01/03/2024","01/04/2024","01/05/2024"}))</f>
        <v>#VALUE!</v>
      </c>
      <c r="AH616" s="1" t="e">
        <f>ABS(NETWORKDAYS.INTL("06/14/2024", "06/14/2024", 1, {"01/01/2024","01/15/2024","02/19/2024","05/27/2024","07/04/2024","09/02/2024","10/14/2024","11/11/2024","11/28/2024","12/25/2024","12/25/2024","12/26/2024","12/27/2024","12/28/2024","12/29/2024","12/30/2024","31/25/2024","01/01/2024","01/02/2024","01/03/2024","01/04/2024","01/05/2024"}))</f>
        <v>#VALUE!</v>
      </c>
      <c r="AI616" s="1" t="e">
        <f>ABS(NETWORKDAYS.INTL("07/30/2024", "06/14/2024", 1, {"01/01/2024","01/15/2024","02/19/2024","05/27/2024","07/04/2024","09/02/2024","10/14/2024","11/11/2024","11/28/2024","12/25/2024","12/25/2024","12/26/2024","12/27/2024","12/28/2024","12/29/2024","12/30/2024","31/25/2024","01/01/2024","01/02/2024","01/03/2024","01/04/2024","01/05/2024"}))</f>
        <v>#VALUE!</v>
      </c>
      <c r="AJ616" s="1" t="b">
        <v>1</v>
      </c>
      <c r="AK616" s="1"/>
      <c r="AL616" s="1"/>
      <c r="AM616" s="1"/>
      <c r="AN616" s="1"/>
      <c r="AO616" s="1"/>
      <c r="AP616" s="1" t="b">
        <v>1</v>
      </c>
      <c r="AQ616" s="1"/>
      <c r="AR616" s="1"/>
      <c r="AS616" s="1"/>
      <c r="AT616" s="1"/>
      <c r="AU616" s="1"/>
      <c r="AV616" s="1"/>
      <c r="AW616" s="1"/>
      <c r="AX616" s="1"/>
      <c r="AY616" s="1"/>
      <c r="AZ616" s="1" t="b">
        <v>1</v>
      </c>
    </row>
    <row r="617" spans="1:52" ht="15" customHeight="1" x14ac:dyDescent="0.35">
      <c r="A617" s="1" t="s">
        <v>2046</v>
      </c>
      <c r="B617" s="1" t="s">
        <v>347</v>
      </c>
      <c r="C617" s="1" t="s">
        <v>988</v>
      </c>
      <c r="D617" s="1" t="s">
        <v>1986</v>
      </c>
      <c r="E617" s="1" t="s">
        <v>1983</v>
      </c>
      <c r="F617" s="9" t="s">
        <v>2047</v>
      </c>
      <c r="G617" s="1" t="s">
        <v>38</v>
      </c>
      <c r="H6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7" s="11" t="e">
        <f>ABS(NETWORKDAYS.INTL("05/29/2024", "05/29/2024", 1, {"01/01/2024","01/15/2024","02/19/2024","05/27/2024","07/04/2024","09/02/2024","10/14/2024","11/11/2024","11/28/2024","12/25/2024","12/25/2024","12/26/2024","12/27/2024","12/28/2024","12/29/2024","12/30/2024","31/25/2024","01/01/2024","01/02/2024","01/03/2024","01/04/2024","01/05/2024"}))</f>
        <v>#VALUE!</v>
      </c>
      <c r="J617">
        <f>0</f>
        <v>0</v>
      </c>
      <c r="K617" s="1"/>
      <c r="L617" s="1">
        <v>1</v>
      </c>
      <c r="M617" s="1" t="e">
        <f>ABS(NETWORKDAYS.INTL("06/14/2024", "06/14/2024", 1, {"01/01/2024","01/15/2024","02/19/2024","05/27/2024","07/04/2024","09/02/2024","10/14/2024","11/11/2024","11/28/2024","12/25/2024","12/25/2024","12/26/2024","12/27/2024","12/28/2024","12/29/2024","12/30/2024","31/25/2024","01/01/2024","01/02/2024","01/03/2024","01/04/2024","01/05/2024"}))</f>
        <v>#VALUE!</v>
      </c>
      <c r="N617" s="1">
        <f>0</f>
        <v>0</v>
      </c>
      <c r="O617" s="1">
        <f>0</f>
        <v>0</v>
      </c>
      <c r="P617" s="1"/>
      <c r="Q617" s="1">
        <v>0</v>
      </c>
      <c r="R617" s="1">
        <v>0</v>
      </c>
      <c r="S617" s="1">
        <f>0</f>
        <v>0</v>
      </c>
      <c r="T617" s="1">
        <f>0</f>
        <v>0</v>
      </c>
      <c r="U617" s="1"/>
      <c r="V617" s="1">
        <v>1</v>
      </c>
      <c r="W617" s="1">
        <v>1</v>
      </c>
      <c r="X617" s="1" t="e">
        <f>ABS(NETWORKDAYS.INTL("06/14/2024", "06/17/2024", 1, {"01/01/2024","01/15/2024","02/19/2024","05/27/2024","07/04/2024","09/02/2024","10/14/2024","11/11/2024","11/28/2024","12/25/2024","12/25/2024","12/26/2024","12/27/2024","12/28/2024","12/29/2024","12/30/2024","31/25/2024","01/01/2024","01/02/2024","01/03/2024","01/04/2024","01/05/2024"}))</f>
        <v>#VALUE!</v>
      </c>
      <c r="Y617" s="1">
        <f>0</f>
        <v>0</v>
      </c>
      <c r="Z617" s="1">
        <f>0</f>
        <v>0</v>
      </c>
      <c r="AA617" s="1"/>
      <c r="AB617" s="5">
        <v>45468</v>
      </c>
      <c r="AC617" s="5">
        <v>45502</v>
      </c>
      <c r="AD617" s="1" t="e">
        <f>ABS(NETWORKDAYS.INTL("06/14/2024", "05/29/2024", 1, {"01/01/2024","01/15/2024","02/19/2024","05/27/2024","07/04/2024","09/02/2024","10/14/2024","11/11/2024","11/28/2024","12/25/2024","12/25/2024","12/26/2024","12/27/2024","12/28/2024","12/29/2024","12/30/2024","31/25/2024","01/01/2024","01/02/2024","01/03/2024","01/04/2024","01/05/2024"}))</f>
        <v>#VALUE!</v>
      </c>
      <c r="AE617" s="1">
        <f>0</f>
        <v>0</v>
      </c>
      <c r="AF617" s="1">
        <f>0</f>
        <v>0</v>
      </c>
      <c r="AG617" s="1" t="e">
        <f>ABS(NETWORKDAYS.INTL("06/14/2024", "08/05/24", 1, {"01/01/2024","01/15/2024","02/19/2024","05/27/2024","07/04/2024","09/02/2024","10/14/2024","11/11/2024","11/28/2024","12/25/2024","12/25/2024","12/26/2024","12/27/2024","12/28/2024","12/29/2024","12/30/2024","31/25/2024","01/01/2024","01/02/2024","01/03/2024","01/04/2024","01/05/2024"}))</f>
        <v>#VALUE!</v>
      </c>
      <c r="AH617" s="1" t="e">
        <f>ABS(NETWORKDAYS.INTL("06/14/2024", "06/14/2024", 1, {"01/01/2024","01/15/2024","02/19/2024","05/27/2024","07/04/2024","09/02/2024","10/14/2024","11/11/2024","11/28/2024","12/25/2024","12/25/2024","12/26/2024","12/27/2024","12/28/2024","12/29/2024","12/30/2024","31/25/2024","01/01/2024","01/02/2024","01/03/2024","01/04/2024","01/05/2024"}))</f>
        <v>#VALUE!</v>
      </c>
      <c r="AI617" s="1" t="e">
        <f>ABS(NETWORKDAYS.INTL("7/29/2024", "06/25/2024", 1, {"01/01/2024","01/15/2024","02/19/2024","05/27/2024","07/04/2024","09/02/2024","10/14/2024","11/11/2024","11/28/2024","12/25/2024","12/25/2024","12/26/2024","12/27/2024","12/28/2024","12/29/2024","12/30/2024","31/25/2024","01/01/2024","01/02/2024","01/03/2024","01/04/2024","01/05/2024"}))</f>
        <v>#VALUE!</v>
      </c>
      <c r="AJ617" s="1" t="b">
        <v>1</v>
      </c>
      <c r="AK617" s="1"/>
      <c r="AL617" s="1"/>
      <c r="AM617" s="1"/>
      <c r="AN617" s="1"/>
      <c r="AO617" s="1"/>
      <c r="AP617" s="1" t="b">
        <v>1</v>
      </c>
      <c r="AQ617" s="1"/>
      <c r="AR617" s="1"/>
      <c r="AS617" s="1"/>
      <c r="AT617" s="1"/>
      <c r="AU617" s="1"/>
      <c r="AV617" s="1"/>
      <c r="AW617" s="1"/>
      <c r="AX617" s="1"/>
      <c r="AY617" s="1"/>
      <c r="AZ617" s="1" t="b">
        <v>1</v>
      </c>
    </row>
    <row r="618" spans="1:52" ht="15" customHeight="1" x14ac:dyDescent="0.35">
      <c r="A618" s="1" t="s">
        <v>2048</v>
      </c>
      <c r="B618" s="1" t="s">
        <v>348</v>
      </c>
      <c r="C618" s="1" t="s">
        <v>988</v>
      </c>
      <c r="D618" s="1" t="s">
        <v>2049</v>
      </c>
      <c r="E618" s="1" t="s">
        <v>1983</v>
      </c>
      <c r="F618" s="9" t="s">
        <v>2050</v>
      </c>
      <c r="G618" s="1" t="s">
        <v>38</v>
      </c>
      <c r="H6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8" s="11" t="e">
        <f>ABS(NETWORKDAYS.INTL("05/29/2024", "05/31/2024", 1, {"01/01/2024","01/15/2024","02/19/2024","05/27/2024","07/04/2024","09/02/2024","10/14/2024","11/11/2024","11/28/2024","12/25/2024","12/25/2024","12/26/2024","12/27/2024","12/28/2024","12/29/2024","12/30/2024","31/25/2024","01/01/2024","01/02/2024","01/03/2024","01/04/2024","01/05/2024"}))</f>
        <v>#VALUE!</v>
      </c>
      <c r="J618">
        <f>0</f>
        <v>0</v>
      </c>
      <c r="K618" s="1"/>
      <c r="L618" s="1">
        <v>1</v>
      </c>
      <c r="M618" s="1" t="e">
        <f>ABS(NETWORKDAYS.INTL("06/19/2024", "06/19/2024", 1, {"01/01/2024","01/15/2024","02/19/2024","05/27/2024","07/04/2024","09/02/2024","10/14/2024","11/11/2024","11/28/2024","12/25/2024","12/25/2024","12/26/2024","12/27/2024","12/28/2024","12/29/2024","12/30/2024","31/25/2024","01/01/2024","01/02/2024","01/03/2024","01/04/2024","01/05/2024"}))</f>
        <v>#VALUE!</v>
      </c>
      <c r="N618" s="1">
        <f>0</f>
        <v>0</v>
      </c>
      <c r="O618" s="1">
        <f>0</f>
        <v>0</v>
      </c>
      <c r="P618" s="1"/>
      <c r="Q618" s="1">
        <v>0</v>
      </c>
      <c r="R618" s="1">
        <v>0</v>
      </c>
      <c r="S618" s="1">
        <f>0</f>
        <v>0</v>
      </c>
      <c r="T618" s="1">
        <f>0</f>
        <v>0</v>
      </c>
      <c r="U618" s="1"/>
      <c r="V618" s="1">
        <v>1</v>
      </c>
      <c r="W618" s="1">
        <v>1</v>
      </c>
      <c r="X618" s="1" t="e">
        <f>ABS(NETWORKDAYS.INTL("06/19/2024", "06/20/2024", 1, {"01/01/2024","01/15/2024","02/19/2024","05/27/2024","07/04/2024","09/02/2024","10/14/2024","11/11/2024","11/28/2024","12/25/2024","12/25/2024","12/26/2024","12/27/2024","12/28/2024","12/29/2024","12/30/2024","31/25/2024","01/01/2024","01/02/2024","01/03/2024","01/04/2024","01/05/2024"}))</f>
        <v>#VALUE!</v>
      </c>
      <c r="Y618" s="1" t="e">
        <f>ABS(NETWORKDAYS.INTL("07/01/2024", "07/09/2024", 1, {"01/01/2024","01/15/2024","02/19/2024","05/27/2024","07/04/2024","09/02/2024","10/14/2024","11/11/2024","11/28/2024","12/25/2024","12/25/2024","12/26/2024","12/27/2024","12/28/2024","12/29/2024","12/30/2024","31/25/2024","01/01/2024","01/02/2024","01/03/2024","01/04/2024","01/05/2024"}))</f>
        <v>#VALUE!</v>
      </c>
      <c r="Z618" s="1" t="e">
        <f>ABS(NETWORKDAYS.INTL("07/01/2024", "08/05/24", 1, {"01/01/2024","01/15/2024","02/19/2024","05/27/2024","07/04/2024","09/02/2024","10/14/2024","11/11/2024","11/28/2024","12/25/2024","12/25/2024","12/26/2024","12/27/2024","12/28/2024","12/29/2024","12/30/2024","31/25/2024","01/01/2024","01/02/2024","01/03/2024","01/04/2024","01/05/2024"}))</f>
        <v>#VALUE!</v>
      </c>
      <c r="AA618" s="1"/>
      <c r="AB618" s="5">
        <v>45483</v>
      </c>
      <c r="AC618" s="5">
        <v>45503</v>
      </c>
      <c r="AD618" s="1" t="e">
        <f>ABS(NETWORKDAYS.INTL("06/19/2024", "05/31/2024", 1, {"01/01/2024","01/15/2024","02/19/2024","05/27/2024","07/04/2024","09/02/2024","10/14/2024","11/11/2024","11/28/2024","12/25/2024","12/25/2024","12/26/2024","12/27/2024","12/28/2024","12/29/2024","12/30/2024","31/25/2024","01/01/2024","01/02/2024","01/03/2024","01/04/2024","01/05/2024"}))</f>
        <v>#VALUE!</v>
      </c>
      <c r="AE618" s="1">
        <f>0</f>
        <v>0</v>
      </c>
      <c r="AF618" s="1">
        <f>0</f>
        <v>0</v>
      </c>
      <c r="AG618" s="1" t="e">
        <f>ABS(NETWORKDAYS.INTL("06/19/2024", "08/05/24", 1, {"01/01/2024","01/15/2024","02/19/2024","05/27/2024","07/04/2024","09/02/2024","10/14/2024","11/11/2024","11/28/2024","12/25/2024","12/25/2024","12/26/2024","12/27/2024","12/28/2024","12/29/2024","12/30/2024","31/25/2024","01/01/2024","01/02/2024","01/03/2024","01/04/2024","01/05/2024"}))</f>
        <v>#VALUE!</v>
      </c>
      <c r="AH618" s="1" t="e">
        <f>ABS(NETWORKDAYS.INTL("06/19/2024", "06/19/2024", 1, {"01/01/2024","01/15/2024","02/19/2024","05/27/2024","07/04/2024","09/02/2024","10/14/2024","11/11/2024","11/28/2024","12/25/2024","12/25/2024","12/26/2024","12/27/2024","12/28/2024","12/29/2024","12/30/2024","31/25/2024","01/01/2024","01/02/2024","01/03/2024","01/04/2024","01/05/2024"}))</f>
        <v>#VALUE!</v>
      </c>
      <c r="AI618" s="1" t="e">
        <f>ABS(NETWORKDAYS.INTL("07/30/2024", "07/10/2024", 1, {"01/01/2024","01/15/2024","02/19/2024","05/27/2024","07/04/2024","09/02/2024","10/14/2024","11/11/2024","11/28/2024","12/25/2024","12/25/2024","12/26/2024","12/27/2024","12/28/2024","12/29/2024","12/30/2024","31/25/2024","01/01/2024","01/02/2024","01/03/2024","01/04/2024","01/05/2024"}))</f>
        <v>#VALUE!</v>
      </c>
      <c r="AJ618" s="1" t="b">
        <v>1</v>
      </c>
      <c r="AK618" s="1"/>
      <c r="AL618" s="1"/>
      <c r="AM618" s="1"/>
      <c r="AN618" s="1"/>
      <c r="AO618" s="1"/>
      <c r="AP618" s="1" t="b">
        <v>1</v>
      </c>
      <c r="AQ618" s="1"/>
      <c r="AR618" s="1"/>
      <c r="AS618" s="1"/>
      <c r="AT618" s="1"/>
      <c r="AU618" s="1"/>
      <c r="AV618" s="1"/>
      <c r="AW618" s="1"/>
      <c r="AX618" s="1"/>
      <c r="AY618" s="1"/>
      <c r="AZ618" s="1" t="b">
        <v>1</v>
      </c>
    </row>
    <row r="619" spans="1:52" ht="15" customHeight="1" x14ac:dyDescent="0.35">
      <c r="A619" s="1" t="s">
        <v>2051</v>
      </c>
      <c r="B619" s="1" t="s">
        <v>349</v>
      </c>
      <c r="C619" s="1" t="s">
        <v>988</v>
      </c>
      <c r="D619" s="1" t="s">
        <v>1992</v>
      </c>
      <c r="E619" s="1" t="s">
        <v>2052</v>
      </c>
      <c r="F619" s="9" t="s">
        <v>2053</v>
      </c>
      <c r="G619" s="1" t="s">
        <v>38</v>
      </c>
      <c r="H6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19" s="11" t="e">
        <f>ABS(NETWORKDAYS.INTL("05/29/2024", "05/31/2024", 1, {"01/01/2024","01/15/2024","02/19/2024","05/27/2024","07/04/2024","09/02/2024","10/14/2024","11/11/2024","11/28/2024","12/25/2024","12/25/2024","12/26/2024","12/27/2024","12/28/2024","12/29/2024","12/30/2024","31/25/2024","01/01/2024","01/02/2024","01/03/2024","01/04/2024","01/05/2024"}))</f>
        <v>#VALUE!</v>
      </c>
      <c r="J619">
        <f>0</f>
        <v>0</v>
      </c>
      <c r="K619" s="1"/>
      <c r="L619" s="1">
        <v>1</v>
      </c>
      <c r="M619" s="1" t="e">
        <f>ABS(NETWORKDAYS.INTL("06/19/2024", "06/19/2024", 1, {"01/01/2024","01/15/2024","02/19/2024","05/27/2024","07/04/2024","09/02/2024","10/14/2024","11/11/2024","11/28/2024","12/25/2024","12/25/2024","12/26/2024","12/27/2024","12/28/2024","12/29/2024","12/30/2024","31/25/2024","01/01/2024","01/02/2024","01/03/2024","01/04/2024","01/05/2024"}))</f>
        <v>#VALUE!</v>
      </c>
      <c r="N619" s="1">
        <f>0</f>
        <v>0</v>
      </c>
      <c r="O619" s="1">
        <f>0</f>
        <v>0</v>
      </c>
      <c r="P619" s="1"/>
      <c r="Q619" s="1">
        <v>0</v>
      </c>
      <c r="R619" s="1">
        <v>0</v>
      </c>
      <c r="S619" s="1">
        <f>0</f>
        <v>0</v>
      </c>
      <c r="T619" s="1">
        <f>0</f>
        <v>0</v>
      </c>
      <c r="U619" s="1"/>
      <c r="V619" s="1">
        <v>2</v>
      </c>
      <c r="W619" s="1">
        <v>1</v>
      </c>
      <c r="X619" s="1" t="e">
        <f>ABS(NETWORKDAYS.INTL("06/19/2024", "06/20/2024", 1, {"01/01/2024","01/15/2024","02/19/2024","05/27/2024","07/04/2024","09/02/2024","10/14/2024","11/11/2024","11/28/2024","12/25/2024","12/25/2024","12/26/2024","12/27/2024","12/28/2024","12/29/2024","12/30/2024","31/25/2024","01/01/2024","01/02/2024","01/03/2024","01/04/2024","01/05/2024"}))</f>
        <v>#VALUE!</v>
      </c>
      <c r="Y619" s="1" t="e">
        <f>ABS(NETWORKDAYS.INTL("06/27/2024", "07/01/2024", 1, {"01/01/2024","01/15/2024","02/19/2024","05/27/2024","07/04/2024","09/02/2024","10/14/2024","11/11/2024","11/28/2024","12/25/2024","12/25/2024","12/26/2024","12/27/2024","12/28/2024","12/29/2024","12/30/2024","31/25/2024","01/01/2024","01/02/2024","01/03/2024","01/04/2024","01/05/2024"}))</f>
        <v>#VALUE!</v>
      </c>
      <c r="Z619" s="1">
        <f>0</f>
        <v>0</v>
      </c>
      <c r="AA619" s="1"/>
      <c r="AB619" s="5">
        <v>45474</v>
      </c>
      <c r="AC619" s="5">
        <v>45503</v>
      </c>
      <c r="AD619" s="1" t="e">
        <f>ABS(NETWORKDAYS.INTL("06/19/2024", "05/31/2024", 1, {"01/01/2024","01/15/2024","02/19/2024","05/27/2024","07/04/2024","09/02/2024","10/14/2024","11/11/2024","11/28/2024","12/25/2024","12/25/2024","12/26/2024","12/27/2024","12/28/2024","12/29/2024","12/30/2024","31/25/2024","01/01/2024","01/02/2024","01/03/2024","01/04/2024","01/05/2024"}))</f>
        <v>#VALUE!</v>
      </c>
      <c r="AE619" s="1">
        <f>0</f>
        <v>0</v>
      </c>
      <c r="AF619" s="1">
        <f>0</f>
        <v>0</v>
      </c>
      <c r="AG619" s="1" t="e">
        <f>ABS(NETWORKDAYS.INTL("06/19/2024", "08/05/24", 1, {"01/01/2024","01/15/2024","02/19/2024","05/27/2024","07/04/2024","09/02/2024","10/14/2024","11/11/2024","11/28/2024","12/25/2024","12/25/2024","12/26/2024","12/27/2024","12/28/2024","12/29/2024","12/30/2024","31/25/2024","01/01/2024","01/02/2024","01/03/2024","01/04/2024","01/05/2024"}))</f>
        <v>#VALUE!</v>
      </c>
      <c r="AH619" s="1" t="e">
        <f>ABS(NETWORKDAYS.INTL("06/19/2024", "06/19/2024", 1, {"01/01/2024","01/15/2024","02/19/2024","05/27/2024","07/04/2024","09/02/2024","10/14/2024","11/11/2024","11/28/2024","12/25/2024","12/25/2024","12/26/2024","12/27/2024","12/28/2024","12/29/2024","12/30/2024","31/25/2024","01/01/2024","01/02/2024","01/03/2024","01/04/2024","01/05/2024"}))</f>
        <v>#VALUE!</v>
      </c>
      <c r="AI619" s="1" t="e">
        <f>ABS(NETWORKDAYS.INTL("07/30/2024", "07/01/2024", 1, {"01/01/2024","01/15/2024","02/19/2024","05/27/2024","07/04/2024","09/02/2024","10/14/2024","11/11/2024","11/28/2024","12/25/2024","12/25/2024","12/26/2024","12/27/2024","12/28/2024","12/29/2024","12/30/2024","31/25/2024","01/01/2024","01/02/2024","01/03/2024","01/04/2024","01/05/2024"}))</f>
        <v>#VALUE!</v>
      </c>
      <c r="AJ619" s="1" t="b">
        <v>1</v>
      </c>
      <c r="AK619" s="1"/>
      <c r="AL619" s="1"/>
      <c r="AM619" s="1"/>
      <c r="AN619" s="1"/>
      <c r="AO619" s="1"/>
      <c r="AP619" s="1"/>
      <c r="AQ619" s="1"/>
      <c r="AR619" s="1"/>
      <c r="AS619" s="1"/>
      <c r="AT619" s="1"/>
      <c r="AU619" s="1"/>
      <c r="AV619" s="1"/>
      <c r="AW619" s="1"/>
      <c r="AX619" s="1"/>
      <c r="AY619" s="1"/>
      <c r="AZ619" s="1" t="b">
        <v>1</v>
      </c>
    </row>
    <row r="620" spans="1:52" ht="15" customHeight="1" x14ac:dyDescent="0.35">
      <c r="A620" s="1" t="s">
        <v>2054</v>
      </c>
      <c r="B620" s="1" t="s">
        <v>350</v>
      </c>
      <c r="C620" s="1" t="s">
        <v>612</v>
      </c>
      <c r="D620" s="1" t="s">
        <v>2055</v>
      </c>
      <c r="E620" s="1" t="s">
        <v>2056</v>
      </c>
      <c r="F620" s="9" t="s">
        <v>2057</v>
      </c>
      <c r="G620" s="1" t="s">
        <v>38</v>
      </c>
      <c r="H6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20" s="11" t="e">
        <f>ABS(NETWORKDAYS.INTL("04/17/2024", "05/21/2024", 1, {"01/01/2024","01/15/2024","02/19/2024","05/27/2024","07/04/2024","09/02/2024","10/14/2024","11/11/2024","11/28/2024","12/25/2024","12/25/2024","12/26/2024","12/27/2024","12/28/2024","12/29/2024","12/30/2024","31/25/2024","01/01/2024","01/02/2024","01/03/2024","01/04/2024","01/05/2024"}))</f>
        <v>#VALUE!</v>
      </c>
      <c r="J620">
        <f>0</f>
        <v>0</v>
      </c>
      <c r="K620" s="1"/>
      <c r="L620" s="1">
        <v>1</v>
      </c>
      <c r="M620" s="1" t="e">
        <f>ABS(NETWORKDAYS.INTL("05/29/2024", "05/29/2024", 1, {"01/01/2024","01/15/2024","02/19/2024","05/27/2024","07/04/2024","09/02/2024","10/14/2024","11/11/2024","11/28/2024","12/25/2024","12/25/2024","12/26/2024","12/27/2024","12/28/2024","12/29/2024","12/30/2024","31/25/2024","01/01/2024","01/02/2024","01/03/2024","01/04/2024","01/05/2024"}))</f>
        <v>#VALUE!</v>
      </c>
      <c r="N620" s="1">
        <f>0</f>
        <v>0</v>
      </c>
      <c r="O620" s="1">
        <f>0</f>
        <v>0</v>
      </c>
      <c r="P620" s="1"/>
      <c r="Q620" s="1">
        <v>1</v>
      </c>
      <c r="R620" s="1">
        <v>1</v>
      </c>
      <c r="S620" s="1" t="e">
        <f>ABS(NETWORKDAYS.INTL("05/30/2024", "05/30/2024", 1, {"01/01/2024","01/15/2024","02/19/2024","05/27/2024","07/04/2024","09/02/2024","10/14/2024","11/11/2024","11/28/2024","12/25/2024","12/25/2024","12/26/2024","12/27/2024","12/28/2024","12/29/2024","12/30/2024","31/25/2024","01/01/2024","01/02/2024","01/03/2024","01/04/2024","01/05/2024"}))</f>
        <v>#VALUE!</v>
      </c>
      <c r="T620" s="1">
        <f>0</f>
        <v>0</v>
      </c>
      <c r="U620" s="1"/>
      <c r="V620" s="1">
        <v>2</v>
      </c>
      <c r="W620" s="1">
        <v>1</v>
      </c>
      <c r="X620" s="1" t="e">
        <f>ABS(NETWORKDAYS.INTL("06/06/2024", "06/10/2024", 1, {"01/01/2024","01/15/2024","02/19/2024","05/27/2024","07/04/2024","09/02/2024","10/14/2024","11/11/2024","11/28/2024","12/25/2024","12/25/2024","12/26/2024","12/27/2024","12/28/2024","12/29/2024","12/30/2024","31/25/2024","01/01/2024","01/02/2024","01/03/2024","01/04/2024","01/05/2024"}))</f>
        <v>#VALUE!</v>
      </c>
      <c r="Y620" s="1" t="e">
        <f>ABS(NETWORKDAYS.INTL("06/12/2024", "06/17/2024", 1, {"01/01/2024","01/15/2024","02/19/2024","05/27/2024","07/04/2024","09/02/2024","10/14/2024","11/11/2024","11/28/2024","12/25/2024","12/25/2024","12/26/2024","12/27/2024","12/28/2024","12/29/2024","12/30/2024","31/25/2024","01/01/2024","01/02/2024","01/03/2024","01/04/2024","01/05/2024"})+NETWORKDAYS.INTL("7/11/2024", "7/11/2024", 1, {"01/01/2024","01/15/2024","02/19/2024","05/27/2024","07/04/2024","09/02/2024","10/14/2024","11/11/2024","11/28/2024","12/25/2024","12/25/2024","12/26/2024","12/27/2024","12/28/2024","12/29/2024","12/30/2024","31/25/2024","01/01/2024","01/02/2024","01/03/2024","01/04/2024","01/05/2024"}))</f>
        <v>#VALUE!</v>
      </c>
      <c r="Z620" s="1">
        <f>0</f>
        <v>0</v>
      </c>
      <c r="AA620" s="1"/>
      <c r="AB620" s="5"/>
      <c r="AC620" s="1"/>
      <c r="AD620" s="1" t="e">
        <f>ABS(NETWORKDAYS.INTL("05/29/2024", "05/21/2024", 1, {"01/01/2024","01/15/2024","02/19/2024","05/27/2024","07/04/2024","09/02/2024","10/14/2024","11/11/2024","11/28/2024","12/25/2024","12/25/2024","12/26/2024","12/27/2024","12/28/2024","12/29/2024","12/30/2024","31/25/2024","01/01/2024","01/02/2024","01/03/2024","01/04/2024","01/05/2024"}))</f>
        <v>#VALUE!</v>
      </c>
      <c r="AE620" s="1">
        <f>0</f>
        <v>0</v>
      </c>
      <c r="AF620" s="1" t="e">
        <f>ABS(NETWORKDAYS.INTL("05/30/2024", "05/29/2024", 1, {"01/01/2024","01/15/2024","02/19/2024","05/27/2024","07/04/2024","09/02/2024","10/14/2024","11/11/2024","11/28/2024","12/25/2024","12/25/2024","12/26/2024","12/27/2024","12/28/2024","12/29/2024","12/30/2024","31/25/2024","01/01/2024","01/02/2024","01/03/2024","01/04/2024","01/05/2024"}))</f>
        <v>#VALUE!</v>
      </c>
      <c r="AG620" s="1" t="e">
        <f>ABS(NETWORKDAYS.INTL("06/06/2024", "05/30/2024", 1, {"01/01/2024","01/15/2024","02/19/2024","05/27/2024","07/04/2024","09/02/2024","10/14/2024","11/11/2024","11/28/2024","12/25/2024","12/25/2024","12/26/2024","12/27/2024","12/28/2024","12/29/2024","12/30/2024","31/25/2024","01/01/2024","01/02/2024","01/03/2024","01/04/2024","01/05/2024"}))</f>
        <v>#VALUE!</v>
      </c>
      <c r="AH620" s="1" t="e">
        <f>ABS(NETWORKDAYS.INTL("06/06/2024", "06/06/2024", 1, {"01/01/2024","01/15/2024","02/19/2024","05/27/2024","07/04/2024","09/02/2024","10/14/2024","11/11/2024","11/28/2024","12/25/2024","12/25/2024","12/26/2024","12/27/2024","12/28/2024","12/29/2024","12/30/2024","31/25/2024","01/01/2024","01/02/2024","01/03/2024","01/04/2024","01/05/2024"}))</f>
        <v>#VALUE!</v>
      </c>
      <c r="AI620" s="1">
        <f>0</f>
        <v>0</v>
      </c>
      <c r="AJ620" s="1" t="b">
        <v>1</v>
      </c>
      <c r="AK620" s="1"/>
      <c r="AL620" s="1"/>
      <c r="AM620" s="1"/>
      <c r="AN620" s="1"/>
      <c r="AO620" s="1"/>
      <c r="AP620" s="1" t="b">
        <v>1</v>
      </c>
      <c r="AQ620" s="1"/>
      <c r="AR620" s="1"/>
      <c r="AS620" s="1"/>
      <c r="AT620" s="1"/>
      <c r="AU620" s="1"/>
      <c r="AV620" s="1"/>
      <c r="AW620" s="1"/>
      <c r="AX620" s="1"/>
      <c r="AY620" s="1" t="b">
        <v>1</v>
      </c>
      <c r="AZ620" s="1"/>
    </row>
    <row r="621" spans="1:52" ht="15" customHeight="1" x14ac:dyDescent="0.35">
      <c r="A621" s="1" t="s">
        <v>2058</v>
      </c>
      <c r="B621" s="1" t="s">
        <v>351</v>
      </c>
      <c r="C621" s="1" t="s">
        <v>988</v>
      </c>
      <c r="D621" s="1" t="s">
        <v>1986</v>
      </c>
      <c r="E621" s="1" t="s">
        <v>1983</v>
      </c>
      <c r="F621" s="9" t="s">
        <v>2059</v>
      </c>
      <c r="G621" s="1" t="s">
        <v>38</v>
      </c>
      <c r="H6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1" s="11" t="e">
        <f>ABS(NETWORKDAYS.INTL("05/30/2024", "05/30/2024", 1, {"01/01/2024","01/15/2024","02/19/2024","05/27/2024","07/04/2024","09/02/2024","10/14/2024","11/11/2024","11/28/2024","12/25/2024","12/25/2024","12/26/2024","12/27/2024","12/28/2024","12/29/2024","12/30/2024","31/25/2024","01/01/2024","01/02/2024","01/03/2024","01/04/2024","01/05/2024"}))</f>
        <v>#VALUE!</v>
      </c>
      <c r="J621">
        <f>0</f>
        <v>0</v>
      </c>
      <c r="K621" s="1"/>
      <c r="L621" s="1">
        <v>1</v>
      </c>
      <c r="M621" s="1" t="e">
        <f>ABS(NETWORKDAYS.INTL("06/14/2024", "06/14/2024", 1, {"01/01/2024","01/15/2024","02/19/2024","05/27/2024","07/04/2024","09/02/2024","10/14/2024","11/11/2024","11/28/2024","12/25/2024","12/25/2024","12/26/2024","12/27/2024","12/28/2024","12/29/2024","12/30/2024","31/25/2024","01/01/2024","01/02/2024","01/03/2024","01/04/2024","01/05/2024"}))</f>
        <v>#VALUE!</v>
      </c>
      <c r="N621" s="1">
        <f>0</f>
        <v>0</v>
      </c>
      <c r="O621" s="1">
        <f>0</f>
        <v>0</v>
      </c>
      <c r="P621" s="1"/>
      <c r="Q621" s="1">
        <v>0</v>
      </c>
      <c r="R621" s="1">
        <v>0</v>
      </c>
      <c r="S621" s="1">
        <f>0</f>
        <v>0</v>
      </c>
      <c r="T621" s="1">
        <f>0</f>
        <v>0</v>
      </c>
      <c r="U621" s="1"/>
      <c r="V621" s="1">
        <v>1</v>
      </c>
      <c r="W621" s="1">
        <v>1</v>
      </c>
      <c r="X621" s="1" t="e">
        <f>ABS(NETWORKDAYS.INTL("06/14/2024", "06/14/2024", 1, {"01/01/2024","01/15/2024","02/19/2024","05/27/2024","07/04/2024","09/02/2024","10/14/2024","11/11/2024","11/28/2024","12/25/2024","12/25/2024","12/26/2024","12/27/2024","12/28/2024","12/29/2024","12/30/2024","31/25/2024","01/01/2024","01/02/2024","01/03/2024","01/04/2024","01/05/2024"}))</f>
        <v>#VALUE!</v>
      </c>
      <c r="Y621" s="1" t="e">
        <f>ABS(NETWORKDAYS.INTL("06/14/2024", "06/14/2024", 1, {"01/01/2024","01/15/2024","02/19/2024","05/27/2024","07/04/2024","09/02/2024","10/14/2024","11/11/2024","11/28/2024","12/25/2024","12/25/2024","12/26/2024","12/27/2024","12/28/2024","12/29/2024","12/30/2024","31/25/2024","01/01/2024","01/02/2024","01/03/2024","01/04/2024","01/05/2024"}))</f>
        <v>#VALUE!</v>
      </c>
      <c r="Z621" s="1">
        <f>0</f>
        <v>0</v>
      </c>
      <c r="AA621" s="1"/>
      <c r="AB621" s="5">
        <v>45457</v>
      </c>
      <c r="AC621" s="5">
        <v>45503</v>
      </c>
      <c r="AD621" s="1" t="e">
        <f>ABS(NETWORKDAYS.INTL("06/14/2024", "05/30/2024", 1, {"01/01/2024","01/15/2024","02/19/2024","05/27/2024","07/04/2024","09/02/2024","10/14/2024","11/11/2024","11/28/2024","12/25/2024","12/25/2024","12/26/2024","12/27/2024","12/28/2024","12/29/2024","12/30/2024","31/25/2024","01/01/2024","01/02/2024","01/03/2024","01/04/2024","01/05/2024"}))</f>
        <v>#VALUE!</v>
      </c>
      <c r="AE621" s="1">
        <f>0</f>
        <v>0</v>
      </c>
      <c r="AF621" s="1">
        <f>0</f>
        <v>0</v>
      </c>
      <c r="AG621" s="1" t="e">
        <f>ABS(NETWORKDAYS.INTL("06/14/2024", "08/05/24", 1, {"01/01/2024","01/15/2024","02/19/2024","05/27/2024","07/04/2024","09/02/2024","10/14/2024","11/11/2024","11/28/2024","12/25/2024","12/25/2024","12/26/2024","12/27/2024","12/28/2024","12/29/2024","12/30/2024","31/25/2024","01/01/2024","01/02/2024","01/03/2024","01/04/2024","01/05/2024"}))</f>
        <v>#VALUE!</v>
      </c>
      <c r="AH621" s="1" t="e">
        <f>ABS(NETWORKDAYS.INTL("06/14/2024", "06/14/2024", 1, {"01/01/2024","01/15/2024","02/19/2024","05/27/2024","07/04/2024","09/02/2024","10/14/2024","11/11/2024","11/28/2024","12/25/2024","12/25/2024","12/26/2024","12/27/2024","12/28/2024","12/29/2024","12/30/2024","31/25/2024","01/01/2024","01/02/2024","01/03/2024","01/04/2024","01/05/2024"}))</f>
        <v>#VALUE!</v>
      </c>
      <c r="AI621" s="1" t="e">
        <f>ABS(NETWORKDAYS.INTL("7/30/2024", "06/14/2024", 1, {"01/01/2024","01/15/2024","02/19/2024","05/27/2024","07/04/2024","09/02/2024","10/14/2024","11/11/2024","11/28/2024","12/25/2024","12/25/2024","12/26/2024","12/27/2024","12/28/2024","12/29/2024","12/30/2024","31/25/2024","01/01/2024","01/02/2024","01/03/2024","01/04/2024","01/05/2024"}))</f>
        <v>#VALUE!</v>
      </c>
      <c r="AJ621" s="1" t="b">
        <v>1</v>
      </c>
      <c r="AK621" s="1"/>
      <c r="AL621" s="1"/>
      <c r="AM621" s="1"/>
      <c r="AN621" s="1"/>
      <c r="AO621" s="1"/>
      <c r="AP621" s="1" t="b">
        <v>1</v>
      </c>
      <c r="AQ621" s="1"/>
      <c r="AR621" s="1"/>
      <c r="AS621" s="1"/>
      <c r="AT621" s="1"/>
      <c r="AU621" s="1"/>
      <c r="AV621" s="1"/>
      <c r="AW621" s="1"/>
      <c r="AX621" s="1"/>
      <c r="AY621" s="1"/>
      <c r="AZ621" s="1" t="b">
        <v>1</v>
      </c>
    </row>
    <row r="622" spans="1:52" ht="15" customHeight="1" x14ac:dyDescent="0.35">
      <c r="A622" s="1" t="s">
        <v>2060</v>
      </c>
      <c r="B622" s="1" t="s">
        <v>352</v>
      </c>
      <c r="C622" s="1" t="s">
        <v>988</v>
      </c>
      <c r="D622" s="1" t="s">
        <v>2061</v>
      </c>
      <c r="E622" s="1" t="s">
        <v>1983</v>
      </c>
      <c r="F622" s="9" t="s">
        <v>2062</v>
      </c>
      <c r="G622" s="1" t="s">
        <v>38</v>
      </c>
      <c r="H6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2" s="11" t="e">
        <f>ABS(NETWORKDAYS.INTL("05/28/2024", "05/29/2024", 1, {"01/01/2024","01/15/2024","02/19/2024","05/27/2024","07/04/2024","09/02/2024","10/14/2024","11/11/2024","11/28/2024","12/25/2024","12/25/2024","12/26/2024","12/27/2024","12/28/2024","12/29/2024","12/30/2024","31/25/2024","01/01/2024","01/02/2024","01/03/2024","01/04/2024","01/05/2024"}))</f>
        <v>#VALUE!</v>
      </c>
      <c r="J622">
        <f>0</f>
        <v>0</v>
      </c>
      <c r="K622" s="1"/>
      <c r="L622" s="1">
        <v>1</v>
      </c>
      <c r="M622" s="1" t="e">
        <f>ABS(NETWORKDAYS.INTL("06/14/2024", "06/14/2024", 1, {"01/01/2024","01/15/2024","02/19/2024","05/27/2024","07/04/2024","09/02/2024","10/14/2024","11/11/2024","11/28/2024","12/25/2024","12/25/2024","12/26/2024","12/27/2024","12/28/2024","12/29/2024","12/30/2024","31/25/2024","01/01/2024","01/02/2024","01/03/2024","01/04/2024","01/05/2024"}))</f>
        <v>#VALUE!</v>
      </c>
      <c r="N622" s="1">
        <f>0</f>
        <v>0</v>
      </c>
      <c r="O622" s="1">
        <f>0</f>
        <v>0</v>
      </c>
      <c r="P622" s="1"/>
      <c r="Q622" s="1">
        <v>0</v>
      </c>
      <c r="R622" s="1">
        <v>0</v>
      </c>
      <c r="S622" s="1">
        <f>0</f>
        <v>0</v>
      </c>
      <c r="T622" s="1">
        <f>0</f>
        <v>0</v>
      </c>
      <c r="U622" s="1"/>
      <c r="V622" s="1">
        <v>2</v>
      </c>
      <c r="W622" s="1">
        <v>2</v>
      </c>
      <c r="X622" s="1" t="e">
        <f>ABS(NETWORKDAYS.INTL("06/14/2024", "06/14/2024", 1, {"01/01/2024","01/15/2024","02/19/2024","05/27/2024","07/04/2024","09/02/2024","10/14/2024","11/11/2024","11/28/2024","12/25/2024","12/25/2024","12/26/2024","12/27/2024","12/28/2024","12/29/2024","12/30/2024","31/25/2024","01/01/2024","01/02/2024","01/03/2024","01/04/2024","01/05/2024"})+NETWORKDAYS.INTL("06/27/2024", "06/27/2024", 1, {"01/01/2024","01/15/2024","02/19/2024","05/27/2024","07/04/2024","09/02/2024","10/14/2024","11/11/2024","11/28/2024","12/25/2024","12/25/2024","12/26/2024","12/27/2024","12/28/2024","12/29/2024","12/30/2024","31/25/2024","01/01/2024","01/02/2024","01/03/2024","01/04/2024","01/05/2024"}))</f>
        <v>#VALUE!</v>
      </c>
      <c r="Y622" s="1" t="e">
        <f>ABS(NETWORKDAYS.INTL("06/14/2024", "06/17/2024", 1, {"01/01/2024","01/15/2024","02/19/2024","05/27/2024","07/04/2024","09/02/2024","10/14/2024","11/11/2024","11/28/2024","12/25/2024","12/25/2024","12/26/2024","12/27/2024","12/28/2024","12/29/2024","12/30/2024","31/25/2024","01/01/2024","01/02/2024","01/03/2024","01/04/2024","01/05/2024"}))</f>
        <v>#VALUE!</v>
      </c>
      <c r="Z622" s="1">
        <f>0</f>
        <v>0</v>
      </c>
      <c r="AA622" s="1"/>
      <c r="AB622" s="5">
        <v>45470</v>
      </c>
      <c r="AC622" s="5">
        <v>45502</v>
      </c>
      <c r="AD622" s="1" t="e">
        <f>ABS(NETWORKDAYS.INTL("06/14/2024", "05/29/2024", 1, {"01/01/2024","01/15/2024","02/19/2024","05/27/2024","07/04/2024","09/02/2024","10/14/2024","11/11/2024","11/28/2024","12/25/2024","12/25/2024","12/26/2024","12/27/2024","12/28/2024","12/29/2024","12/30/2024","31/25/2024","01/01/2024","01/02/2024","01/03/2024","01/04/2024","01/05/2024"}))</f>
        <v>#VALUE!</v>
      </c>
      <c r="AE622" s="1">
        <f>0</f>
        <v>0</v>
      </c>
      <c r="AF622" s="1">
        <f>0</f>
        <v>0</v>
      </c>
      <c r="AG622" s="1" t="e">
        <f>ABS(NETWORKDAYS.INTL("06/14/2024", "08/05/24", 1, {"01/01/2024","01/15/2024","02/19/2024","05/27/2024","07/04/2024","09/02/2024","10/14/2024","11/11/2024","11/28/2024","12/25/2024","12/25/2024","12/26/2024","12/27/2024","12/28/2024","12/29/2024","12/30/2024","31/25/2024","01/01/2024","01/02/2024","01/03/2024","01/04/2024","01/05/2024"}))</f>
        <v>#VALUE!</v>
      </c>
      <c r="AH622" s="1" t="e">
        <f>ABS(NETWORKDAYS.INTL("06/14/2024", "06/14/2024", 1, {"01/01/2024","01/15/2024","02/19/2024","05/27/2024","07/04/2024","09/02/2024","10/14/2024","11/11/2024","11/28/2024","12/25/2024","12/25/2024","12/26/2024","12/27/2024","12/28/2024","12/29/2024","12/30/2024","31/25/2024","01/01/2024","01/02/2024","01/03/2024","01/04/2024","01/05/2024"}))</f>
        <v>#VALUE!</v>
      </c>
      <c r="AI622" s="1" t="e">
        <f>ABS(NETWORKDAYS.INTL("7/29/2024", "06/27/2024", 1, {"01/01/2024","01/15/2024","02/19/2024","05/27/2024","07/04/2024","09/02/2024","10/14/2024","11/11/2024","11/28/2024","12/25/2024","12/25/2024","12/26/2024","12/27/2024","12/28/2024","12/29/2024","12/30/2024","31/25/2024","01/01/2024","01/02/2024","01/03/2024","01/04/2024","01/05/2024"}))</f>
        <v>#VALUE!</v>
      </c>
      <c r="AJ622" s="1" t="b">
        <v>1</v>
      </c>
      <c r="AK622" s="1"/>
      <c r="AL622" s="1"/>
      <c r="AM622" s="1"/>
      <c r="AN622" s="1"/>
      <c r="AO622" s="1"/>
      <c r="AP622" s="1" t="b">
        <v>1</v>
      </c>
      <c r="AQ622" s="1"/>
      <c r="AR622" s="1"/>
      <c r="AS622" s="1"/>
      <c r="AT622" s="1"/>
      <c r="AU622" s="1"/>
      <c r="AV622" s="1"/>
      <c r="AW622" s="1"/>
      <c r="AX622" s="1"/>
      <c r="AY622" s="1"/>
      <c r="AZ622" s="1" t="b">
        <v>1</v>
      </c>
    </row>
    <row r="623" spans="1:52" ht="15" customHeight="1" x14ac:dyDescent="0.35">
      <c r="A623" s="1" t="s">
        <v>2063</v>
      </c>
      <c r="B623" s="1" t="s">
        <v>353</v>
      </c>
      <c r="C623" s="1" t="s">
        <v>988</v>
      </c>
      <c r="D623" s="1" t="s">
        <v>1385</v>
      </c>
      <c r="E623" s="1" t="s">
        <v>1983</v>
      </c>
      <c r="F623" s="9" t="s">
        <v>2064</v>
      </c>
      <c r="G623" s="1" t="s">
        <v>38</v>
      </c>
      <c r="H6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3" s="11" t="e">
        <f>ABS(NETWORKDAYS.INTL("05/29/2024", "05/29/2024", 1, {"01/01/2024","01/15/2024","02/19/2024","05/27/2024","07/04/2024","09/02/2024","10/14/2024","11/11/2024","11/28/2024","12/25/2024","12/25/2024","12/26/2024","12/27/2024","12/28/2024","12/29/2024","12/30/2024","31/25/2024","01/01/2024","01/02/2024","01/03/2024","01/04/2024","01/05/2024"}))</f>
        <v>#VALUE!</v>
      </c>
      <c r="J623">
        <f>0</f>
        <v>0</v>
      </c>
      <c r="K623" s="1"/>
      <c r="L623" s="1">
        <v>1</v>
      </c>
      <c r="M623" s="1" t="e">
        <f>ABS(NETWORKDAYS.INTL("06/19/2024", "06/19/2024", 1, {"01/01/2024","01/15/2024","02/19/2024","05/27/2024","07/04/2024","09/02/2024","10/14/2024","11/11/2024","11/28/2024","12/25/2024","12/25/2024","12/26/2024","12/27/2024","12/28/2024","12/29/2024","12/30/2024","31/25/2024","01/01/2024","01/02/2024","01/03/2024","01/04/2024","01/05/2024"}))</f>
        <v>#VALUE!</v>
      </c>
      <c r="N623" s="1">
        <f>0</f>
        <v>0</v>
      </c>
      <c r="O623" s="1">
        <f>0</f>
        <v>0</v>
      </c>
      <c r="P623" s="1"/>
      <c r="Q623" s="1">
        <v>0</v>
      </c>
      <c r="R623" s="1">
        <v>0</v>
      </c>
      <c r="S623" s="1">
        <f>0</f>
        <v>0</v>
      </c>
      <c r="T623" s="1">
        <f>0</f>
        <v>0</v>
      </c>
      <c r="U623" s="1"/>
      <c r="V623" s="1">
        <v>1</v>
      </c>
      <c r="W623" s="1">
        <v>1</v>
      </c>
      <c r="X623" s="1" t="e">
        <f>ABS(NETWORKDAYS.INTL("06/19/2024", "06/20/2024", 1, {"01/01/2024","01/15/2024","02/19/2024","05/27/2024","07/04/2024","09/02/2024","10/14/2024","11/11/2024","11/28/2024","12/25/2024","12/25/2024","12/26/2024","12/27/2024","12/28/2024","12/29/2024","12/30/2024","31/25/2024","01/01/2024","01/02/2024","01/03/2024","01/04/2024","01/05/2024"}))</f>
        <v>#VALUE!</v>
      </c>
      <c r="Y623" s="1">
        <f>0</f>
        <v>0</v>
      </c>
      <c r="Z623" s="1">
        <f>0</f>
        <v>0</v>
      </c>
      <c r="AA623" s="1"/>
      <c r="AB623" s="5">
        <v>45470</v>
      </c>
      <c r="AC623" s="5">
        <v>45504</v>
      </c>
      <c r="AD623" s="1" t="e">
        <f>ABS(NETWORKDAYS.INTL("06/19/2024", "05/29/2024", 1, {"01/01/2024","01/15/2024","02/19/2024","05/27/2024","07/04/2024","09/02/2024","10/14/2024","11/11/2024","11/28/2024","12/25/2024","12/25/2024","12/26/2024","12/27/2024","12/28/2024","12/29/2024","12/30/2024","31/25/2024","01/01/2024","01/02/2024","01/03/2024","01/04/2024","01/05/2024"}))</f>
        <v>#VALUE!</v>
      </c>
      <c r="AE623" s="1">
        <f>0</f>
        <v>0</v>
      </c>
      <c r="AF623" s="1">
        <f>0</f>
        <v>0</v>
      </c>
      <c r="AG623" s="1" t="e">
        <f>ABS(NETWORKDAYS.INTL("06/19/2024", "08/05/24", 1, {"01/01/2024","01/15/2024","02/19/2024","05/27/2024","07/04/2024","09/02/2024","10/14/2024","11/11/2024","11/28/2024","12/25/2024","12/25/2024","12/26/2024","12/27/2024","12/28/2024","12/29/2024","12/30/2024","31/25/2024","01/01/2024","01/02/2024","01/03/2024","01/04/2024","01/05/2024"}))</f>
        <v>#VALUE!</v>
      </c>
      <c r="AH623" s="1" t="e">
        <f>ABS(NETWORKDAYS.INTL("06/19/2024", "06/19/2024", 1, {"01/01/2024","01/15/2024","02/19/2024","05/27/2024","07/04/2024","09/02/2024","10/14/2024","11/11/2024","11/28/2024","12/25/2024","12/25/2024","12/26/2024","12/27/2024","12/28/2024","12/29/2024","12/30/2024","31/25/2024","01/01/2024","01/02/2024","01/03/2024","01/04/2024","01/05/2024"}))</f>
        <v>#VALUE!</v>
      </c>
      <c r="AI623" s="1" t="e">
        <f>ABS(NETWORKDAYS.INTL("07/31/2024", "06/27/2024", 1, {"01/01/2024","01/15/2024","02/19/2024","05/27/2024","07/04/2024","09/02/2024","10/14/2024","11/11/2024","11/28/2024","12/25/2024","12/25/2024","12/26/2024","12/27/2024","12/28/2024","12/29/2024","12/30/2024","31/25/2024","01/01/2024","01/02/2024","01/03/2024","01/04/2024","01/05/2024"}))</f>
        <v>#VALUE!</v>
      </c>
      <c r="AJ623" s="1" t="b">
        <v>1</v>
      </c>
      <c r="AK623" s="1"/>
      <c r="AL623" s="1"/>
      <c r="AM623" s="1"/>
      <c r="AN623" s="1"/>
      <c r="AO623" s="1"/>
      <c r="AP623" s="1" t="b">
        <v>1</v>
      </c>
      <c r="AQ623" s="1"/>
      <c r="AR623" s="1"/>
      <c r="AS623" s="1"/>
      <c r="AT623" s="1"/>
      <c r="AU623" s="1"/>
      <c r="AV623" s="1"/>
      <c r="AW623" s="1"/>
      <c r="AX623" s="1"/>
      <c r="AY623" s="1"/>
      <c r="AZ623" s="1" t="b">
        <v>1</v>
      </c>
    </row>
    <row r="624" spans="1:52" ht="15" customHeight="1" x14ac:dyDescent="0.35">
      <c r="A624" s="1" t="s">
        <v>2065</v>
      </c>
      <c r="B624" s="1" t="s">
        <v>354</v>
      </c>
      <c r="C624" s="1" t="s">
        <v>988</v>
      </c>
      <c r="D624" s="1" t="s">
        <v>1986</v>
      </c>
      <c r="E624" s="1" t="s">
        <v>1983</v>
      </c>
      <c r="F624" s="9" t="s">
        <v>2066</v>
      </c>
      <c r="G624" s="1" t="s">
        <v>38</v>
      </c>
      <c r="H6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4" s="11" t="e">
        <f>ABS(NETWORKDAYS.INTL("05/29/2024", "05/29/2024", 1, {"01/01/2024","01/15/2024","02/19/2024","05/27/2024","07/04/2024","09/02/2024","10/14/2024","11/11/2024","11/28/2024","12/25/2024","12/25/2024","12/26/2024","12/27/2024","12/28/2024","12/29/2024","12/30/2024","31/25/2024","01/01/2024","01/02/2024","01/03/2024","01/04/2024","01/05/2024"}))</f>
        <v>#VALUE!</v>
      </c>
      <c r="J624">
        <f>0</f>
        <v>0</v>
      </c>
      <c r="K624" s="1"/>
      <c r="L624" s="1">
        <v>1</v>
      </c>
      <c r="M624" s="1" t="e">
        <f>ABS(NETWORKDAYS.INTL("06/14/2024", "06/14/2024", 1, {"01/01/2024","01/15/2024","02/19/2024","05/27/2024","07/04/2024","09/02/2024","10/14/2024","11/11/2024","11/28/2024","12/25/2024","12/25/2024","12/26/2024","12/27/2024","12/28/2024","12/29/2024","12/30/2024","31/25/2024","01/01/2024","01/02/2024","01/03/2024","01/04/2024","01/05/2024"}))</f>
        <v>#VALUE!</v>
      </c>
      <c r="N624" s="1">
        <f>0</f>
        <v>0</v>
      </c>
      <c r="O624" s="1">
        <f>0</f>
        <v>0</v>
      </c>
      <c r="P624" s="1"/>
      <c r="Q624" s="1">
        <v>0</v>
      </c>
      <c r="R624" s="1">
        <v>0</v>
      </c>
      <c r="S624" s="1">
        <f>0</f>
        <v>0</v>
      </c>
      <c r="T624" s="1">
        <f>0</f>
        <v>0</v>
      </c>
      <c r="U624" s="1"/>
      <c r="V624" s="1">
        <v>1</v>
      </c>
      <c r="W624" s="1">
        <v>1</v>
      </c>
      <c r="X624" s="1" t="e">
        <f>ABS(NETWORKDAYS.INTL("06/14/2024", "06/17/2024", 1, {"01/01/2024","01/15/2024","02/19/2024","05/27/2024","07/04/2024","09/02/2024","10/14/2024","11/11/2024","11/28/2024","12/25/2024","12/25/2024","12/26/2024","12/27/2024","12/28/2024","12/29/2024","12/30/2024","31/25/2024","01/01/2024","01/02/2024","01/03/2024","01/04/2024","01/05/2024"}))</f>
        <v>#VALUE!</v>
      </c>
      <c r="Y624" s="1">
        <f>0</f>
        <v>0</v>
      </c>
      <c r="Z624" s="1">
        <f>0</f>
        <v>0</v>
      </c>
      <c r="AA624" s="1"/>
      <c r="AB624" s="5">
        <v>45468</v>
      </c>
      <c r="AC624" s="5">
        <v>45502</v>
      </c>
      <c r="AD624" s="1" t="e">
        <f>ABS(NETWORKDAYS.INTL("06/14/2024", "05/29/2024", 1, {"01/01/2024","01/15/2024","02/19/2024","05/27/2024","07/04/2024","09/02/2024","10/14/2024","11/11/2024","11/28/2024","12/25/2024","12/25/2024","12/26/2024","12/27/2024","12/28/2024","12/29/2024","12/30/2024","31/25/2024","01/01/2024","01/02/2024","01/03/2024","01/04/2024","01/05/2024"}))</f>
        <v>#VALUE!</v>
      </c>
      <c r="AE624" s="1">
        <f>0</f>
        <v>0</v>
      </c>
      <c r="AF624" s="1">
        <f>0</f>
        <v>0</v>
      </c>
      <c r="AG624" s="1" t="e">
        <f>ABS(NETWORKDAYS.INTL("06/14/2024", "08/05/24", 1, {"01/01/2024","01/15/2024","02/19/2024","05/27/2024","07/04/2024","09/02/2024","10/14/2024","11/11/2024","11/28/2024","12/25/2024","12/25/2024","12/26/2024","12/27/2024","12/28/2024","12/29/2024","12/30/2024","31/25/2024","01/01/2024","01/02/2024","01/03/2024","01/04/2024","01/05/2024"}))</f>
        <v>#VALUE!</v>
      </c>
      <c r="AH624" s="1" t="e">
        <f>ABS(NETWORKDAYS.INTL("06/14/2024", "06/14/2024", 1, {"01/01/2024","01/15/2024","02/19/2024","05/27/2024","07/04/2024","09/02/2024","10/14/2024","11/11/2024","11/28/2024","12/25/2024","12/25/2024","12/26/2024","12/27/2024","12/28/2024","12/29/2024","12/30/2024","31/25/2024","01/01/2024","01/02/2024","01/03/2024","01/04/2024","01/05/2024"}))</f>
        <v>#VALUE!</v>
      </c>
      <c r="AI624" s="1" t="e">
        <f>ABS(NETWORKDAYS.INTL("7/29/2024", "06/25/2024", 1, {"01/01/2024","01/15/2024","02/19/2024","05/27/2024","07/04/2024","09/02/2024","10/14/2024","11/11/2024","11/28/2024","12/25/2024","12/25/2024","12/26/2024","12/27/2024","12/28/2024","12/29/2024","12/30/2024","31/25/2024","01/01/2024","01/02/2024","01/03/2024","01/04/2024","01/05/2024"}))</f>
        <v>#VALUE!</v>
      </c>
      <c r="AJ624" s="1" t="b">
        <v>1</v>
      </c>
      <c r="AK624" s="1"/>
      <c r="AL624" s="1"/>
      <c r="AM624" s="1"/>
      <c r="AN624" s="1"/>
      <c r="AO624" s="1"/>
      <c r="AP624" s="1" t="b">
        <v>1</v>
      </c>
      <c r="AQ624" s="1"/>
      <c r="AR624" s="1"/>
      <c r="AS624" s="1"/>
      <c r="AT624" s="1"/>
      <c r="AU624" s="1"/>
      <c r="AV624" s="1"/>
      <c r="AW624" s="1"/>
      <c r="AX624" s="1"/>
      <c r="AY624" s="1"/>
      <c r="AZ624" s="1" t="b">
        <v>1</v>
      </c>
    </row>
    <row r="625" spans="1:52" ht="15" customHeight="1" x14ac:dyDescent="0.35">
      <c r="A625" s="1" t="s">
        <v>2067</v>
      </c>
      <c r="B625" s="1" t="s">
        <v>355</v>
      </c>
      <c r="C625" s="1" t="s">
        <v>1329</v>
      </c>
      <c r="D625" s="1" t="s">
        <v>1544</v>
      </c>
      <c r="E625" s="1" t="s">
        <v>1336</v>
      </c>
      <c r="F625" s="9" t="s">
        <v>2068</v>
      </c>
      <c r="G625" s="1" t="s">
        <v>38</v>
      </c>
      <c r="H6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5" s="11" t="e">
        <f>ABS(NETWORKDAYS.INTL("05/24/2024", "06/03/2024", 1, {"01/01/2024","01/15/2024","02/19/2024","05/27/2024","07/04/2024","09/02/2024","10/14/2024","11/11/2024","11/28/2024","12/25/2024","12/25/2024","12/26/2024","12/27/2024","12/28/2024","12/29/2024","12/30/2024","31/25/2024","01/01/2024","01/02/2024","01/03/2024","01/04/2024","01/05/2024"}))</f>
        <v>#VALUE!</v>
      </c>
      <c r="J625">
        <f>0</f>
        <v>0</v>
      </c>
      <c r="K625" s="1"/>
      <c r="L625" s="1">
        <v>0</v>
      </c>
      <c r="M625" s="1">
        <f>0</f>
        <v>0</v>
      </c>
      <c r="N625" s="1">
        <f>0</f>
        <v>0</v>
      </c>
      <c r="O625" s="1">
        <f>0</f>
        <v>0</v>
      </c>
      <c r="P625" s="1"/>
      <c r="Q625" s="1">
        <v>0</v>
      </c>
      <c r="R625" s="1">
        <v>0</v>
      </c>
      <c r="S625" s="1">
        <f>0</f>
        <v>0</v>
      </c>
      <c r="T625" s="1">
        <f>0</f>
        <v>0</v>
      </c>
      <c r="U625" s="1"/>
      <c r="V625" s="1">
        <v>0</v>
      </c>
      <c r="W625" s="1">
        <v>0</v>
      </c>
      <c r="X625" s="1">
        <f>0</f>
        <v>0</v>
      </c>
      <c r="Y625" s="1">
        <f>0</f>
        <v>0</v>
      </c>
      <c r="Z625" s="1">
        <f>0</f>
        <v>0</v>
      </c>
      <c r="AA625" s="1"/>
      <c r="AB625" s="5"/>
      <c r="AC625" s="1"/>
      <c r="AD625" s="1">
        <f>0</f>
        <v>0</v>
      </c>
      <c r="AE625" s="1">
        <f>0</f>
        <v>0</v>
      </c>
      <c r="AF625" s="1">
        <f>0</f>
        <v>0</v>
      </c>
      <c r="AG625" s="1">
        <f>0</f>
        <v>0</v>
      </c>
      <c r="AH625" s="1">
        <f>0</f>
        <v>0</v>
      </c>
      <c r="AI625" s="1">
        <f>0</f>
        <v>0</v>
      </c>
      <c r="AJ625" s="1" t="b">
        <v>1</v>
      </c>
      <c r="AK625" s="1"/>
      <c r="AL625" s="1"/>
      <c r="AM625" s="1"/>
      <c r="AN625" s="1"/>
      <c r="AO625" s="1"/>
      <c r="AP625" s="1" t="b">
        <v>1</v>
      </c>
      <c r="AQ625" s="1"/>
      <c r="AR625" s="1"/>
      <c r="AS625" s="1"/>
      <c r="AT625" s="1"/>
      <c r="AU625" s="1"/>
      <c r="AV625" s="1"/>
      <c r="AW625" s="1"/>
      <c r="AX625" s="1"/>
      <c r="AY625" s="1" t="b">
        <v>1</v>
      </c>
      <c r="AZ625" s="1"/>
    </row>
    <row r="626" spans="1:52" ht="15" customHeight="1" x14ac:dyDescent="0.35">
      <c r="A626" s="1" t="s">
        <v>2069</v>
      </c>
      <c r="B626" s="1" t="s">
        <v>356</v>
      </c>
      <c r="C626" s="1" t="s">
        <v>1329</v>
      </c>
      <c r="D626" s="1" t="s">
        <v>1347</v>
      </c>
      <c r="E626" s="1" t="s">
        <v>1336</v>
      </c>
      <c r="F626" s="9" t="s">
        <v>2070</v>
      </c>
      <c r="G626" s="1" t="s">
        <v>38</v>
      </c>
      <c r="H6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6" s="11" t="e">
        <f>ABS(NETWORKDAYS.INTL("05/24/2024", "06/14/2024", 1, {"01/01/2024","01/15/2024","02/19/2024","05/27/2024","07/04/2024","09/02/2024","10/14/2024","11/11/2024","11/28/2024","12/25/2024","12/25/2024","12/26/2024","12/27/2024","12/28/2024","12/29/2024","12/30/2024","31/25/2024","01/01/2024","01/02/2024","01/03/2024","01/04/2024","01/05/2024"}))</f>
        <v>#VALUE!</v>
      </c>
      <c r="J626">
        <f>0</f>
        <v>0</v>
      </c>
      <c r="K626" s="1"/>
      <c r="L626" s="1">
        <v>0</v>
      </c>
      <c r="M626" s="1">
        <f>0</f>
        <v>0</v>
      </c>
      <c r="N626" s="1">
        <f>0</f>
        <v>0</v>
      </c>
      <c r="O626" s="1">
        <f>0</f>
        <v>0</v>
      </c>
      <c r="P626" s="1"/>
      <c r="Q626" s="1">
        <v>0</v>
      </c>
      <c r="R626" s="1">
        <v>0</v>
      </c>
      <c r="S626" s="1">
        <f>0</f>
        <v>0</v>
      </c>
      <c r="T626" s="1">
        <f>0</f>
        <v>0</v>
      </c>
      <c r="U626" s="1"/>
      <c r="V626" s="1">
        <v>0</v>
      </c>
      <c r="W626" s="1">
        <v>0</v>
      </c>
      <c r="X626" s="1">
        <f>0</f>
        <v>0</v>
      </c>
      <c r="Y626" s="1">
        <f>0</f>
        <v>0</v>
      </c>
      <c r="Z626" s="1">
        <f>0</f>
        <v>0</v>
      </c>
      <c r="AA626" s="1"/>
      <c r="AB626" s="5"/>
      <c r="AC626" s="1"/>
      <c r="AD626" s="1">
        <f>0</f>
        <v>0</v>
      </c>
      <c r="AE626" s="1">
        <f>0</f>
        <v>0</v>
      </c>
      <c r="AF626" s="1">
        <f>0</f>
        <v>0</v>
      </c>
      <c r="AG626" s="1">
        <f>0</f>
        <v>0</v>
      </c>
      <c r="AH626" s="1">
        <f>0</f>
        <v>0</v>
      </c>
      <c r="AI626" s="1">
        <f>0</f>
        <v>0</v>
      </c>
      <c r="AJ626" s="1" t="b">
        <v>1</v>
      </c>
      <c r="AK626" s="1"/>
      <c r="AL626" s="1"/>
      <c r="AM626" s="1"/>
      <c r="AN626" s="1"/>
      <c r="AO626" s="1"/>
      <c r="AP626" s="1" t="b">
        <v>1</v>
      </c>
      <c r="AQ626" s="1"/>
      <c r="AR626" s="1"/>
      <c r="AS626" s="1"/>
      <c r="AT626" s="1"/>
      <c r="AU626" s="1"/>
      <c r="AV626" s="1"/>
      <c r="AW626" s="1"/>
      <c r="AX626" s="1"/>
      <c r="AY626" s="1" t="b">
        <v>1</v>
      </c>
      <c r="AZ626" s="1"/>
    </row>
    <row r="627" spans="1:52" ht="15" customHeight="1" x14ac:dyDescent="0.35">
      <c r="A627" s="1" t="s">
        <v>2071</v>
      </c>
      <c r="B627" s="1" t="s">
        <v>357</v>
      </c>
      <c r="C627" s="1" t="s">
        <v>988</v>
      </c>
      <c r="D627" s="1" t="s">
        <v>2072</v>
      </c>
      <c r="E627" s="1" t="s">
        <v>1983</v>
      </c>
      <c r="F627" s="9" t="s">
        <v>2073</v>
      </c>
      <c r="G627" s="1" t="s">
        <v>38</v>
      </c>
      <c r="H6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27" s="11" t="e">
        <f>ABS(NETWORKDAYS.INTL("05/29/2024", "05/31/2024", 1, {"01/01/2024","01/15/2024","02/19/2024","05/27/2024","07/04/2024","09/02/2024","10/14/2024","11/11/2024","11/28/2024","12/25/2024","12/25/2024","12/26/2024","12/27/2024","12/28/2024","12/29/2024","12/30/2024","31/25/2024","01/01/2024","01/02/2024","01/03/2024","01/04/2024","01/05/2024"}))</f>
        <v>#VALUE!</v>
      </c>
      <c r="J627">
        <f>0</f>
        <v>0</v>
      </c>
      <c r="K627" s="1"/>
      <c r="L627" s="1">
        <v>1</v>
      </c>
      <c r="M627" s="1" t="e">
        <f>ABS(NETWORKDAYS.INTL("06/19/2024", "06/19/2024", 1, {"01/01/2024","01/15/2024","02/19/2024","05/27/2024","07/04/2024","09/02/2024","10/14/2024","11/11/2024","11/28/2024","12/25/2024","12/25/2024","12/26/2024","12/27/2024","12/28/2024","12/29/2024","12/30/2024","31/25/2024","01/01/2024","01/02/2024","01/03/2024","01/04/2024","01/05/2024"}))</f>
        <v>#VALUE!</v>
      </c>
      <c r="N627" s="1">
        <f>0</f>
        <v>0</v>
      </c>
      <c r="O627" s="1">
        <f>0</f>
        <v>0</v>
      </c>
      <c r="P627" s="1"/>
      <c r="Q627" s="1">
        <v>0</v>
      </c>
      <c r="R627" s="1">
        <v>0</v>
      </c>
      <c r="S627" s="1">
        <f>0</f>
        <v>0</v>
      </c>
      <c r="T627" s="1">
        <f>0</f>
        <v>0</v>
      </c>
      <c r="U627" s="1"/>
      <c r="V627" s="1">
        <v>2</v>
      </c>
      <c r="W627" s="1">
        <v>2</v>
      </c>
      <c r="X627" s="1" t="e">
        <f>ABS(NETWORKDAYS.INTL("06/19/2024", "06/20/2024", 1, {"01/01/2024","01/15/2024","02/19/2024","05/27/2024","07/04/2024","09/02/2024","10/14/2024","11/11/2024","11/28/2024","12/25/2024","12/25/2024","12/26/2024","12/27/2024","12/28/2024","12/29/2024","12/30/2024","31/25/2024","01/01/2024","01/02/2024","01/03/2024","01/04/2024","01/05/2024"})+NETWORKDAYS.INTL("06/27/2024", "06/27/2024", 1, {"01/01/2024","01/15/2024","02/19/2024","05/27/2024","07/04/2024","09/02/2024","10/14/2024","11/11/2024","11/28/2024","12/25/2024","12/25/2024","12/26/2024","12/27/2024","12/28/2024","12/29/2024","12/30/2024","31/25/2024","01/01/2024","01/02/2024","01/03/2024","01/04/2024","01/05/2024"}))</f>
        <v>#VALUE!</v>
      </c>
      <c r="Y627" s="1" t="e">
        <f>ABS(NETWORKDAYS.INTL("06/27/2024", "06/27/2024", 1, {"01/01/2024","01/15/2024","02/19/2024","05/27/2024","07/04/2024","09/02/2024","10/14/2024","11/11/2024","11/28/2024","12/25/2024","12/25/2024","12/26/2024","12/27/2024","12/28/2024","12/29/2024","12/30/2024","31/25/2024","01/01/2024","01/02/2024","01/03/2024","01/04/2024","01/05/2024"}))</f>
        <v>#VALUE!</v>
      </c>
      <c r="Z627" s="1">
        <f>0</f>
        <v>0</v>
      </c>
      <c r="AA627" s="1"/>
      <c r="AB627" s="5">
        <v>45470</v>
      </c>
      <c r="AC627" s="5">
        <v>45503</v>
      </c>
      <c r="AD627" s="1" t="e">
        <f>ABS(NETWORKDAYS.INTL("06/19/2024", "05/31/2024", 1, {"01/01/2024","01/15/2024","02/19/2024","05/27/2024","07/04/2024","09/02/2024","10/14/2024","11/11/2024","11/28/2024","12/25/2024","12/25/2024","12/26/2024","12/27/2024","12/28/2024","12/29/2024","12/30/2024","31/25/2024","01/01/2024","01/02/2024","01/03/2024","01/04/2024","01/05/2024"}))</f>
        <v>#VALUE!</v>
      </c>
      <c r="AE627" s="1">
        <f>0</f>
        <v>0</v>
      </c>
      <c r="AF627" s="1">
        <f>0</f>
        <v>0</v>
      </c>
      <c r="AG627" s="1" t="e">
        <f>ABS(NETWORKDAYS.INTL("06/19/2024", "08/05/24", 1, {"01/01/2024","01/15/2024","02/19/2024","05/27/2024","07/04/2024","09/02/2024","10/14/2024","11/11/2024","11/28/2024","12/25/2024","12/25/2024","12/26/2024","12/27/2024","12/28/2024","12/29/2024","12/30/2024","31/25/2024","01/01/2024","01/02/2024","01/03/2024","01/04/2024","01/05/2024"}))</f>
        <v>#VALUE!</v>
      </c>
      <c r="AH627" s="1" t="e">
        <f>ABS(NETWORKDAYS.INTL("06/19/2024", "06/19/2024", 1, {"01/01/2024","01/15/2024","02/19/2024","05/27/2024","07/04/2024","09/02/2024","10/14/2024","11/11/2024","11/28/2024","12/25/2024","12/25/2024","12/26/2024","12/27/2024","12/28/2024","12/29/2024","12/30/2024","31/25/2024","01/01/2024","01/02/2024","01/03/2024","01/04/2024","01/05/2024"}))</f>
        <v>#VALUE!</v>
      </c>
      <c r="AI627" s="1" t="e">
        <f>ABS(NETWORKDAYS.INTL("07/30/2024", "06/27/2024", 1, {"01/01/2024","01/15/2024","02/19/2024","05/27/2024","07/04/2024","09/02/2024","10/14/2024","11/11/2024","11/28/2024","12/25/2024","12/25/2024","12/26/2024","12/27/2024","12/28/2024","12/29/2024","12/30/2024","31/25/2024","01/01/2024","01/02/2024","01/03/2024","01/04/2024","01/05/2024"}))</f>
        <v>#VALUE!</v>
      </c>
      <c r="AJ627" s="1" t="b">
        <v>1</v>
      </c>
      <c r="AK627" s="1"/>
      <c r="AL627" s="1"/>
      <c r="AM627" s="1"/>
      <c r="AN627" s="1"/>
      <c r="AO627" s="1"/>
      <c r="AP627" s="1" t="b">
        <v>1</v>
      </c>
      <c r="AQ627" s="1"/>
      <c r="AR627" s="1"/>
      <c r="AS627" s="1"/>
      <c r="AT627" s="1"/>
      <c r="AU627" s="1"/>
      <c r="AV627" s="1"/>
      <c r="AW627" s="1"/>
      <c r="AX627" s="1"/>
      <c r="AY627" s="1"/>
      <c r="AZ627" s="1" t="b">
        <v>1</v>
      </c>
    </row>
    <row r="628" spans="1:52" ht="15" customHeight="1" x14ac:dyDescent="0.35">
      <c r="A628" s="1" t="s">
        <v>2074</v>
      </c>
      <c r="B628" s="1" t="s">
        <v>358</v>
      </c>
      <c r="C628" s="1" t="s">
        <v>1329</v>
      </c>
      <c r="D628" s="1" t="s">
        <v>1354</v>
      </c>
      <c r="E628" s="1" t="s">
        <v>1336</v>
      </c>
      <c r="F628" s="9" t="s">
        <v>2075</v>
      </c>
      <c r="G628" s="1" t="s">
        <v>38</v>
      </c>
      <c r="H6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8" s="11" t="e">
        <f>ABS(NETWORKDAYS.INTL("06/11/2024", "06/17/2024", 1, {"01/01/2024","01/15/2024","02/19/2024","05/27/2024","07/04/2024","09/02/2024","10/14/2024","11/11/2024","11/28/2024","12/25/2024","12/25/2024","12/26/2024","12/27/2024","12/28/2024","12/29/2024","12/30/2024","31/25/2024","01/01/2024","01/02/2024","01/03/2024","01/04/2024","01/05/2024"}))</f>
        <v>#VALUE!</v>
      </c>
      <c r="J628">
        <f>0</f>
        <v>0</v>
      </c>
      <c r="K628" s="1"/>
      <c r="L628" s="1">
        <v>0</v>
      </c>
      <c r="M628" s="1">
        <f>0</f>
        <v>0</v>
      </c>
      <c r="N628" s="1">
        <f>0</f>
        <v>0</v>
      </c>
      <c r="O628" s="1">
        <f>0</f>
        <v>0</v>
      </c>
      <c r="P628" s="1"/>
      <c r="Q628" s="1">
        <v>0</v>
      </c>
      <c r="R628" s="1">
        <v>0</v>
      </c>
      <c r="S628" s="1">
        <f>0</f>
        <v>0</v>
      </c>
      <c r="T628" s="1">
        <f>0</f>
        <v>0</v>
      </c>
      <c r="U628" s="1"/>
      <c r="V628" s="1">
        <v>0</v>
      </c>
      <c r="W628" s="1">
        <v>0</v>
      </c>
      <c r="X628" s="1">
        <f>0</f>
        <v>0</v>
      </c>
      <c r="Y628" s="1">
        <f>0</f>
        <v>0</v>
      </c>
      <c r="Z628" s="1">
        <f>0</f>
        <v>0</v>
      </c>
      <c r="AA628" s="1"/>
      <c r="AB628" s="5"/>
      <c r="AC628" s="1"/>
      <c r="AD628" s="1">
        <f>0</f>
        <v>0</v>
      </c>
      <c r="AE628" s="1">
        <f>0</f>
        <v>0</v>
      </c>
      <c r="AF628" s="1">
        <f>0</f>
        <v>0</v>
      </c>
      <c r="AG628" s="1">
        <f>0</f>
        <v>0</v>
      </c>
      <c r="AH628" s="1">
        <f>0</f>
        <v>0</v>
      </c>
      <c r="AI628" s="1">
        <f>0</f>
        <v>0</v>
      </c>
      <c r="AJ628" s="1" t="b">
        <v>1</v>
      </c>
      <c r="AK628" s="1"/>
      <c r="AL628" s="1"/>
      <c r="AM628" s="1"/>
      <c r="AN628" s="1"/>
      <c r="AO628" s="1"/>
      <c r="AP628" s="1" t="b">
        <v>1</v>
      </c>
      <c r="AQ628" s="1"/>
      <c r="AR628" s="1"/>
      <c r="AS628" s="1"/>
      <c r="AT628" s="1"/>
      <c r="AU628" s="1"/>
      <c r="AV628" s="1"/>
      <c r="AW628" s="1"/>
      <c r="AX628" s="1"/>
      <c r="AY628" s="1" t="b">
        <v>1</v>
      </c>
      <c r="AZ628" s="1"/>
    </row>
    <row r="629" spans="1:52" ht="15" customHeight="1" x14ac:dyDescent="0.35">
      <c r="A629" s="1" t="s">
        <v>2076</v>
      </c>
      <c r="B629" s="1" t="s">
        <v>359</v>
      </c>
      <c r="C629" s="1" t="s">
        <v>816</v>
      </c>
      <c r="D629" s="1" t="s">
        <v>1591</v>
      </c>
      <c r="E629" s="1" t="s">
        <v>1336</v>
      </c>
      <c r="F629" s="9" t="s">
        <v>2077</v>
      </c>
      <c r="G629" s="1" t="s">
        <v>38</v>
      </c>
      <c r="H6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29" s="11" t="e">
        <f>ABS(NETWORKDAYS.INTL("05/30/2024", "7/10/2024", 1, {"01/01/2024","01/15/2024","02/19/2024","05/27/2024","07/04/2024","09/02/2024","10/14/2024","11/11/2024","11/28/2024","12/25/2024","12/25/2024","12/26/2024","12/27/2024","12/28/2024","12/29/2024","12/30/2024","31/25/2024","01/01/2024","01/02/2024","01/03/2024","01/04/2024","01/05/2024"}))</f>
        <v>#VALUE!</v>
      </c>
      <c r="J629">
        <f>0</f>
        <v>0</v>
      </c>
      <c r="K629" s="1"/>
      <c r="L629" s="1">
        <v>0</v>
      </c>
      <c r="M629" s="1">
        <f>0</f>
        <v>0</v>
      </c>
      <c r="N629" s="1">
        <f>0</f>
        <v>0</v>
      </c>
      <c r="O629" s="1">
        <f>0</f>
        <v>0</v>
      </c>
      <c r="P629" s="1"/>
      <c r="Q629" s="1">
        <v>0</v>
      </c>
      <c r="R629" s="1">
        <v>0</v>
      </c>
      <c r="S629" s="1">
        <f>0</f>
        <v>0</v>
      </c>
      <c r="T629" s="1">
        <f>0</f>
        <v>0</v>
      </c>
      <c r="U629" s="1"/>
      <c r="V629" s="1">
        <v>0</v>
      </c>
      <c r="W629" s="1">
        <v>0</v>
      </c>
      <c r="X629" s="1">
        <f>0</f>
        <v>0</v>
      </c>
      <c r="Y629" s="1">
        <f>0</f>
        <v>0</v>
      </c>
      <c r="Z629" s="1">
        <f>0</f>
        <v>0</v>
      </c>
      <c r="AA629" s="1"/>
      <c r="AB629" s="5"/>
      <c r="AC629" s="1"/>
      <c r="AD629" s="1">
        <f>0</f>
        <v>0</v>
      </c>
      <c r="AE629" s="1">
        <f>0</f>
        <v>0</v>
      </c>
      <c r="AF629" s="1">
        <f>0</f>
        <v>0</v>
      </c>
      <c r="AG629" s="1">
        <f>0</f>
        <v>0</v>
      </c>
      <c r="AH629" s="1">
        <f>0</f>
        <v>0</v>
      </c>
      <c r="AI629" s="1">
        <f>0</f>
        <v>0</v>
      </c>
      <c r="AJ629" s="1" t="b">
        <v>1</v>
      </c>
      <c r="AK629" s="1"/>
      <c r="AL629" s="1"/>
      <c r="AM629" s="1"/>
      <c r="AN629" s="1"/>
      <c r="AO629" s="1"/>
      <c r="AP629" s="1" t="b">
        <v>1</v>
      </c>
      <c r="AQ629" s="1"/>
      <c r="AR629" s="1"/>
      <c r="AS629" s="1"/>
      <c r="AT629" s="1"/>
      <c r="AU629" s="1"/>
      <c r="AV629" s="1"/>
      <c r="AW629" s="1"/>
      <c r="AX629" s="1"/>
      <c r="AY629" s="1" t="b">
        <v>1</v>
      </c>
      <c r="AZ629" s="1"/>
    </row>
    <row r="630" spans="1:52" ht="15" customHeight="1" x14ac:dyDescent="0.35">
      <c r="A630" s="1" t="s">
        <v>2078</v>
      </c>
      <c r="B630" s="1" t="s">
        <v>360</v>
      </c>
      <c r="C630" s="1" t="s">
        <v>1329</v>
      </c>
      <c r="D630" s="1" t="s">
        <v>1680</v>
      </c>
      <c r="E630" s="1" t="s">
        <v>2079</v>
      </c>
      <c r="F630" s="9" t="s">
        <v>2080</v>
      </c>
      <c r="G630" s="1" t="s">
        <v>38</v>
      </c>
      <c r="H6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0" s="11" t="e">
        <f>ABS(NETWORKDAYS.INTL("06/06/24", "06/10/24", 1, {"01/01/2024","01/15/2024","02/19/2024","05/27/2024","07/04/2024","09/02/2024","10/14/2024","11/11/2024","11/28/2024","12/25/2024","12/25/2024","12/26/2024","12/27/2024","12/28/2024","12/29/2024","12/30/2024","31/25/2024","01/01/2024","01/02/2024","01/03/2024","01/04/2024","01/05/2024"}))</f>
        <v>#VALUE!</v>
      </c>
      <c r="J630">
        <f>0</f>
        <v>0</v>
      </c>
      <c r="K630" s="1"/>
      <c r="L630" s="1">
        <v>0</v>
      </c>
      <c r="M630" s="1">
        <f>0</f>
        <v>0</v>
      </c>
      <c r="N630" s="1">
        <f>0</f>
        <v>0</v>
      </c>
      <c r="O630" s="1">
        <f>0</f>
        <v>0</v>
      </c>
      <c r="P630" s="1"/>
      <c r="Q630" s="1">
        <v>0</v>
      </c>
      <c r="R630" s="1">
        <v>0</v>
      </c>
      <c r="S630" s="1">
        <f>0</f>
        <v>0</v>
      </c>
      <c r="T630" s="1">
        <f>0</f>
        <v>0</v>
      </c>
      <c r="U630" s="1"/>
      <c r="V630" s="1">
        <v>0</v>
      </c>
      <c r="W630" s="1">
        <v>0</v>
      </c>
      <c r="X630" s="1">
        <f>0</f>
        <v>0</v>
      </c>
      <c r="Y630" s="1">
        <f>0</f>
        <v>0</v>
      </c>
      <c r="Z630" s="1">
        <f>0</f>
        <v>0</v>
      </c>
      <c r="AA630" s="1"/>
      <c r="AB630" s="5"/>
      <c r="AC630" s="1"/>
      <c r="AD630" s="1">
        <f>0</f>
        <v>0</v>
      </c>
      <c r="AE630" s="1">
        <f>0</f>
        <v>0</v>
      </c>
      <c r="AF630" s="1">
        <f>0</f>
        <v>0</v>
      </c>
      <c r="AG630" s="1">
        <f>0</f>
        <v>0</v>
      </c>
      <c r="AH630" s="1">
        <f>0</f>
        <v>0</v>
      </c>
      <c r="AI630" s="1">
        <f>0</f>
        <v>0</v>
      </c>
      <c r="AJ630" s="1" t="b">
        <v>1</v>
      </c>
      <c r="AK630" s="1"/>
      <c r="AL630" s="1"/>
      <c r="AM630" s="1"/>
      <c r="AN630" s="1"/>
      <c r="AO630" s="1"/>
      <c r="AP630" s="1" t="b">
        <v>1</v>
      </c>
      <c r="AQ630" s="1"/>
      <c r="AR630" s="1"/>
      <c r="AS630" s="1"/>
      <c r="AT630" s="1"/>
      <c r="AU630" s="1"/>
      <c r="AV630" s="1"/>
      <c r="AW630" s="1"/>
      <c r="AX630" s="1"/>
      <c r="AY630" s="1" t="b">
        <v>1</v>
      </c>
      <c r="AZ630" s="1"/>
    </row>
    <row r="631" spans="1:52" ht="15" customHeight="1" x14ac:dyDescent="0.35">
      <c r="A631" s="1" t="s">
        <v>2081</v>
      </c>
      <c r="B631" s="1" t="s">
        <v>361</v>
      </c>
      <c r="C631" s="1" t="s">
        <v>988</v>
      </c>
      <c r="D631" s="1" t="s">
        <v>1374</v>
      </c>
      <c r="E631" s="1" t="s">
        <v>2003</v>
      </c>
      <c r="F631" s="9" t="s">
        <v>2082</v>
      </c>
      <c r="G631" s="1" t="s">
        <v>38</v>
      </c>
      <c r="H6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1" s="11" t="e">
        <f>ABS(NETWORKDAYS.INTL("05/29/24", "05/30/24", 1, {"01/01/2024","01/15/2024","02/19/2024","05/27/2024","07/04/2024","09/02/2024","10/14/2024","11/11/2024","11/28/2024","12/25/2024","12/25/2024","12/26/2024","12/27/2024","12/28/2024","12/29/2024","12/30/2024","31/25/2024","01/01/2024","01/02/2024","01/03/2024","01/04/2024","01/05/2024"}))</f>
        <v>#VALUE!</v>
      </c>
      <c r="J631">
        <f>0</f>
        <v>0</v>
      </c>
      <c r="K631" s="1"/>
      <c r="L631" s="1">
        <v>1</v>
      </c>
      <c r="M631" s="1" t="e">
        <f>ABS(NETWORKDAYS.INTL("06/11/24", "06/11/24", 1, {"01/01/2024","01/15/2024","02/19/2024","05/27/2024","07/04/2024","09/02/2024","10/14/2024","11/11/2024","11/28/2024","12/25/2024","12/25/2024","12/26/2024","12/27/2024","12/28/2024","12/29/2024","12/30/2024","31/25/2024","01/01/2024","01/02/2024","01/03/2024","01/04/2024","01/05/2024"}))</f>
        <v>#VALUE!</v>
      </c>
      <c r="N631" s="1">
        <f>0</f>
        <v>0</v>
      </c>
      <c r="O631" s="1">
        <f>0</f>
        <v>0</v>
      </c>
      <c r="P631" s="1"/>
      <c r="Q631" s="1">
        <v>0</v>
      </c>
      <c r="R631" s="1">
        <v>0</v>
      </c>
      <c r="S631" s="1">
        <f>0</f>
        <v>0</v>
      </c>
      <c r="T631" s="1">
        <f>0</f>
        <v>0</v>
      </c>
      <c r="U631" s="1"/>
      <c r="V631" s="1">
        <v>2</v>
      </c>
      <c r="W631" s="1">
        <v>2</v>
      </c>
      <c r="X631" s="1" t="e">
        <f>ABS(NETWORKDAYS.INTL("06/11/24", "06/12/24", 1, {"01/01/2024","01/15/2024","02/19/2024","05/27/2024","07/04/2024","09/02/2024","10/14/2024","11/11/2024","11/28/2024","12/25/2024","12/25/2024","12/26/2024","12/27/2024","12/28/2024","12/29/2024","12/30/2024","31/25/2024","01/01/2024","01/02/2024","01/03/2024","01/04/2024","01/05/2024"})+NETWORKDAYS.INTL("06/13/24", "06/13/24", 1, {"01/01/2024","01/15/2024","02/19/2024","05/27/2024","07/04/2024","09/02/2024","10/14/2024","11/11/2024","11/28/2024","12/25/2024","12/25/2024","12/26/2024","12/27/2024","12/28/2024","12/29/2024","12/30/2024","31/25/2024","01/01/2024","01/02/2024","01/03/2024","01/04/2024","01/05/2024"}))</f>
        <v>#VALUE!</v>
      </c>
      <c r="Y631" s="1" t="e">
        <f>ABS(NETWORKDAYS.INTL("06/13/24", "06/13/24", 1, {"01/01/2024","01/15/2024","02/19/2024","05/27/2024","07/04/2024","09/02/2024","10/14/2024","11/11/2024","11/28/2024","12/25/2024","12/25/2024","12/26/2024","12/27/2024","12/28/2024","12/29/2024","12/30/2024","31/25/2024","01/01/2024","01/02/2024","01/03/2024","01/04/2024","01/05/2024"}))</f>
        <v>#VALUE!</v>
      </c>
      <c r="Z631" s="1">
        <f>0</f>
        <v>0</v>
      </c>
      <c r="AA631" s="1"/>
      <c r="AB631" s="5">
        <v>45456</v>
      </c>
      <c r="AC631" s="5">
        <v>45502</v>
      </c>
      <c r="AD631" s="1" t="e">
        <f>ABS(NETWORKDAYS.INTL("06/11/24", "05/30/24", 1, {"01/01/2024","01/15/2024","02/19/2024","05/27/2024","07/04/2024","09/02/2024","10/14/2024","11/11/2024","11/28/2024","12/25/2024","12/25/2024","12/26/2024","12/27/2024","12/28/2024","12/29/2024","12/30/2024","31/25/2024","01/01/2024","01/02/2024","01/03/2024","01/04/2024","01/05/2024"}))</f>
        <v>#VALUE!</v>
      </c>
      <c r="AE631" s="1">
        <f>0</f>
        <v>0</v>
      </c>
      <c r="AF631" s="1">
        <f>0</f>
        <v>0</v>
      </c>
      <c r="AG631" s="1" t="e">
        <f>ABS(NETWORKDAYS.INTL("06/11/24", "08/05/24", 1, {"01/01/2024","01/15/2024","02/19/2024","05/27/2024","07/04/2024","09/02/2024","10/14/2024","11/11/2024","11/28/2024","12/25/2024","12/25/2024","12/26/2024","12/27/2024","12/28/2024","12/29/2024","12/30/2024","31/25/2024","01/01/2024","01/02/2024","01/03/2024","01/04/2024","01/05/2024"}))</f>
        <v>#VALUE!</v>
      </c>
      <c r="AH631" s="1" t="e">
        <f>ABS(NETWORKDAYS.INTL("06/11/24", "06/11/24", 1, {"01/01/2024","01/15/2024","02/19/2024","05/27/2024","07/04/2024","09/02/2024","10/14/2024","11/11/2024","11/28/2024","12/25/2024","12/25/2024","12/26/2024","12/27/2024","12/28/2024","12/29/2024","12/30/2024","31/25/2024","01/01/2024","01/02/2024","01/03/2024","01/04/2024","01/05/2024"}))</f>
        <v>#VALUE!</v>
      </c>
      <c r="AI631" s="1" t="e">
        <f>ABS(NETWORKDAYS.INTL("7/29/2024", "06/13/24", 1, {"01/01/2024","01/15/2024","02/19/2024","05/27/2024","07/04/2024","09/02/2024","10/14/2024","11/11/2024","11/28/2024","12/25/2024","12/25/2024","12/26/2024","12/27/2024","12/28/2024","12/29/2024","12/30/2024","31/25/2024","01/01/2024","01/02/2024","01/03/2024","01/04/2024","01/05/2024"}))</f>
        <v>#VALUE!</v>
      </c>
      <c r="AJ631" s="1" t="b">
        <v>1</v>
      </c>
      <c r="AK631" s="1"/>
      <c r="AL631" s="1"/>
      <c r="AM631" s="1"/>
      <c r="AN631" s="1"/>
      <c r="AO631" s="1"/>
      <c r="AP631" s="1" t="b">
        <v>1</v>
      </c>
      <c r="AQ631" s="1"/>
      <c r="AR631" s="1"/>
      <c r="AS631" s="1"/>
      <c r="AT631" s="1"/>
      <c r="AU631" s="1"/>
      <c r="AV631" s="1"/>
      <c r="AW631" s="1"/>
      <c r="AX631" s="1"/>
      <c r="AY631" s="1"/>
      <c r="AZ631" s="1" t="b">
        <v>1</v>
      </c>
    </row>
    <row r="632" spans="1:52" ht="15" customHeight="1" x14ac:dyDescent="0.35">
      <c r="A632" s="1" t="s">
        <v>2083</v>
      </c>
      <c r="B632" s="1" t="s">
        <v>362</v>
      </c>
      <c r="C632" s="1" t="s">
        <v>1157</v>
      </c>
      <c r="D632" s="1" t="s">
        <v>2084</v>
      </c>
      <c r="E632" s="1" t="s">
        <v>1983</v>
      </c>
      <c r="F632" s="9" t="s">
        <v>2085</v>
      </c>
      <c r="G632" s="1" t="s">
        <v>38</v>
      </c>
      <c r="H6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2" s="11" t="e">
        <f>ABS(NETWORKDAYS.INTL("05/29/24", "05/29/24", 1, {"01/01/2024","01/15/2024","02/19/2024","05/27/2024","07/04/2024","09/02/2024","10/14/2024","11/11/2024","11/28/2024","12/25/2024","12/25/2024","12/26/2024","12/27/2024","12/28/2024","12/29/2024","12/30/2024","31/25/2024","01/01/2024","01/02/2024","01/03/2024","01/04/2024","01/05/2024"}))</f>
        <v>#VALUE!</v>
      </c>
      <c r="J632">
        <f>0</f>
        <v>0</v>
      </c>
      <c r="K632" s="1"/>
      <c r="L632" s="1">
        <v>1</v>
      </c>
      <c r="M632" s="1" t="e">
        <f>ABS(NETWORKDAYS.INTL("06/18/24", "06/18/24", 1, {"01/01/2024","01/15/2024","02/19/2024","05/27/2024","07/04/2024","09/02/2024","10/14/2024","11/11/2024","11/28/2024","12/25/2024","12/25/2024","12/26/2024","12/27/2024","12/28/2024","12/29/2024","12/30/2024","31/25/2024","01/01/2024","01/02/2024","01/03/2024","01/04/2024","01/05/2024"}))</f>
        <v>#VALUE!</v>
      </c>
      <c r="N632" s="1">
        <f>0</f>
        <v>0</v>
      </c>
      <c r="O632" s="1">
        <f>0</f>
        <v>0</v>
      </c>
      <c r="P632" s="1"/>
      <c r="Q632" s="1">
        <v>0</v>
      </c>
      <c r="R632" s="1">
        <v>0</v>
      </c>
      <c r="S632" s="1">
        <f>0</f>
        <v>0</v>
      </c>
      <c r="T632" s="1">
        <f>0</f>
        <v>0</v>
      </c>
      <c r="U632" s="1"/>
      <c r="V632" s="1">
        <v>1</v>
      </c>
      <c r="W632" s="1">
        <v>1</v>
      </c>
      <c r="X632" s="1" t="e">
        <f>ABS(NETWORKDAYS.INTL("06/18/24", "06/19/24", 1, {"01/01/2024","01/15/2024","02/19/2024","05/27/2024","07/04/2024","09/02/2024","10/14/2024","11/11/2024","11/28/2024","12/25/2024","12/25/2024","12/26/2024","12/27/2024","12/28/2024","12/29/2024","12/30/2024","31/25/2024","01/01/2024","01/02/2024","01/03/2024","01/04/2024","01/05/2024"}))</f>
        <v>#VALUE!</v>
      </c>
      <c r="Y632" s="1">
        <f>0</f>
        <v>0</v>
      </c>
      <c r="Z632" s="1">
        <f>0</f>
        <v>0</v>
      </c>
      <c r="AA632" s="1"/>
      <c r="AB632" s="5">
        <v>45469</v>
      </c>
      <c r="AC632" s="1"/>
      <c r="AD632" s="1" t="e">
        <f>ABS(NETWORKDAYS.INTL("06/18/24", "05/29/24", 1, {"01/01/2024","01/15/2024","02/19/2024","05/27/2024","07/04/2024","09/02/2024","10/14/2024","11/11/2024","11/28/2024","12/25/2024","12/25/2024","12/26/2024","12/27/2024","12/28/2024","12/29/2024","12/30/2024","31/25/2024","01/01/2024","01/02/2024","01/03/2024","01/04/2024","01/05/2024"}))</f>
        <v>#VALUE!</v>
      </c>
      <c r="AE632" s="1">
        <f>0</f>
        <v>0</v>
      </c>
      <c r="AF632" s="1">
        <f>0</f>
        <v>0</v>
      </c>
      <c r="AG632" s="1" t="e">
        <f>ABS(NETWORKDAYS.INTL("06/18/24", "08/05/24", 1, {"01/01/2024","01/15/2024","02/19/2024","05/27/2024","07/04/2024","09/02/2024","10/14/2024","11/11/2024","11/28/2024","12/25/2024","12/25/2024","12/26/2024","12/27/2024","12/28/2024","12/29/2024","12/30/2024","31/25/2024","01/01/2024","01/02/2024","01/03/2024","01/04/2024","01/05/2024"}))</f>
        <v>#VALUE!</v>
      </c>
      <c r="AH632" s="1" t="e">
        <f>ABS(NETWORKDAYS.INTL("06/18/24", "06/18/24", 1, {"01/01/2024","01/15/2024","02/19/2024","05/27/2024","07/04/2024","09/02/2024","10/14/2024","11/11/2024","11/28/2024","12/25/2024","12/25/2024","12/26/2024","12/27/2024","12/28/2024","12/29/2024","12/30/2024","31/25/2024","01/01/2024","01/02/2024","01/03/2024","01/04/2024","01/05/2024"}))</f>
        <v>#VALUE!</v>
      </c>
      <c r="AI632" s="1">
        <f>0</f>
        <v>0</v>
      </c>
      <c r="AJ632" s="1" t="b">
        <v>1</v>
      </c>
      <c r="AK632" s="1"/>
      <c r="AL632" s="1"/>
      <c r="AM632" s="1"/>
      <c r="AN632" s="1"/>
      <c r="AO632" s="1"/>
      <c r="AP632" s="1" t="b">
        <v>1</v>
      </c>
      <c r="AQ632" s="1"/>
      <c r="AR632" s="1"/>
      <c r="AS632" s="1"/>
      <c r="AT632" s="1"/>
      <c r="AU632" s="1"/>
      <c r="AV632" s="1"/>
      <c r="AW632" s="1"/>
      <c r="AX632" s="1"/>
      <c r="AY632" s="1"/>
      <c r="AZ632" s="1" t="b">
        <v>1</v>
      </c>
    </row>
    <row r="633" spans="1:52" ht="15" customHeight="1" x14ac:dyDescent="0.35">
      <c r="A633" s="1" t="s">
        <v>2086</v>
      </c>
      <c r="B633" s="1" t="s">
        <v>363</v>
      </c>
      <c r="C633" s="1" t="s">
        <v>988</v>
      </c>
      <c r="D633" s="1" t="s">
        <v>1986</v>
      </c>
      <c r="E633" s="1" t="s">
        <v>1983</v>
      </c>
      <c r="F633" s="9" t="s">
        <v>2087</v>
      </c>
      <c r="G633" s="1" t="s">
        <v>38</v>
      </c>
      <c r="H6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3" s="11" t="e">
        <f>ABS(NETWORKDAYS.INTL("05/29/24", "05/29/24", 1, {"01/01/2024","01/15/2024","02/19/2024","05/27/2024","07/04/2024","09/02/2024","10/14/2024","11/11/2024","11/28/2024","12/25/2024","12/25/2024","12/26/2024","12/27/2024","12/28/2024","12/29/2024","12/30/2024","31/25/2024","01/01/2024","01/02/2024","01/03/2024","01/04/2024","01/05/2024"}))</f>
        <v>#VALUE!</v>
      </c>
      <c r="J633">
        <f>0</f>
        <v>0</v>
      </c>
      <c r="K633" s="1"/>
      <c r="L633" s="1">
        <v>1</v>
      </c>
      <c r="M633" s="1" t="e">
        <f>ABS(NETWORKDAYS.INTL("06/14/24", "06/14/24", 1, {"01/01/2024","01/15/2024","02/19/2024","05/27/2024","07/04/2024","09/02/2024","10/14/2024","11/11/2024","11/28/2024","12/25/2024","12/25/2024","12/26/2024","12/27/2024","12/28/2024","12/29/2024","12/30/2024","31/25/2024","01/01/2024","01/02/2024","01/03/2024","01/04/2024","01/05/2024"}))</f>
        <v>#VALUE!</v>
      </c>
      <c r="N633" s="1">
        <f>0</f>
        <v>0</v>
      </c>
      <c r="O633" s="1">
        <f>0</f>
        <v>0</v>
      </c>
      <c r="P633" s="1"/>
      <c r="Q633" s="1">
        <v>0</v>
      </c>
      <c r="R633" s="1">
        <v>0</v>
      </c>
      <c r="S633" s="1">
        <f>0</f>
        <v>0</v>
      </c>
      <c r="T633" s="1">
        <f>0</f>
        <v>0</v>
      </c>
      <c r="U633" s="1"/>
      <c r="V633" s="1">
        <v>2</v>
      </c>
      <c r="W633" s="1">
        <v>2</v>
      </c>
      <c r="X633" s="1" t="e">
        <f>ABS(NETWORKDAYS.INTL("06/14/24", "06/14/24",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33" s="1" t="e">
        <f>ABS(NETWORKDAYS.INTL("06/14/24", "06/17/24", 1, {"01/01/2024","01/15/2024","02/19/2024","05/27/2024","07/04/2024","09/02/2024","10/14/2024","11/11/2024","11/28/2024","12/25/2024","12/25/2024","12/26/2024","12/27/2024","12/28/2024","12/29/2024","12/30/2024","31/25/2024","01/01/2024","01/02/2024","01/03/2024","01/04/2024","01/05/2024"}))</f>
        <v>#VALUE!</v>
      </c>
      <c r="Z633" s="1">
        <f>0</f>
        <v>0</v>
      </c>
      <c r="AA633" s="1"/>
      <c r="AB633" s="5">
        <v>45470</v>
      </c>
      <c r="AC633" s="5">
        <v>45502</v>
      </c>
      <c r="AD633" s="1" t="e">
        <f>ABS(NETWORKDAYS.INTL("06/14/24", "05/29/24", 1, {"01/01/2024","01/15/2024","02/19/2024","05/27/2024","07/04/2024","09/02/2024","10/14/2024","11/11/2024","11/28/2024","12/25/2024","12/25/2024","12/26/2024","12/27/2024","12/28/2024","12/29/2024","12/30/2024","31/25/2024","01/01/2024","01/02/2024","01/03/2024","01/04/2024","01/05/2024"}))</f>
        <v>#VALUE!</v>
      </c>
      <c r="AE633" s="1">
        <f>0</f>
        <v>0</v>
      </c>
      <c r="AF633" s="1">
        <f>0</f>
        <v>0</v>
      </c>
      <c r="AG633" s="1" t="e">
        <f>ABS(NETWORKDAYS.INTL("06/14/24", "08/05/24", 1, {"01/01/2024","01/15/2024","02/19/2024","05/27/2024","07/04/2024","09/02/2024","10/14/2024","11/11/2024","11/28/2024","12/25/2024","12/25/2024","12/26/2024","12/27/2024","12/28/2024","12/29/2024","12/30/2024","31/25/2024","01/01/2024","01/02/2024","01/03/2024","01/04/2024","01/05/2024"}))</f>
        <v>#VALUE!</v>
      </c>
      <c r="AH633" s="1" t="e">
        <f>ABS(NETWORKDAYS.INTL("06/14/24", "06/14/24", 1, {"01/01/2024","01/15/2024","02/19/2024","05/27/2024","07/04/2024","09/02/2024","10/14/2024","11/11/2024","11/28/2024","12/25/2024","12/25/2024","12/26/2024","12/27/2024","12/28/2024","12/29/2024","12/30/2024","31/25/2024","01/01/2024","01/02/2024","01/03/2024","01/04/2024","01/05/2024"}))</f>
        <v>#VALUE!</v>
      </c>
      <c r="AI633" s="1" t="e">
        <f>ABS(NETWORKDAYS.INTL("7/29/2024", "06/27/24", 1, {"01/01/2024","01/15/2024","02/19/2024","05/27/2024","07/04/2024","09/02/2024","10/14/2024","11/11/2024","11/28/2024","12/25/2024","12/25/2024","12/26/2024","12/27/2024","12/28/2024","12/29/2024","12/30/2024","31/25/2024","01/01/2024","01/02/2024","01/03/2024","01/04/2024","01/05/2024"}))</f>
        <v>#VALUE!</v>
      </c>
      <c r="AJ633" s="1" t="b">
        <v>1</v>
      </c>
      <c r="AK633" s="1"/>
      <c r="AL633" s="1"/>
      <c r="AM633" s="1"/>
      <c r="AN633" s="1"/>
      <c r="AO633" s="1"/>
      <c r="AP633" s="1" t="b">
        <v>1</v>
      </c>
      <c r="AQ633" s="1"/>
      <c r="AR633" s="1"/>
      <c r="AS633" s="1"/>
      <c r="AT633" s="1"/>
      <c r="AU633" s="1"/>
      <c r="AV633" s="1"/>
      <c r="AW633" s="1"/>
      <c r="AX633" s="1"/>
      <c r="AY633" s="1"/>
      <c r="AZ633" s="1" t="b">
        <v>1</v>
      </c>
    </row>
    <row r="634" spans="1:52" ht="15" customHeight="1" x14ac:dyDescent="0.35">
      <c r="A634" s="1" t="s">
        <v>2088</v>
      </c>
      <c r="B634" s="1" t="s">
        <v>364</v>
      </c>
      <c r="C634" s="1" t="s">
        <v>1329</v>
      </c>
      <c r="D634" s="1" t="s">
        <v>1680</v>
      </c>
      <c r="E634" s="1" t="s">
        <v>1336</v>
      </c>
      <c r="F634" s="9" t="s">
        <v>2089</v>
      </c>
      <c r="G634" s="1" t="s">
        <v>38</v>
      </c>
      <c r="H6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34" s="11" t="e">
        <f>ABS(NETWORKDAYS.INTL("05/24/24", "06/03/24", 1, {"01/01/2024","01/15/2024","02/19/2024","05/27/2024","07/04/2024","09/02/2024","10/14/2024","11/11/2024","11/28/2024","12/25/2024","12/25/2024","12/26/2024","12/27/2024","12/28/2024","12/29/2024","12/30/2024","31/25/2024","01/01/2024","01/02/2024","01/03/2024","01/04/2024","01/05/2024"}))</f>
        <v>#VALUE!</v>
      </c>
      <c r="J634">
        <f>0</f>
        <v>0</v>
      </c>
      <c r="K634" s="1"/>
      <c r="L634" s="1">
        <v>0</v>
      </c>
      <c r="M634" s="1">
        <f>0</f>
        <v>0</v>
      </c>
      <c r="N634" s="1">
        <f>0</f>
        <v>0</v>
      </c>
      <c r="O634" s="1">
        <f>0</f>
        <v>0</v>
      </c>
      <c r="P634" s="1"/>
      <c r="Q634" s="1">
        <v>0</v>
      </c>
      <c r="R634" s="1">
        <v>0</v>
      </c>
      <c r="S634" s="1">
        <f>0</f>
        <v>0</v>
      </c>
      <c r="T634" s="1">
        <f>0</f>
        <v>0</v>
      </c>
      <c r="U634" s="1"/>
      <c r="V634" s="1">
        <v>0</v>
      </c>
      <c r="W634" s="1">
        <v>0</v>
      </c>
      <c r="X634" s="1">
        <f>0</f>
        <v>0</v>
      </c>
      <c r="Y634" s="1">
        <f>0</f>
        <v>0</v>
      </c>
      <c r="Z634" s="1">
        <f>0</f>
        <v>0</v>
      </c>
      <c r="AA634" s="1"/>
      <c r="AB634" s="5"/>
      <c r="AC634" s="1"/>
      <c r="AD634" s="1">
        <f>0</f>
        <v>0</v>
      </c>
      <c r="AE634" s="1">
        <f>0</f>
        <v>0</v>
      </c>
      <c r="AF634" s="1">
        <f>0</f>
        <v>0</v>
      </c>
      <c r="AG634" s="1">
        <f>0</f>
        <v>0</v>
      </c>
      <c r="AH634" s="1">
        <f>0</f>
        <v>0</v>
      </c>
      <c r="AI634" s="1">
        <f>0</f>
        <v>0</v>
      </c>
      <c r="AJ634" s="1" t="b">
        <v>1</v>
      </c>
      <c r="AK634" s="1"/>
      <c r="AL634" s="1"/>
      <c r="AM634" s="1"/>
      <c r="AN634" s="1"/>
      <c r="AO634" s="1"/>
      <c r="AP634" s="1" t="b">
        <v>1</v>
      </c>
      <c r="AQ634" s="1"/>
      <c r="AR634" s="1"/>
      <c r="AS634" s="1"/>
      <c r="AT634" s="1"/>
      <c r="AU634" s="1"/>
      <c r="AV634" s="1"/>
      <c r="AW634" s="1"/>
      <c r="AX634" s="1"/>
      <c r="AY634" s="1" t="b">
        <v>1</v>
      </c>
      <c r="AZ634" s="1"/>
    </row>
    <row r="635" spans="1:52" ht="15" customHeight="1" x14ac:dyDescent="0.35">
      <c r="A635" s="1" t="s">
        <v>2090</v>
      </c>
      <c r="B635" s="1" t="s">
        <v>365</v>
      </c>
      <c r="C635" s="1" t="s">
        <v>988</v>
      </c>
      <c r="D635" s="1" t="s">
        <v>2091</v>
      </c>
      <c r="E635" s="1" t="s">
        <v>2092</v>
      </c>
      <c r="F635" s="9" t="s">
        <v>2093</v>
      </c>
      <c r="G635" s="1" t="s">
        <v>38</v>
      </c>
      <c r="H6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5" s="11" t="e">
        <f>ABS(NETWORKDAYS.INTL("05/29/24", "05/29/24", 1, {"01/01/2024","01/15/2024","02/19/2024","05/27/2024","07/04/2024","09/02/2024","10/14/2024","11/11/2024","11/28/2024","12/25/2024","12/25/2024","12/26/2024","12/27/2024","12/28/2024","12/29/2024","12/30/2024","31/25/2024","01/01/2024","01/02/2024","01/03/2024","01/04/2024","01/05/2024"}))</f>
        <v>#VALUE!</v>
      </c>
      <c r="J635">
        <f>0</f>
        <v>0</v>
      </c>
      <c r="K635" s="1"/>
      <c r="L635" s="1">
        <v>1</v>
      </c>
      <c r="M635" s="1" t="e">
        <f>ABS(NETWORKDAYS.INTL("06/17/24", "06/17/24", 1, {"01/01/2024","01/15/2024","02/19/2024","05/27/2024","07/04/2024","09/02/2024","10/14/2024","11/11/2024","11/28/2024","12/25/2024","12/25/2024","12/26/2024","12/27/2024","12/28/2024","12/29/2024","12/30/2024","31/25/2024","01/01/2024","01/02/2024","01/03/2024","01/04/2024","01/05/2024"}))</f>
        <v>#VALUE!</v>
      </c>
      <c r="N635" s="1">
        <f>0</f>
        <v>0</v>
      </c>
      <c r="O635" s="1">
        <f>0</f>
        <v>0</v>
      </c>
      <c r="P635" s="1"/>
      <c r="Q635" s="1">
        <v>0</v>
      </c>
      <c r="R635" s="1">
        <v>0</v>
      </c>
      <c r="S635" s="1">
        <f>0</f>
        <v>0</v>
      </c>
      <c r="T635" s="1">
        <f>0</f>
        <v>0</v>
      </c>
      <c r="U635" s="1"/>
      <c r="V635" s="1">
        <v>1</v>
      </c>
      <c r="W635" s="1">
        <v>1</v>
      </c>
      <c r="X635" s="1" t="e">
        <f>ABS(NETWORKDAYS.INTL("06/17/24", "06/18/24", 1, {"01/01/2024","01/15/2024","02/19/2024","05/27/2024","07/04/2024","09/02/2024","10/14/2024","11/11/2024","11/28/2024","12/25/2024","12/25/2024","12/26/2024","12/27/2024","12/28/2024","12/29/2024","12/30/2024","31/25/2024","01/01/2024","01/02/2024","01/03/2024","01/04/2024","01/05/2024"}))</f>
        <v>#VALUE!</v>
      </c>
      <c r="Y635" s="1">
        <f>0</f>
        <v>0</v>
      </c>
      <c r="Z635" s="1">
        <f>0</f>
        <v>0</v>
      </c>
      <c r="AA635" s="1"/>
      <c r="AB635" s="5">
        <v>45468</v>
      </c>
      <c r="AC635" s="5">
        <v>45502</v>
      </c>
      <c r="AD635" s="1" t="e">
        <f>ABS(NETWORKDAYS.INTL("06/17/24", "05/29/24", 1, {"01/01/2024","01/15/2024","02/19/2024","05/27/2024","07/04/2024","09/02/2024","10/14/2024","11/11/2024","11/28/2024","12/25/2024","12/25/2024","12/26/2024","12/27/2024","12/28/2024","12/29/2024","12/30/2024","31/25/2024","01/01/2024","01/02/2024","01/03/2024","01/04/2024","01/05/2024"}))</f>
        <v>#VALUE!</v>
      </c>
      <c r="AE635" s="1">
        <f>0</f>
        <v>0</v>
      </c>
      <c r="AF635" s="1">
        <f>0</f>
        <v>0</v>
      </c>
      <c r="AG635" s="1" t="e">
        <f>ABS(NETWORKDAYS.INTL("06/17/24", "08/05/24", 1, {"01/01/2024","01/15/2024","02/19/2024","05/27/2024","07/04/2024","09/02/2024","10/14/2024","11/11/2024","11/28/2024","12/25/2024","12/25/2024","12/26/2024","12/27/2024","12/28/2024","12/29/2024","12/30/2024","31/25/2024","01/01/2024","01/02/2024","01/03/2024","01/04/2024","01/05/2024"}))</f>
        <v>#VALUE!</v>
      </c>
      <c r="AH635" s="1" t="e">
        <f>ABS(NETWORKDAYS.INTL("06/17/24", "06/17/24", 1, {"01/01/2024","01/15/2024","02/19/2024","05/27/2024","07/04/2024","09/02/2024","10/14/2024","11/11/2024","11/28/2024","12/25/2024","12/25/2024","12/26/2024","12/27/2024","12/28/2024","12/29/2024","12/30/2024","31/25/2024","01/01/2024","01/02/2024","01/03/2024","01/04/2024","01/05/2024"}))</f>
        <v>#VALUE!</v>
      </c>
      <c r="AI635" s="1" t="e">
        <f>ABS(NETWORKDAYS.INTL("7/29/2024", "06/25/24", 1, {"01/01/2024","01/15/2024","02/19/2024","05/27/2024","07/04/2024","09/02/2024","10/14/2024","11/11/2024","11/28/2024","12/25/2024","12/25/2024","12/26/2024","12/27/2024","12/28/2024","12/29/2024","12/30/2024","31/25/2024","01/01/2024","01/02/2024","01/03/2024","01/04/2024","01/05/2024"}))</f>
        <v>#VALUE!</v>
      </c>
      <c r="AJ635" s="1" t="b">
        <v>1</v>
      </c>
      <c r="AK635" s="1"/>
      <c r="AL635" s="1"/>
      <c r="AM635" s="1"/>
      <c r="AN635" s="1"/>
      <c r="AO635" s="1"/>
      <c r="AP635" s="1"/>
      <c r="AQ635" s="1"/>
      <c r="AR635" s="1"/>
      <c r="AS635" s="1"/>
      <c r="AT635" s="1"/>
      <c r="AU635" s="1"/>
      <c r="AV635" s="1"/>
      <c r="AW635" s="1"/>
      <c r="AX635" s="1"/>
      <c r="AY635" s="1"/>
      <c r="AZ635" s="1"/>
    </row>
    <row r="636" spans="1:52" ht="15" customHeight="1" x14ac:dyDescent="0.35">
      <c r="A636" s="1" t="s">
        <v>2094</v>
      </c>
      <c r="B636" s="1" t="s">
        <v>366</v>
      </c>
      <c r="C636" s="1" t="s">
        <v>1157</v>
      </c>
      <c r="D636" s="1" t="s">
        <v>1982</v>
      </c>
      <c r="E636" s="1" t="s">
        <v>1983</v>
      </c>
      <c r="F636" s="9" t="s">
        <v>2095</v>
      </c>
      <c r="G636" s="1" t="s">
        <v>38</v>
      </c>
      <c r="H6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36" s="11" t="e">
        <f>ABS(NETWORKDAYS.INTL("05/29/24", "05/29/24", 1, {"01/01/2024","01/15/2024","02/19/2024","05/27/2024","07/04/2024","09/02/2024","10/14/2024","11/11/2024","11/28/2024","12/25/2024","12/25/2024","12/26/2024","12/27/2024","12/28/2024","12/29/2024","12/30/2024","31/25/2024","01/01/2024","01/02/2024","01/03/2024","01/04/2024","01/05/2024"}))</f>
        <v>#VALUE!</v>
      </c>
      <c r="J636">
        <f>0</f>
        <v>0</v>
      </c>
      <c r="K636" s="1"/>
      <c r="L636" s="1">
        <v>1</v>
      </c>
      <c r="M636" s="1" t="e">
        <f>ABS(NETWORKDAYS.INTL("06/18/24", "06/18/24", 1, {"01/01/2024","01/15/2024","02/19/2024","05/27/2024","07/04/2024","09/02/2024","10/14/2024","11/11/2024","11/28/2024","12/25/2024","12/25/2024","12/26/2024","12/27/2024","12/28/2024","12/29/2024","12/30/2024","31/25/2024","01/01/2024","01/02/2024","01/03/2024","01/04/2024","01/05/2024"}))</f>
        <v>#VALUE!</v>
      </c>
      <c r="N636" s="1">
        <f>0</f>
        <v>0</v>
      </c>
      <c r="O636" s="1">
        <f>0</f>
        <v>0</v>
      </c>
      <c r="P636" s="1"/>
      <c r="Q636" s="1">
        <v>0</v>
      </c>
      <c r="R636" s="1">
        <v>0</v>
      </c>
      <c r="S636" s="1">
        <f>0</f>
        <v>0</v>
      </c>
      <c r="T636" s="1">
        <f>0</f>
        <v>0</v>
      </c>
      <c r="U636" s="1"/>
      <c r="V636" s="1">
        <v>1</v>
      </c>
      <c r="W636" s="1">
        <v>1</v>
      </c>
      <c r="X636" s="1" t="e">
        <f>ABS(NETWORKDAYS.INTL("06/18/24", "06/19/24", 1, {"01/01/2024","01/15/2024","02/19/2024","05/27/2024","07/04/2024","09/02/2024","10/14/2024","11/11/2024","11/28/2024","12/25/2024","12/25/2024","12/26/2024","12/27/2024","12/28/2024","12/29/2024","12/30/2024","31/25/2024","01/01/2024","01/02/2024","01/03/2024","01/04/2024","01/05/2024"}))</f>
        <v>#VALUE!</v>
      </c>
      <c r="Y636" s="1">
        <f>0</f>
        <v>0</v>
      </c>
      <c r="Z636" s="1">
        <f>0</f>
        <v>0</v>
      </c>
      <c r="AA636" s="1"/>
      <c r="AB636" s="5">
        <v>45469</v>
      </c>
      <c r="AC636" s="1"/>
      <c r="AD636" s="1" t="e">
        <f>ABS(NETWORKDAYS.INTL("06/18/24", "05/29/24", 1, {"01/01/2024","01/15/2024","02/19/2024","05/27/2024","07/04/2024","09/02/2024","10/14/2024","11/11/2024","11/28/2024","12/25/2024","12/25/2024","12/26/2024","12/27/2024","12/28/2024","12/29/2024","12/30/2024","31/25/2024","01/01/2024","01/02/2024","01/03/2024","01/04/2024","01/05/2024"}))</f>
        <v>#VALUE!</v>
      </c>
      <c r="AE636" s="1">
        <f>0</f>
        <v>0</v>
      </c>
      <c r="AF636" s="1">
        <f>0</f>
        <v>0</v>
      </c>
      <c r="AG636" s="1" t="e">
        <f>ABS(NETWORKDAYS.INTL("06/18/24", "08/05/24", 1, {"01/01/2024","01/15/2024","02/19/2024","05/27/2024","07/04/2024","09/02/2024","10/14/2024","11/11/2024","11/28/2024","12/25/2024","12/25/2024","12/26/2024","12/27/2024","12/28/2024","12/29/2024","12/30/2024","31/25/2024","01/01/2024","01/02/2024","01/03/2024","01/04/2024","01/05/2024"}))</f>
        <v>#VALUE!</v>
      </c>
      <c r="AH636" s="1" t="e">
        <f>ABS(NETWORKDAYS.INTL("06/18/24", "06/18/24", 1, {"01/01/2024","01/15/2024","02/19/2024","05/27/2024","07/04/2024","09/02/2024","10/14/2024","11/11/2024","11/28/2024","12/25/2024","12/25/2024","12/26/2024","12/27/2024","12/28/2024","12/29/2024","12/30/2024","31/25/2024","01/01/2024","01/02/2024","01/03/2024","01/04/2024","01/05/2024"}))</f>
        <v>#VALUE!</v>
      </c>
      <c r="AI636" s="1">
        <f>0</f>
        <v>0</v>
      </c>
      <c r="AJ636" s="1" t="b">
        <v>1</v>
      </c>
      <c r="AK636" s="1"/>
      <c r="AL636" s="1"/>
      <c r="AM636" s="1"/>
      <c r="AN636" s="1"/>
      <c r="AO636" s="1"/>
      <c r="AP636" s="1" t="b">
        <v>1</v>
      </c>
      <c r="AQ636" s="1"/>
      <c r="AR636" s="1"/>
      <c r="AS636" s="1"/>
      <c r="AT636" s="1"/>
      <c r="AU636" s="1"/>
      <c r="AV636" s="1"/>
      <c r="AW636" s="1"/>
      <c r="AX636" s="1"/>
      <c r="AY636" s="1"/>
      <c r="AZ636" s="1" t="b">
        <v>1</v>
      </c>
    </row>
    <row r="637" spans="1:52" ht="15" customHeight="1" x14ac:dyDescent="0.35">
      <c r="A637" s="1" t="s">
        <v>2096</v>
      </c>
      <c r="B637" s="1" t="s">
        <v>367</v>
      </c>
      <c r="C637" s="1" t="s">
        <v>988</v>
      </c>
      <c r="D637" s="1" t="s">
        <v>2091</v>
      </c>
      <c r="E637" s="1" t="s">
        <v>1983</v>
      </c>
      <c r="F637" s="9" t="s">
        <v>2097</v>
      </c>
      <c r="G637" s="1" t="s">
        <v>38</v>
      </c>
      <c r="H6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7" s="11" t="e">
        <f>ABS(NETWORKDAYS.INTL("05/29/24", "05/29/24", 1, {"01/01/2024","01/15/2024","02/19/2024","05/27/2024","07/04/2024","09/02/2024","10/14/2024","11/11/2024","11/28/2024","12/25/2024","12/25/2024","12/26/2024","12/27/2024","12/28/2024","12/29/2024","12/30/2024","31/25/2024","01/01/2024","01/02/2024","01/03/2024","01/04/2024","01/05/2024"}))</f>
        <v>#VALUE!</v>
      </c>
      <c r="J637">
        <f>0</f>
        <v>0</v>
      </c>
      <c r="K637" s="1"/>
      <c r="L637" s="1">
        <v>1</v>
      </c>
      <c r="M637" s="1" t="e">
        <f>ABS(NETWORKDAYS.INTL("06/17/24", "06/17/24", 1, {"01/01/2024","01/15/2024","02/19/2024","05/27/2024","07/04/2024","09/02/2024","10/14/2024","11/11/2024","11/28/2024","12/25/2024","12/25/2024","12/26/2024","12/27/2024","12/28/2024","12/29/2024","12/30/2024","31/25/2024","01/01/2024","01/02/2024","01/03/2024","01/04/2024","01/05/2024"}))</f>
        <v>#VALUE!</v>
      </c>
      <c r="N637" s="1">
        <f>0</f>
        <v>0</v>
      </c>
      <c r="O637" s="1">
        <f>0</f>
        <v>0</v>
      </c>
      <c r="P637" s="1"/>
      <c r="Q637" s="1">
        <v>0</v>
      </c>
      <c r="R637" s="1">
        <v>0</v>
      </c>
      <c r="S637" s="1">
        <f>0</f>
        <v>0</v>
      </c>
      <c r="T637" s="1">
        <f>0</f>
        <v>0</v>
      </c>
      <c r="U637" s="1"/>
      <c r="V637" s="1">
        <v>2</v>
      </c>
      <c r="W637" s="1">
        <v>2</v>
      </c>
      <c r="X637" s="1" t="e">
        <f>ABS(NETWORKDAYS.INTL("06/17/24", "06/18/24",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37" s="1" t="e">
        <f>ABS(NETWORKDAYS.INTL("06/27/24", "06/27/24", 1, {"01/01/2024","01/15/2024","02/19/2024","05/27/2024","07/04/2024","09/02/2024","10/14/2024","11/11/2024","11/28/2024","12/25/2024","12/25/2024","12/26/2024","12/27/2024","12/28/2024","12/29/2024","12/30/2024","31/25/2024","01/01/2024","01/02/2024","01/03/2024","01/04/2024","01/05/2024"}))</f>
        <v>#VALUE!</v>
      </c>
      <c r="Z637" s="1">
        <f>0</f>
        <v>0</v>
      </c>
      <c r="AA637" s="1"/>
      <c r="AB637" s="5">
        <v>45470</v>
      </c>
      <c r="AC637" s="5">
        <v>45502</v>
      </c>
      <c r="AD637" s="1" t="e">
        <f>ABS(NETWORKDAYS.INTL("06/17/24", "05/29/24", 1, {"01/01/2024","01/15/2024","02/19/2024","05/27/2024","07/04/2024","09/02/2024","10/14/2024","11/11/2024","11/28/2024","12/25/2024","12/25/2024","12/26/2024","12/27/2024","12/28/2024","12/29/2024","12/30/2024","31/25/2024","01/01/2024","01/02/2024","01/03/2024","01/04/2024","01/05/2024"}))</f>
        <v>#VALUE!</v>
      </c>
      <c r="AE637" s="1">
        <f>0</f>
        <v>0</v>
      </c>
      <c r="AF637" s="1">
        <f>0</f>
        <v>0</v>
      </c>
      <c r="AG637" s="1" t="e">
        <f>ABS(NETWORKDAYS.INTL("06/17/24", "08/05/24", 1, {"01/01/2024","01/15/2024","02/19/2024","05/27/2024","07/04/2024","09/02/2024","10/14/2024","11/11/2024","11/28/2024","12/25/2024","12/25/2024","12/26/2024","12/27/2024","12/28/2024","12/29/2024","12/30/2024","31/25/2024","01/01/2024","01/02/2024","01/03/2024","01/04/2024","01/05/2024"}))</f>
        <v>#VALUE!</v>
      </c>
      <c r="AH637" s="1" t="e">
        <f>ABS(NETWORKDAYS.INTL("06/17/24", "06/17/24", 1, {"01/01/2024","01/15/2024","02/19/2024","05/27/2024","07/04/2024","09/02/2024","10/14/2024","11/11/2024","11/28/2024","12/25/2024","12/25/2024","12/26/2024","12/27/2024","12/28/2024","12/29/2024","12/30/2024","31/25/2024","01/01/2024","01/02/2024","01/03/2024","01/04/2024","01/05/2024"}))</f>
        <v>#VALUE!</v>
      </c>
      <c r="AI637" s="1" t="e">
        <f>ABS(NETWORKDAYS.INTL("7/29/2024", "06/27/24", 1, {"01/01/2024","01/15/2024","02/19/2024","05/27/2024","07/04/2024","09/02/2024","10/14/2024","11/11/2024","11/28/2024","12/25/2024","12/25/2024","12/26/2024","12/27/2024","12/28/2024","12/29/2024","12/30/2024","31/25/2024","01/01/2024","01/02/2024","01/03/2024","01/04/2024","01/05/2024"}))</f>
        <v>#VALUE!</v>
      </c>
      <c r="AJ637" s="1" t="b">
        <v>1</v>
      </c>
      <c r="AK637" s="1"/>
      <c r="AL637" s="1"/>
      <c r="AM637" s="1"/>
      <c r="AN637" s="1"/>
      <c r="AO637" s="1"/>
      <c r="AP637" s="1" t="b">
        <v>1</v>
      </c>
      <c r="AQ637" s="1"/>
      <c r="AR637" s="1"/>
      <c r="AS637" s="1"/>
      <c r="AT637" s="1"/>
      <c r="AU637" s="1"/>
      <c r="AV637" s="1"/>
      <c r="AW637" s="1"/>
      <c r="AX637" s="1"/>
      <c r="AY637" s="1"/>
      <c r="AZ637" s="1" t="b">
        <v>1</v>
      </c>
    </row>
    <row r="638" spans="1:52" ht="15" customHeight="1" x14ac:dyDescent="0.35">
      <c r="A638" s="1" t="s">
        <v>2098</v>
      </c>
      <c r="B638" s="1" t="s">
        <v>368</v>
      </c>
      <c r="C638" s="1" t="s">
        <v>988</v>
      </c>
      <c r="D638" s="1" t="s">
        <v>2091</v>
      </c>
      <c r="E638" s="1" t="s">
        <v>2003</v>
      </c>
      <c r="F638" s="9" t="s">
        <v>2099</v>
      </c>
      <c r="G638" s="1" t="s">
        <v>38</v>
      </c>
      <c r="H6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8" s="11" t="e">
        <f>ABS(NETWORKDAYS.INTL("05/29/24", "05/29/24", 1, {"01/01/2024","01/15/2024","02/19/2024","05/27/2024","07/04/2024","09/02/2024","10/14/2024","11/11/2024","11/28/2024","12/25/2024","12/25/2024","12/26/2024","12/27/2024","12/28/2024","12/29/2024","12/30/2024","31/25/2024","01/01/2024","01/02/2024","01/03/2024","01/04/2024","01/05/2024"}))</f>
        <v>#VALUE!</v>
      </c>
      <c r="J638">
        <f>0</f>
        <v>0</v>
      </c>
      <c r="K638" s="1"/>
      <c r="L638" s="1">
        <v>1</v>
      </c>
      <c r="M638" s="1" t="e">
        <f>ABS(NETWORKDAYS.INTL("06/17/24", "06/17/24", 1, {"01/01/2024","01/15/2024","02/19/2024","05/27/2024","07/04/2024","09/02/2024","10/14/2024","11/11/2024","11/28/2024","12/25/2024","12/25/2024","12/26/2024","12/27/2024","12/28/2024","12/29/2024","12/30/2024","31/25/2024","01/01/2024","01/02/2024","01/03/2024","01/04/2024","01/05/2024"}))</f>
        <v>#VALUE!</v>
      </c>
      <c r="N638" s="1">
        <f>0</f>
        <v>0</v>
      </c>
      <c r="O638" s="1">
        <f>0</f>
        <v>0</v>
      </c>
      <c r="P638" s="1"/>
      <c r="Q638" s="1">
        <v>0</v>
      </c>
      <c r="R638" s="1">
        <v>0</v>
      </c>
      <c r="S638" s="1">
        <f>0</f>
        <v>0</v>
      </c>
      <c r="T638" s="1">
        <f>0</f>
        <v>0</v>
      </c>
      <c r="U638" s="1"/>
      <c r="V638" s="1">
        <v>1</v>
      </c>
      <c r="W638" s="1">
        <v>1</v>
      </c>
      <c r="X638" s="1" t="e">
        <f>ABS(NETWORKDAYS.INTL("06/17/24", "06/18/24", 1, {"01/01/2024","01/15/2024","02/19/2024","05/27/2024","07/04/2024","09/02/2024","10/14/2024","11/11/2024","11/28/2024","12/25/2024","12/25/2024","12/26/2024","12/27/2024","12/28/2024","12/29/2024","12/30/2024","31/25/2024","01/01/2024","01/02/2024","01/03/2024","01/04/2024","01/05/2024"}))</f>
        <v>#VALUE!</v>
      </c>
      <c r="Y638" s="1">
        <f>0</f>
        <v>0</v>
      </c>
      <c r="Z638" s="1">
        <f>0</f>
        <v>0</v>
      </c>
      <c r="AA638" s="1"/>
      <c r="AB638" s="5">
        <v>45468</v>
      </c>
      <c r="AC638" s="5">
        <v>45502</v>
      </c>
      <c r="AD638" s="1" t="e">
        <f>ABS(NETWORKDAYS.INTL("06/17/24", "05/29/24", 1, {"01/01/2024","01/15/2024","02/19/2024","05/27/2024","07/04/2024","09/02/2024","10/14/2024","11/11/2024","11/28/2024","12/25/2024","12/25/2024","12/26/2024","12/27/2024","12/28/2024","12/29/2024","12/30/2024","31/25/2024","01/01/2024","01/02/2024","01/03/2024","01/04/2024","01/05/2024"}))</f>
        <v>#VALUE!</v>
      </c>
      <c r="AE638" s="1">
        <f>0</f>
        <v>0</v>
      </c>
      <c r="AF638" s="1">
        <f>0</f>
        <v>0</v>
      </c>
      <c r="AG638" s="1" t="e">
        <f>ABS(NETWORKDAYS.INTL("06/17/24", "08/05/24", 1, {"01/01/2024","01/15/2024","02/19/2024","05/27/2024","07/04/2024","09/02/2024","10/14/2024","11/11/2024","11/28/2024","12/25/2024","12/25/2024","12/26/2024","12/27/2024","12/28/2024","12/29/2024","12/30/2024","31/25/2024","01/01/2024","01/02/2024","01/03/2024","01/04/2024","01/05/2024"}))</f>
        <v>#VALUE!</v>
      </c>
      <c r="AH638" s="1" t="e">
        <f>ABS(NETWORKDAYS.INTL("06/17/24", "06/17/24", 1, {"01/01/2024","01/15/2024","02/19/2024","05/27/2024","07/04/2024","09/02/2024","10/14/2024","11/11/2024","11/28/2024","12/25/2024","12/25/2024","12/26/2024","12/27/2024","12/28/2024","12/29/2024","12/30/2024","31/25/2024","01/01/2024","01/02/2024","01/03/2024","01/04/2024","01/05/2024"}))</f>
        <v>#VALUE!</v>
      </c>
      <c r="AI638" s="1" t="e">
        <f>ABS(NETWORKDAYS.INTL("7/29/2024", "06/25/24", 1, {"01/01/2024","01/15/2024","02/19/2024","05/27/2024","07/04/2024","09/02/2024","10/14/2024","11/11/2024","11/28/2024","12/25/2024","12/25/2024","12/26/2024","12/27/2024","12/28/2024","12/29/2024","12/30/2024","31/25/2024","01/01/2024","01/02/2024","01/03/2024","01/04/2024","01/05/2024"}))</f>
        <v>#VALUE!</v>
      </c>
      <c r="AJ638" s="1" t="b">
        <v>1</v>
      </c>
      <c r="AK638" s="1"/>
      <c r="AL638" s="1"/>
      <c r="AM638" s="1"/>
      <c r="AN638" s="1"/>
      <c r="AO638" s="1"/>
      <c r="AP638" s="1" t="b">
        <v>1</v>
      </c>
      <c r="AQ638" s="1"/>
      <c r="AR638" s="1"/>
      <c r="AS638" s="1"/>
      <c r="AT638" s="1"/>
      <c r="AU638" s="1"/>
      <c r="AV638" s="1"/>
      <c r="AW638" s="1"/>
      <c r="AX638" s="1"/>
      <c r="AY638" s="1"/>
      <c r="AZ638" s="1" t="b">
        <v>1</v>
      </c>
    </row>
    <row r="639" spans="1:52" ht="15" customHeight="1" x14ac:dyDescent="0.35">
      <c r="A639" s="1" t="s">
        <v>2100</v>
      </c>
      <c r="B639" s="1" t="s">
        <v>369</v>
      </c>
      <c r="C639" s="1" t="s">
        <v>988</v>
      </c>
      <c r="D639" s="1" t="s">
        <v>1709</v>
      </c>
      <c r="E639" s="1" t="s">
        <v>1983</v>
      </c>
      <c r="F639" s="9" t="s">
        <v>2101</v>
      </c>
      <c r="G639" s="1" t="s">
        <v>38</v>
      </c>
      <c r="H6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39" s="11" t="e">
        <f>ABS(NETWORKDAYS.INTL("05/27/24", "05/31/24", 1, {"01/01/2024","01/15/2024","02/19/2024","05/27/2024","07/04/2024","09/02/2024","10/14/2024","11/11/2024","11/28/2024","12/25/2024","12/25/2024","12/26/2024","12/27/2024","12/28/2024","12/29/2024","12/30/2024","31/25/2024","01/01/2024","01/02/2024","01/03/2024","01/04/2024","01/05/2024"}))</f>
        <v>#VALUE!</v>
      </c>
      <c r="J639">
        <f>0</f>
        <v>0</v>
      </c>
      <c r="K639" s="1"/>
      <c r="L639" s="1">
        <v>1</v>
      </c>
      <c r="M639" s="1" t="e">
        <f>ABS(NETWORKDAYS.INTL("06/19/24", "06/19/24", 1, {"01/01/2024","01/15/2024","02/19/2024","05/27/2024","07/04/2024","09/02/2024","10/14/2024","11/11/2024","11/28/2024","12/25/2024","12/25/2024","12/26/2024","12/27/2024","12/28/2024","12/29/2024","12/30/2024","31/25/2024","01/01/2024","01/02/2024","01/03/2024","01/04/2024","01/05/2024"}))</f>
        <v>#VALUE!</v>
      </c>
      <c r="N639" s="1">
        <f>0</f>
        <v>0</v>
      </c>
      <c r="O639" s="1">
        <f>0</f>
        <v>0</v>
      </c>
      <c r="P639" s="1"/>
      <c r="Q639" s="1">
        <v>0</v>
      </c>
      <c r="R639" s="1">
        <v>0</v>
      </c>
      <c r="S639" s="1">
        <f>0</f>
        <v>0</v>
      </c>
      <c r="T639" s="1">
        <f>0</f>
        <v>0</v>
      </c>
      <c r="U639" s="1"/>
      <c r="V639" s="1">
        <v>1</v>
      </c>
      <c r="W639" s="1">
        <v>1</v>
      </c>
      <c r="X639" s="1" t="e">
        <f>ABS(NETWORKDAYS.INTL("06/19/24", "06/20/24", 1, {"01/01/2024","01/15/2024","02/19/2024","05/27/2024","07/04/2024","09/02/2024","10/14/2024","11/11/2024","11/28/2024","12/25/2024","12/25/2024","12/26/2024","12/27/2024","12/28/2024","12/29/2024","12/30/2024","31/25/2024","01/01/2024","01/02/2024","01/03/2024","01/04/2024","01/05/2024"}))</f>
        <v>#VALUE!</v>
      </c>
      <c r="Y639" s="1">
        <f>0</f>
        <v>0</v>
      </c>
      <c r="Z639" s="1">
        <f>0</f>
        <v>0</v>
      </c>
      <c r="AA639" s="1"/>
      <c r="AB639" s="5">
        <v>45469</v>
      </c>
      <c r="AC639" s="5">
        <v>45503</v>
      </c>
      <c r="AD639" s="1" t="e">
        <f>ABS(NETWORKDAYS.INTL("06/19/24", "05/31/24", 1, {"01/01/2024","01/15/2024","02/19/2024","05/27/2024","07/04/2024","09/02/2024","10/14/2024","11/11/2024","11/28/2024","12/25/2024","12/25/2024","12/26/2024","12/27/2024","12/28/2024","12/29/2024","12/30/2024","31/25/2024","01/01/2024","01/02/2024","01/03/2024","01/04/2024","01/05/2024"}))</f>
        <v>#VALUE!</v>
      </c>
      <c r="AE639" s="1">
        <f>0</f>
        <v>0</v>
      </c>
      <c r="AF639" s="1">
        <f>0</f>
        <v>0</v>
      </c>
      <c r="AG639" s="1" t="e">
        <f>ABS(NETWORKDAYS.INTL("06/19/24", "08/05/24", 1, {"01/01/2024","01/15/2024","02/19/2024","05/27/2024","07/04/2024","09/02/2024","10/14/2024","11/11/2024","11/28/2024","12/25/2024","12/25/2024","12/26/2024","12/27/2024","12/28/2024","12/29/2024","12/30/2024","31/25/2024","01/01/2024","01/02/2024","01/03/2024","01/04/2024","01/05/2024"}))</f>
        <v>#VALUE!</v>
      </c>
      <c r="AH639" s="1" t="e">
        <f>ABS(NETWORKDAYS.INTL("06/19/24", "06/19/24", 1, {"01/01/2024","01/15/2024","02/19/2024","05/27/2024","07/04/2024","09/02/2024","10/14/2024","11/11/2024","11/28/2024","12/25/2024","12/25/2024","12/26/2024","12/27/2024","12/28/2024","12/29/2024","12/30/2024","31/25/2024","01/01/2024","01/02/2024","01/03/2024","01/04/2024","01/05/2024"}))</f>
        <v>#VALUE!</v>
      </c>
      <c r="AI639" s="1" t="e">
        <f>ABS(NETWORKDAYS.INTL("07/30/2024", "06/26/24", 1, {"01/01/2024","01/15/2024","02/19/2024","05/27/2024","07/04/2024","09/02/2024","10/14/2024","11/11/2024","11/28/2024","12/25/2024","12/25/2024","12/26/2024","12/27/2024","12/28/2024","12/29/2024","12/30/2024","31/25/2024","01/01/2024","01/02/2024","01/03/2024","01/04/2024","01/05/2024"}))</f>
        <v>#VALUE!</v>
      </c>
      <c r="AJ639" s="1" t="b">
        <v>1</v>
      </c>
      <c r="AK639" s="1"/>
      <c r="AL639" s="1"/>
      <c r="AM639" s="1"/>
      <c r="AN639" s="1"/>
      <c r="AO639" s="1"/>
      <c r="AP639" s="1" t="b">
        <v>1</v>
      </c>
      <c r="AQ639" s="1"/>
      <c r="AR639" s="1"/>
      <c r="AS639" s="1"/>
      <c r="AT639" s="1"/>
      <c r="AU639" s="1"/>
      <c r="AV639" s="1"/>
      <c r="AW639" s="1"/>
      <c r="AX639" s="1"/>
      <c r="AY639" s="1"/>
      <c r="AZ639" s="1" t="b">
        <v>1</v>
      </c>
    </row>
    <row r="640" spans="1:52" ht="15" customHeight="1" x14ac:dyDescent="0.35">
      <c r="A640" s="1" t="s">
        <v>2102</v>
      </c>
      <c r="B640" s="1" t="s">
        <v>370</v>
      </c>
      <c r="C640" s="1" t="s">
        <v>988</v>
      </c>
      <c r="D640" s="1" t="s">
        <v>1706</v>
      </c>
      <c r="E640" s="1" t="s">
        <v>1983</v>
      </c>
      <c r="F640" s="9" t="s">
        <v>2103</v>
      </c>
      <c r="G640" s="1" t="s">
        <v>38</v>
      </c>
      <c r="H6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0" s="11" t="e">
        <f>ABS(NETWORKDAYS.INTL("05/27/24", "05/31/24", 1, {"01/01/2024","01/15/2024","02/19/2024","05/27/2024","07/04/2024","09/02/2024","10/14/2024","11/11/2024","11/28/2024","12/25/2024","12/25/2024","12/26/2024","12/27/2024","12/28/2024","12/29/2024","12/30/2024","31/25/2024","01/01/2024","01/02/2024","01/03/2024","01/04/2024","01/05/2024"}))</f>
        <v>#VALUE!</v>
      </c>
      <c r="J640">
        <f>0</f>
        <v>0</v>
      </c>
      <c r="K640" s="1"/>
      <c r="L640" s="1">
        <v>1</v>
      </c>
      <c r="M640" s="1" t="e">
        <f>ABS(NETWORKDAYS.INTL("06/19/24", "06/19/24", 1, {"01/01/2024","01/15/2024","02/19/2024","05/27/2024","07/04/2024","09/02/2024","10/14/2024","11/11/2024","11/28/2024","12/25/2024","12/25/2024","12/26/2024","12/27/2024","12/28/2024","12/29/2024","12/30/2024","31/25/2024","01/01/2024","01/02/2024","01/03/2024","01/04/2024","01/05/2024"}))</f>
        <v>#VALUE!</v>
      </c>
      <c r="N640" s="1">
        <f>0</f>
        <v>0</v>
      </c>
      <c r="O640" s="1">
        <f>0</f>
        <v>0</v>
      </c>
      <c r="P640" s="1"/>
      <c r="Q640" s="1">
        <v>0</v>
      </c>
      <c r="R640" s="1">
        <v>0</v>
      </c>
      <c r="S640" s="1">
        <f>0</f>
        <v>0</v>
      </c>
      <c r="T640" s="1">
        <f>0</f>
        <v>0</v>
      </c>
      <c r="U640" s="1"/>
      <c r="V640" s="1">
        <v>1</v>
      </c>
      <c r="W640" s="1">
        <v>1</v>
      </c>
      <c r="X640" s="1" t="e">
        <f>ABS(NETWORKDAYS.INTL("06/19/24", "06/20/24", 1, {"01/01/2024","01/15/2024","02/19/2024","05/27/2024","07/04/2024","09/02/2024","10/14/2024","11/11/2024","11/28/2024","12/25/2024","12/25/2024","12/26/2024","12/27/2024","12/28/2024","12/29/2024","12/30/2024","31/25/2024","01/01/2024","01/02/2024","01/03/2024","01/04/2024","01/05/2024"}))</f>
        <v>#VALUE!</v>
      </c>
      <c r="Y640" s="1">
        <f>0</f>
        <v>0</v>
      </c>
      <c r="Z640" s="1">
        <f>0</f>
        <v>0</v>
      </c>
      <c r="AA640" s="1"/>
      <c r="AB640" s="5">
        <v>45470</v>
      </c>
      <c r="AC640" s="5">
        <v>45503</v>
      </c>
      <c r="AD640" s="1" t="e">
        <f>ABS(NETWORKDAYS.INTL("06/19/24", "05/31/24", 1, {"01/01/2024","01/15/2024","02/19/2024","05/27/2024","07/04/2024","09/02/2024","10/14/2024","11/11/2024","11/28/2024","12/25/2024","12/25/2024","12/26/2024","12/27/2024","12/28/2024","12/29/2024","12/30/2024","31/25/2024","01/01/2024","01/02/2024","01/03/2024","01/04/2024","01/05/2024"}))</f>
        <v>#VALUE!</v>
      </c>
      <c r="AE640" s="1">
        <f>0</f>
        <v>0</v>
      </c>
      <c r="AF640" s="1">
        <f>0</f>
        <v>0</v>
      </c>
      <c r="AG640" s="1" t="e">
        <f>ABS(NETWORKDAYS.INTL("06/19/24", "08/05/24", 1, {"01/01/2024","01/15/2024","02/19/2024","05/27/2024","07/04/2024","09/02/2024","10/14/2024","11/11/2024","11/28/2024","12/25/2024","12/25/2024","12/26/2024","12/27/2024","12/28/2024","12/29/2024","12/30/2024","31/25/2024","01/01/2024","01/02/2024","01/03/2024","01/04/2024","01/05/2024"}))</f>
        <v>#VALUE!</v>
      </c>
      <c r="AH640" s="1" t="e">
        <f>ABS(NETWORKDAYS.INTL("06/19/24", "06/19/24", 1, {"01/01/2024","01/15/2024","02/19/2024","05/27/2024","07/04/2024","09/02/2024","10/14/2024","11/11/2024","11/28/2024","12/25/2024","12/25/2024","12/26/2024","12/27/2024","12/28/2024","12/29/2024","12/30/2024","31/25/2024","01/01/2024","01/02/2024","01/03/2024","01/04/2024","01/05/2024"}))</f>
        <v>#VALUE!</v>
      </c>
      <c r="AI640" s="1" t="e">
        <f>ABS(NETWORKDAYS.INTL("07/30/2024", "06/27/24", 1, {"01/01/2024","01/15/2024","02/19/2024","05/27/2024","07/04/2024","09/02/2024","10/14/2024","11/11/2024","11/28/2024","12/25/2024","12/25/2024","12/26/2024","12/27/2024","12/28/2024","12/29/2024","12/30/2024","31/25/2024","01/01/2024","01/02/2024","01/03/2024","01/04/2024","01/05/2024"}))</f>
        <v>#VALUE!</v>
      </c>
      <c r="AJ640" s="1" t="b">
        <v>1</v>
      </c>
      <c r="AK640" s="1"/>
      <c r="AL640" s="1"/>
      <c r="AM640" s="1"/>
      <c r="AN640" s="1"/>
      <c r="AO640" s="1"/>
      <c r="AP640" s="1" t="b">
        <v>1</v>
      </c>
      <c r="AQ640" s="1"/>
      <c r="AR640" s="1"/>
      <c r="AS640" s="1"/>
      <c r="AT640" s="1"/>
      <c r="AU640" s="1"/>
      <c r="AV640" s="1"/>
      <c r="AW640" s="1"/>
      <c r="AX640" s="1"/>
      <c r="AY640" s="1"/>
      <c r="AZ640" s="1" t="b">
        <v>1</v>
      </c>
    </row>
    <row r="641" spans="1:52" ht="15" customHeight="1" x14ac:dyDescent="0.35">
      <c r="A641" s="1" t="s">
        <v>2104</v>
      </c>
      <c r="B641" s="1" t="s">
        <v>371</v>
      </c>
      <c r="C641" s="1" t="s">
        <v>1377</v>
      </c>
      <c r="D641" s="1" t="s">
        <v>1374</v>
      </c>
      <c r="E641" s="1" t="s">
        <v>2105</v>
      </c>
      <c r="F641" s="9" t="s">
        <v>2106</v>
      </c>
      <c r="G641" s="1" t="s">
        <v>38</v>
      </c>
      <c r="H6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1" s="11" t="e">
        <f>ABS(NETWORKDAYS.INTL("05/29/2024", "05/29/2024", 1, {"01/01/2024","01/15/2024","02/19/2024","05/27/2024","07/04/2024","09/02/2024","10/14/2024","11/11/2024","11/28/2024","12/25/2024","12/25/2024","12/26/2024","12/27/2024","12/28/2024","12/29/2024","12/30/2024","31/25/2024","01/01/2024","01/02/2024","01/03/2024","01/04/2024","01/05/2024"}))</f>
        <v>#VALUE!</v>
      </c>
      <c r="J641">
        <f>0</f>
        <v>0</v>
      </c>
      <c r="K641" s="1"/>
      <c r="L641" s="1">
        <v>1</v>
      </c>
      <c r="M641" s="1" t="e">
        <f>ABS(NETWORKDAYS.INTL("06/12/2024", "06/12/2024", 1, {"01/01/2024","01/15/2024","02/19/2024","05/27/2024","07/04/2024","09/02/2024","10/14/2024","11/11/2024","11/28/2024","12/25/2024","12/25/2024","12/26/2024","12/27/2024","12/28/2024","12/29/2024","12/30/2024","31/25/2024","01/01/2024","01/02/2024","01/03/2024","01/04/2024","01/05/2024"}))</f>
        <v>#VALUE!</v>
      </c>
      <c r="N641" s="1">
        <f>0</f>
        <v>0</v>
      </c>
      <c r="O641" s="1">
        <f>0</f>
        <v>0</v>
      </c>
      <c r="P641" s="1"/>
      <c r="Q641" s="1">
        <v>0</v>
      </c>
      <c r="R641" s="1">
        <v>0</v>
      </c>
      <c r="S641" s="1">
        <f>0</f>
        <v>0</v>
      </c>
      <c r="T641" s="1">
        <f>0</f>
        <v>0</v>
      </c>
      <c r="U641" s="1"/>
      <c r="V641" s="1">
        <v>1</v>
      </c>
      <c r="W641" s="1">
        <v>1</v>
      </c>
      <c r="X641" s="1" t="e">
        <f>ABS(NETWORKDAYS.INTL("06/13/2024", "06/13/2024", 1, {"01/01/2024","01/15/2024","02/19/2024","05/27/2024","07/04/2024","09/02/2024","10/14/2024","11/11/2024","11/28/2024","12/25/2024","12/25/2024","12/26/2024","12/27/2024","12/28/2024","12/29/2024","12/30/2024","31/25/2024","01/01/2024","01/02/2024","01/03/2024","01/04/2024","01/05/2024"}))</f>
        <v>#VALUE!</v>
      </c>
      <c r="Y641" s="1" t="e">
        <f>ABS(NETWORKDAYS.INTL("06/13/2024", "06/13/2024", 1, {"01/01/2024","01/15/2024","02/19/2024","05/27/2024","07/04/2024","09/02/2024","10/14/2024","11/11/2024","11/28/2024","12/25/2024","12/25/2024","12/26/2024","12/27/2024","12/28/2024","12/29/2024","12/30/2024","31/25/2024","01/01/2024","01/02/2024","01/03/2024","01/04/2024","01/05/2024"}))</f>
        <v>#VALUE!</v>
      </c>
      <c r="Z641" s="1">
        <f>0</f>
        <v>0</v>
      </c>
      <c r="AA641" s="1"/>
      <c r="AB641" s="5">
        <v>45456</v>
      </c>
      <c r="AC641" s="1"/>
      <c r="AD641" s="1" t="e">
        <f>ABS(NETWORKDAYS.INTL("06/12/2024", "05/29/2024", 1, {"01/01/2024","01/15/2024","02/19/2024","05/27/2024","07/04/2024","09/02/2024","10/14/2024","11/11/2024","11/28/2024","12/25/2024","12/25/2024","12/26/2024","12/27/2024","12/28/2024","12/29/2024","12/30/2024","31/25/2024","01/01/2024","01/02/2024","01/03/2024","01/04/2024","01/05/2024"}))</f>
        <v>#VALUE!</v>
      </c>
      <c r="AE641" s="1">
        <f>0</f>
        <v>0</v>
      </c>
      <c r="AF641" s="1">
        <f>0</f>
        <v>0</v>
      </c>
      <c r="AG641" s="1" t="e">
        <f>ABS(NETWORKDAYS.INTL("06/13/2024", "08/05/24", 1, {"01/01/2024","01/15/2024","02/19/2024","05/27/2024","07/04/2024","09/02/2024","10/14/2024","11/11/2024","11/28/2024","12/25/2024","12/25/2024","12/26/2024","12/27/2024","12/28/2024","12/29/2024","12/30/2024","31/25/2024","01/01/2024","01/02/2024","01/03/2024","01/04/2024","01/05/2024"}))</f>
        <v>#VALUE!</v>
      </c>
      <c r="AH641" s="1" t="e">
        <f>ABS(NETWORKDAYS.INTL("06/13/2024", "06/13/2024", 1, {"01/01/2024","01/15/2024","02/19/2024","05/27/2024","07/04/2024","09/02/2024","10/14/2024","11/11/2024","11/28/2024","12/25/2024","12/25/2024","12/26/2024","12/27/2024","12/28/2024","12/29/2024","12/30/2024","31/25/2024","01/01/2024","01/02/2024","01/03/2024","01/04/2024","01/05/2024"}))</f>
        <v>#VALUE!</v>
      </c>
      <c r="AI641" s="1">
        <f>0</f>
        <v>0</v>
      </c>
      <c r="AJ641" s="1" t="b">
        <v>1</v>
      </c>
      <c r="AK641" s="1"/>
      <c r="AL641" s="1"/>
      <c r="AM641" s="1"/>
      <c r="AN641" s="1"/>
      <c r="AO641" s="1"/>
      <c r="AP641" s="1" t="b">
        <v>1</v>
      </c>
      <c r="AQ641" s="1"/>
      <c r="AR641" s="1"/>
      <c r="AS641" s="1"/>
      <c r="AT641" s="1"/>
      <c r="AU641" s="1"/>
      <c r="AV641" s="1"/>
      <c r="AW641" s="1"/>
      <c r="AX641" s="1"/>
      <c r="AY641" s="1"/>
      <c r="AZ641" s="1" t="b">
        <v>1</v>
      </c>
    </row>
    <row r="642" spans="1:52" ht="15" customHeight="1" x14ac:dyDescent="0.35">
      <c r="A642" s="1" t="s">
        <v>2107</v>
      </c>
      <c r="B642" s="1" t="s">
        <v>372</v>
      </c>
      <c r="C642" s="1" t="s">
        <v>988</v>
      </c>
      <c r="D642" s="1" t="s">
        <v>1374</v>
      </c>
      <c r="E642" s="1" t="s">
        <v>2003</v>
      </c>
      <c r="F642" s="9" t="s">
        <v>2108</v>
      </c>
      <c r="G642" s="1" t="s">
        <v>38</v>
      </c>
      <c r="H6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2" s="11" t="e">
        <f>ABS(NETWORKDAYS.INTL("05/29/24", "05/30/24", 1, {"01/01/2024","01/15/2024","02/19/2024","05/27/2024","07/04/2024","09/02/2024","10/14/2024","11/11/2024","11/28/2024","12/25/2024","12/25/2024","12/26/2024","12/27/2024","12/28/2024","12/29/2024","12/30/2024","31/25/2024","01/01/2024","01/02/2024","01/03/2024","01/04/2024","01/05/2024"}))</f>
        <v>#VALUE!</v>
      </c>
      <c r="J642">
        <f>0</f>
        <v>0</v>
      </c>
      <c r="K642" s="1"/>
      <c r="L642" s="1">
        <v>1</v>
      </c>
      <c r="M642" s="1" t="e">
        <f>ABS(NETWORKDAYS.INTL("06/10/24", "06/11/24", 1, {"01/01/2024","01/15/2024","02/19/2024","05/27/2024","07/04/2024","09/02/2024","10/14/2024","11/11/2024","11/28/2024","12/25/2024","12/25/2024","12/26/2024","12/27/2024","12/28/2024","12/29/2024","12/30/2024","31/25/2024","01/01/2024","01/02/2024","01/03/2024","01/04/2024","01/05/2024"}))</f>
        <v>#VALUE!</v>
      </c>
      <c r="N642" s="1">
        <f>0</f>
        <v>0</v>
      </c>
      <c r="O642" s="1">
        <f>0</f>
        <v>0</v>
      </c>
      <c r="P642" s="1"/>
      <c r="Q642" s="1">
        <v>0</v>
      </c>
      <c r="R642" s="1">
        <v>0</v>
      </c>
      <c r="S642" s="1">
        <f>0</f>
        <v>0</v>
      </c>
      <c r="T642" s="1">
        <f>0</f>
        <v>0</v>
      </c>
      <c r="U642" s="1"/>
      <c r="V642" s="1">
        <v>1</v>
      </c>
      <c r="W642" s="1">
        <v>1</v>
      </c>
      <c r="X642" s="1" t="e">
        <f>ABS(NETWORKDAYS.INTL("06/11/24", "06/12/24", 1, {"01/01/2024","01/15/2024","02/19/2024","05/27/2024","07/04/2024","09/02/2024","10/14/2024","11/11/2024","11/28/2024","12/25/2024","12/25/2024","12/26/2024","12/27/2024","12/28/2024","12/29/2024","12/30/2024","31/25/2024","01/01/2024","01/02/2024","01/03/2024","01/04/2024","01/05/2024"}))</f>
        <v>#VALUE!</v>
      </c>
      <c r="Y642" s="1">
        <f>0</f>
        <v>0</v>
      </c>
      <c r="Z642" s="1">
        <f>0</f>
        <v>0</v>
      </c>
      <c r="AA642" s="1"/>
      <c r="AB642" s="5">
        <v>45455</v>
      </c>
      <c r="AC642" s="5">
        <v>45504</v>
      </c>
      <c r="AD642" s="1" t="e">
        <f>ABS(NETWORKDAYS.INTL("06/10/24", "05/30/24", 1, {"01/01/2024","01/15/2024","02/19/2024","05/27/2024","07/04/2024","09/02/2024","10/14/2024","11/11/2024","11/28/2024","12/25/2024","12/25/2024","12/26/2024","12/27/2024","12/28/2024","12/29/2024","12/30/2024","31/25/2024","01/01/2024","01/02/2024","01/03/2024","01/04/2024","01/05/2024"}))</f>
        <v>#VALUE!</v>
      </c>
      <c r="AE642" s="1">
        <f>0</f>
        <v>0</v>
      </c>
      <c r="AF642" s="1">
        <f>0</f>
        <v>0</v>
      </c>
      <c r="AG642" s="1" t="e">
        <f>ABS(NETWORKDAYS.INTL("06/11/24", "08/05/24", 1, {"01/01/2024","01/15/2024","02/19/2024","05/27/2024","07/04/2024","09/02/2024","10/14/2024","11/11/2024","11/28/2024","12/25/2024","12/25/2024","12/26/2024","12/27/2024","12/28/2024","12/29/2024","12/30/2024","31/25/2024","01/01/2024","01/02/2024","01/03/2024","01/04/2024","01/05/2024"}))</f>
        <v>#VALUE!</v>
      </c>
      <c r="AH642" s="1" t="e">
        <f>ABS(NETWORKDAYS.INTL("06/11/24", "06/11/24", 1, {"01/01/2024","01/15/2024","02/19/2024","05/27/2024","07/04/2024","09/02/2024","10/14/2024","11/11/2024","11/28/2024","12/25/2024","12/25/2024","12/26/2024","12/27/2024","12/28/2024","12/29/2024","12/30/2024","31/25/2024","01/01/2024","01/02/2024","01/03/2024","01/04/2024","01/05/2024"}))</f>
        <v>#VALUE!</v>
      </c>
      <c r="AI642" s="1" t="e">
        <f>ABS(NETWORKDAYS.INTL("07/31/2024", "06/12/24", 1, {"01/01/2024","01/15/2024","02/19/2024","05/27/2024","07/04/2024","09/02/2024","10/14/2024","11/11/2024","11/28/2024","12/25/2024","12/25/2024","12/26/2024","12/27/2024","12/28/2024","12/29/2024","12/30/2024","31/25/2024","01/01/2024","01/02/2024","01/03/2024","01/04/2024","01/05/2024"}))</f>
        <v>#VALUE!</v>
      </c>
      <c r="AJ642" s="1" t="b">
        <v>1</v>
      </c>
      <c r="AK642" s="1"/>
      <c r="AL642" s="1"/>
      <c r="AM642" s="1"/>
      <c r="AN642" s="1"/>
      <c r="AO642" s="1"/>
      <c r="AP642" s="1" t="b">
        <v>1</v>
      </c>
      <c r="AQ642" s="1"/>
      <c r="AR642" s="1"/>
      <c r="AS642" s="1"/>
      <c r="AT642" s="1"/>
      <c r="AU642" s="1"/>
      <c r="AV642" s="1"/>
      <c r="AW642" s="1"/>
      <c r="AX642" s="1"/>
      <c r="AY642" s="1"/>
      <c r="AZ642" s="1" t="b">
        <v>1</v>
      </c>
    </row>
    <row r="643" spans="1:52" ht="15" customHeight="1" x14ac:dyDescent="0.35">
      <c r="A643" s="1" t="s">
        <v>2109</v>
      </c>
      <c r="B643" s="1" t="s">
        <v>373</v>
      </c>
      <c r="C643" s="1" t="s">
        <v>988</v>
      </c>
      <c r="D643" s="1" t="s">
        <v>2110</v>
      </c>
      <c r="E643" s="1" t="s">
        <v>1983</v>
      </c>
      <c r="F643" s="9" t="s">
        <v>2111</v>
      </c>
      <c r="G643" s="1" t="s">
        <v>38</v>
      </c>
      <c r="H6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3" s="11" t="e">
        <f>ABS(NETWORKDAYS.INTL("06/10/24", "06/11/24", 1, {"01/01/2024","01/15/2024","02/19/2024","05/27/2024","07/04/2024","09/02/2024","10/14/2024","11/11/2024","11/28/2024","12/25/2024","12/25/2024","12/26/2024","12/27/2024","12/28/2024","12/29/2024","12/30/2024","31/25/2024","01/01/2024","01/02/2024","01/03/2024","01/04/2024","01/05/2024"}))</f>
        <v>#VALUE!</v>
      </c>
      <c r="J643">
        <f>0</f>
        <v>0</v>
      </c>
      <c r="K643" s="1"/>
      <c r="L643" s="1">
        <v>1</v>
      </c>
      <c r="M643" s="1" t="e">
        <f>ABS(NETWORKDAYS.INTL("06/17/2024", "06/17/2024", 1, {"01/01/2024","01/15/2024","02/19/2024","05/27/2024","07/04/2024","09/02/2024","10/14/2024","11/11/2024","11/28/2024","12/25/2024","12/25/2024","12/26/2024","12/27/2024","12/28/2024","12/29/2024","12/30/2024","31/25/2024","01/01/2024","01/02/2024","01/03/2024","01/04/2024","01/05/2024"}))</f>
        <v>#VALUE!</v>
      </c>
      <c r="N643" s="1">
        <f>0</f>
        <v>0</v>
      </c>
      <c r="O643" s="1">
        <f>0</f>
        <v>0</v>
      </c>
      <c r="P643" s="1"/>
      <c r="Q643" s="1">
        <v>0</v>
      </c>
      <c r="R643" s="1">
        <v>0</v>
      </c>
      <c r="S643" s="1">
        <f>0</f>
        <v>0</v>
      </c>
      <c r="T643" s="1">
        <f>0</f>
        <v>0</v>
      </c>
      <c r="U643" s="1"/>
      <c r="V643" s="1">
        <v>2</v>
      </c>
      <c r="W643" s="1">
        <v>2</v>
      </c>
      <c r="X643" s="1" t="e">
        <f>ABS(NETWORKDAYS.INTL("06/17/2024", "06/18/2024", 1, {"01/01/2024","01/15/2024","02/19/2024","05/27/2024","07/04/2024","09/02/2024","10/14/2024","11/11/2024","11/28/2024","12/25/2024","12/25/2024","12/26/2024","12/27/2024","12/28/2024","12/29/2024","12/30/2024","31/25/2024","01/01/2024","01/02/2024","01/03/2024","01/04/2024","01/05/2024"})+NETWORKDAYS.INTL("06/26/2024", "06/26/2024", 1, {"01/01/2024","01/15/2024","02/19/2024","05/27/2024","07/04/2024","09/02/2024","10/14/2024","11/11/2024","11/28/2024","12/25/2024","12/25/2024","12/26/2024","12/27/2024","12/28/2024","12/29/2024","12/30/2024","31/25/2024","01/01/2024","01/02/2024","01/03/2024","01/04/2024","01/05/2024"}))</f>
        <v>#VALUE!</v>
      </c>
      <c r="Y643" s="1" t="e">
        <f>ABS(NETWORKDAYS.INTL("06/26/2024", "06/26/2024", 1, {"01/01/2024","01/15/2024","02/19/2024","05/27/2024","07/04/2024","09/02/2024","10/14/2024","11/11/2024","11/28/2024","12/25/2024","12/25/2024","12/26/2024","12/27/2024","12/28/2024","12/29/2024","12/30/2024","31/25/2024","01/01/2024","01/02/2024","01/03/2024","01/04/2024","01/05/2024"}))</f>
        <v>#VALUE!</v>
      </c>
      <c r="Z643" s="1">
        <f>0</f>
        <v>0</v>
      </c>
      <c r="AA643" s="1"/>
      <c r="AB643" s="5">
        <v>45469</v>
      </c>
      <c r="AC643" s="5">
        <v>45503</v>
      </c>
      <c r="AD643" s="1" t="e">
        <f>ABS(NETWORKDAYS.INTL("06/17/2024", "06/11/24", 1, {"01/01/2024","01/15/2024","02/19/2024","05/27/2024","07/04/2024","09/02/2024","10/14/2024","11/11/2024","11/28/2024","12/25/2024","12/25/2024","12/26/2024","12/27/2024","12/28/2024","12/29/2024","12/30/2024","31/25/2024","01/01/2024","01/02/2024","01/03/2024","01/04/2024","01/05/2024"}))</f>
        <v>#VALUE!</v>
      </c>
      <c r="AE643" s="1">
        <f>0</f>
        <v>0</v>
      </c>
      <c r="AF643" s="1">
        <f>0</f>
        <v>0</v>
      </c>
      <c r="AG643" s="1" t="e">
        <f>ABS(NETWORKDAYS.INTL("06/17/2024", "08/05/24", 1, {"01/01/2024","01/15/2024","02/19/2024","05/27/2024","07/04/2024","09/02/2024","10/14/2024","11/11/2024","11/28/2024","12/25/2024","12/25/2024","12/26/2024","12/27/2024","12/28/2024","12/29/2024","12/30/2024","31/25/2024","01/01/2024","01/02/2024","01/03/2024","01/04/2024","01/05/2024"}))</f>
        <v>#VALUE!</v>
      </c>
      <c r="AH643" s="1" t="e">
        <f>ABS(NETWORKDAYS.INTL("06/17/2024", "06/17/2024", 1, {"01/01/2024","01/15/2024","02/19/2024","05/27/2024","07/04/2024","09/02/2024","10/14/2024","11/11/2024","11/28/2024","12/25/2024","12/25/2024","12/26/2024","12/27/2024","12/28/2024","12/29/2024","12/30/2024","31/25/2024","01/01/2024","01/02/2024","01/03/2024","01/04/2024","01/05/2024"}))</f>
        <v>#VALUE!</v>
      </c>
      <c r="AI643" s="1" t="e">
        <f>ABS(NETWORKDAYS.INTL("07/30/2024", "06/26/2024", 1, {"01/01/2024","01/15/2024","02/19/2024","05/27/2024","07/04/2024","09/02/2024","10/14/2024","11/11/2024","11/28/2024","12/25/2024","12/25/2024","12/26/2024","12/27/2024","12/28/2024","12/29/2024","12/30/2024","31/25/2024","01/01/2024","01/02/2024","01/03/2024","01/04/2024","01/05/2024"}))</f>
        <v>#VALUE!</v>
      </c>
      <c r="AJ643" s="1" t="b">
        <v>1</v>
      </c>
      <c r="AK643" s="1"/>
      <c r="AL643" s="1"/>
      <c r="AM643" s="1"/>
      <c r="AN643" s="1"/>
      <c r="AO643" s="1"/>
      <c r="AP643" s="1" t="b">
        <v>1</v>
      </c>
      <c r="AQ643" s="1"/>
      <c r="AR643" s="1"/>
      <c r="AS643" s="1"/>
      <c r="AT643" s="1"/>
      <c r="AU643" s="1"/>
      <c r="AV643" s="1"/>
      <c r="AW643" s="1"/>
      <c r="AX643" s="1"/>
      <c r="AY643" s="1"/>
      <c r="AZ643" s="1" t="b">
        <v>1</v>
      </c>
    </row>
    <row r="644" spans="1:52" ht="15" customHeight="1" x14ac:dyDescent="0.35">
      <c r="A644" s="1" t="s">
        <v>2112</v>
      </c>
      <c r="B644" s="1" t="s">
        <v>374</v>
      </c>
      <c r="C644" s="1" t="s">
        <v>1157</v>
      </c>
      <c r="D644" s="1" t="s">
        <v>2110</v>
      </c>
      <c r="E644" s="1" t="s">
        <v>1983</v>
      </c>
      <c r="F644" s="9" t="s">
        <v>2113</v>
      </c>
      <c r="G644" s="1" t="s">
        <v>38</v>
      </c>
      <c r="H6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4" s="11" t="e">
        <f>ABS(NETWORKDAYS.INTL("06/10/24", "06/11/24", 1, {"01/01/2024","01/15/2024","02/19/2024","05/27/2024","07/04/2024","09/02/2024","10/14/2024","11/11/2024","11/28/2024","12/25/2024","12/25/2024","12/26/2024","12/27/2024","12/28/2024","12/29/2024","12/30/2024","31/25/2024","01/01/2024","01/02/2024","01/03/2024","01/04/2024","01/05/2024"}))</f>
        <v>#VALUE!</v>
      </c>
      <c r="J644">
        <f>0</f>
        <v>0</v>
      </c>
      <c r="K644" s="1"/>
      <c r="L644" s="1">
        <v>1</v>
      </c>
      <c r="M644" s="1" t="e">
        <f>ABS(NETWORKDAYS.INTL("06/14/24", "06/14/24", 1, {"01/01/2024","01/15/2024","02/19/2024","05/27/2024","07/04/2024","09/02/2024","10/14/2024","11/11/2024","11/28/2024","12/25/2024","12/25/2024","12/26/2024","12/27/2024","12/28/2024","12/29/2024","12/30/2024","31/25/2024","01/01/2024","01/02/2024","01/03/2024","01/04/2024","01/05/2024"}))</f>
        <v>#VALUE!</v>
      </c>
      <c r="N644" s="1">
        <f>0</f>
        <v>0</v>
      </c>
      <c r="O644" s="1">
        <f>0</f>
        <v>0</v>
      </c>
      <c r="P644" s="1"/>
      <c r="Q644" s="1">
        <v>0</v>
      </c>
      <c r="R644" s="1">
        <v>0</v>
      </c>
      <c r="S644" s="1">
        <f>0</f>
        <v>0</v>
      </c>
      <c r="T644" s="1">
        <f>0</f>
        <v>0</v>
      </c>
      <c r="U644" s="1"/>
      <c r="V644" s="1">
        <v>1</v>
      </c>
      <c r="W644" s="1">
        <v>1</v>
      </c>
      <c r="X644" s="1" t="e">
        <f>ABS(NETWORKDAYS.INTL("06/14/24", "06/19/24", 1, {"01/01/2024","01/15/2024","02/19/2024","05/27/2024","07/04/2024","09/02/2024","10/14/2024","11/11/2024","11/28/2024","12/25/2024","12/25/2024","12/26/2024","12/27/2024","12/28/2024","12/29/2024","12/30/2024","31/25/2024","01/01/2024","01/02/2024","01/03/2024","01/04/2024","01/05/2024"}))</f>
        <v>#VALUE!</v>
      </c>
      <c r="Y644" s="1">
        <f>0</f>
        <v>0</v>
      </c>
      <c r="Z644" s="1">
        <f>0</f>
        <v>0</v>
      </c>
      <c r="AA644" s="1"/>
      <c r="AB644" s="5">
        <v>45468</v>
      </c>
      <c r="AC644" s="1"/>
      <c r="AD644" s="1" t="e">
        <f>ABS(NETWORKDAYS.INTL("06/14/24", "06/11/24", 1, {"01/01/2024","01/15/2024","02/19/2024","05/27/2024","07/04/2024","09/02/2024","10/14/2024","11/11/2024","11/28/2024","12/25/2024","12/25/2024","12/26/2024","12/27/2024","12/28/2024","12/29/2024","12/30/2024","31/25/2024","01/01/2024","01/02/2024","01/03/2024","01/04/2024","01/05/2024"}))</f>
        <v>#VALUE!</v>
      </c>
      <c r="AE644" s="1">
        <f>0</f>
        <v>0</v>
      </c>
      <c r="AF644" s="1">
        <f>0</f>
        <v>0</v>
      </c>
      <c r="AG644" s="1" t="e">
        <f>ABS(NETWORKDAYS.INTL("06/14/24", "08/05/24", 1, {"01/01/2024","01/15/2024","02/19/2024","05/27/2024","07/04/2024","09/02/2024","10/14/2024","11/11/2024","11/28/2024","12/25/2024","12/25/2024","12/26/2024","12/27/2024","12/28/2024","12/29/2024","12/30/2024","31/25/2024","01/01/2024","01/02/2024","01/03/2024","01/04/2024","01/05/2024"}))</f>
        <v>#VALUE!</v>
      </c>
      <c r="AH644" s="1" t="e">
        <f>ABS(NETWORKDAYS.INTL("06/14/24", "06/14/24", 1, {"01/01/2024","01/15/2024","02/19/2024","05/27/2024","07/04/2024","09/02/2024","10/14/2024","11/11/2024","11/28/2024","12/25/2024","12/25/2024","12/26/2024","12/27/2024","12/28/2024","12/29/2024","12/30/2024","31/25/2024","01/01/2024","01/02/2024","01/03/2024","01/04/2024","01/05/2024"}))</f>
        <v>#VALUE!</v>
      </c>
      <c r="AI644" s="1">
        <f>0</f>
        <v>0</v>
      </c>
      <c r="AJ644" s="1" t="b">
        <v>1</v>
      </c>
      <c r="AK644" s="1"/>
      <c r="AL644" s="1"/>
      <c r="AM644" s="1"/>
      <c r="AN644" s="1"/>
      <c r="AO644" s="1"/>
      <c r="AP644" s="1" t="b">
        <v>1</v>
      </c>
      <c r="AQ644" s="1"/>
      <c r="AR644" s="1"/>
      <c r="AS644" s="1"/>
      <c r="AT644" s="1"/>
      <c r="AU644" s="1"/>
      <c r="AV644" s="1"/>
      <c r="AW644" s="1"/>
      <c r="AX644" s="1"/>
      <c r="AY644" s="1"/>
      <c r="AZ644" s="1" t="b">
        <v>1</v>
      </c>
    </row>
    <row r="645" spans="1:52" ht="15" customHeight="1" x14ac:dyDescent="0.35">
      <c r="A645" s="1" t="s">
        <v>2114</v>
      </c>
      <c r="B645" s="1" t="s">
        <v>375</v>
      </c>
      <c r="C645" s="1" t="s">
        <v>629</v>
      </c>
      <c r="D645" s="1" t="s">
        <v>2115</v>
      </c>
      <c r="E645" s="1" t="s">
        <v>2116</v>
      </c>
      <c r="F645" s="9" t="s">
        <v>2117</v>
      </c>
      <c r="G645" s="1" t="s">
        <v>38</v>
      </c>
      <c r="H6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5" s="11" t="e">
        <f>ABS(NETWORKDAYS.INTL("05/27/2024", "05/31/2024", 1, {"01/01/2024","01/15/2024","02/19/2024","05/27/2024","07/04/2024","09/02/2024","10/14/2024","11/11/2024","11/28/2024","12/25/2024","12/25/2024","12/26/2024","12/27/2024","12/28/2024","12/29/2024","12/30/2024","31/25/2024","01/01/2024","01/02/2024","01/03/2024","01/04/2024","01/05/2024"}))</f>
        <v>#VALUE!</v>
      </c>
      <c r="J645">
        <f>0</f>
        <v>0</v>
      </c>
      <c r="K645" s="1"/>
      <c r="L645" s="1">
        <v>1</v>
      </c>
      <c r="M645" s="1" t="e">
        <f>ABS(NETWORKDAYS.INTL("06/19/2024", "06/19/2024", 1, {"01/01/2024","01/15/2024","02/19/2024","05/27/2024","07/04/2024","09/02/2024","10/14/2024","11/11/2024","11/28/2024","12/25/2024","12/25/2024","12/26/2024","12/27/2024","12/28/2024","12/29/2024","12/30/2024","31/25/2024","01/01/2024","01/02/2024","01/03/2024","01/04/2024","01/05/2024"}))</f>
        <v>#VALUE!</v>
      </c>
      <c r="N645" s="1">
        <f>0</f>
        <v>0</v>
      </c>
      <c r="O645" s="1">
        <f>0</f>
        <v>0</v>
      </c>
      <c r="P645" s="1"/>
      <c r="Q645" s="1">
        <v>0</v>
      </c>
      <c r="R645" s="1">
        <v>0</v>
      </c>
      <c r="S645" s="1">
        <f>0</f>
        <v>0</v>
      </c>
      <c r="T645" s="1">
        <f>0</f>
        <v>0</v>
      </c>
      <c r="U645" s="1"/>
      <c r="V645" s="1">
        <v>1</v>
      </c>
      <c r="W645" s="1">
        <v>1</v>
      </c>
      <c r="X645" s="1" t="e">
        <f>ABS(NETWORKDAYS.INTL("06/19/2024", "06/21/2024", 1, {"01/01/2024","01/15/2024","02/19/2024","05/27/2024","07/04/2024","09/02/2024","10/14/2024","11/11/2024","11/28/2024","12/25/2024","12/25/2024","12/26/2024","12/27/2024","12/28/2024","12/29/2024","12/30/2024","31/25/2024","01/01/2024","01/02/2024","01/03/2024","01/04/2024","01/05/2024"}))</f>
        <v>#VALUE!</v>
      </c>
      <c r="Y645" s="1" t="e">
        <f>ABS(NETWORKDAYS.INTL("07/22/2024", "07/30/2024", 1, {"01/01/2024","01/15/2024","02/19/2024","05/27/2024","07/04/2024","09/02/2024","10/14/2024","11/11/2024","11/28/2024","12/25/2024","12/25/2024","12/26/2024","12/27/2024","12/28/2024","12/29/2024","12/30/2024","31/25/2024","01/01/2024","01/02/2024","01/03/2024","01/04/2024","01/05/2024"}))</f>
        <v>#VALUE!</v>
      </c>
      <c r="Z645" s="1" t="e">
        <f>ABS(NETWORKDAYS.INTL("07/22/2024", "07/25/2024", 1, {"01/01/2024","01/15/2024","02/19/2024","05/27/2024","07/04/2024","09/02/2024","10/14/2024","11/11/2024","11/28/2024","12/25/2024","12/25/2024","12/26/2024","12/27/2024","12/28/2024","12/29/2024","12/30/2024","31/25/2024","01/01/2024","01/02/2024","01/03/2024","01/04/2024","01/05/2024"}))</f>
        <v>#VALUE!</v>
      </c>
      <c r="AA645" s="1"/>
      <c r="AB645" s="5"/>
      <c r="AC645" s="1"/>
      <c r="AD645" s="1" t="e">
        <f>ABS(NETWORKDAYS.INTL("06/19/2024", "05/31/2024", 1, {"01/01/2024","01/15/2024","02/19/2024","05/27/2024","07/04/2024","09/02/2024","10/14/2024","11/11/2024","11/28/2024","12/25/2024","12/25/2024","12/26/2024","12/27/2024","12/28/2024","12/29/2024","12/30/2024","31/25/2024","01/01/2024","01/02/2024","01/03/2024","01/04/2024","01/05/2024"}))</f>
        <v>#VALUE!</v>
      </c>
      <c r="AE645" s="1">
        <f>0</f>
        <v>0</v>
      </c>
      <c r="AF645" s="1">
        <f>0</f>
        <v>0</v>
      </c>
      <c r="AG645" s="1" t="e">
        <f>ABS(NETWORKDAYS.INTL("06/19/2024", "08/05/24", 1, {"01/01/2024","01/15/2024","02/19/2024","05/27/2024","07/04/2024","09/02/2024","10/14/2024","11/11/2024","11/28/2024","12/25/2024","12/25/2024","12/26/2024","12/27/2024","12/28/2024","12/29/2024","12/30/2024","31/25/2024","01/01/2024","01/02/2024","01/03/2024","01/04/2024","01/05/2024"}))</f>
        <v>#VALUE!</v>
      </c>
      <c r="AH645" s="1" t="e">
        <f>ABS(NETWORKDAYS.INTL("06/19/2024", "06/19/2024", 1, {"01/01/2024","01/15/2024","02/19/2024","05/27/2024","07/04/2024","09/02/2024","10/14/2024","11/11/2024","11/28/2024","12/25/2024","12/25/2024","12/26/2024","12/27/2024","12/28/2024","12/29/2024","12/30/2024","31/25/2024","01/01/2024","01/02/2024","01/03/2024","01/04/2024","01/05/2024"}))</f>
        <v>#VALUE!</v>
      </c>
      <c r="AI645" s="1">
        <f>0</f>
        <v>0</v>
      </c>
      <c r="AJ645" s="1" t="b">
        <v>1</v>
      </c>
      <c r="AK645" s="1"/>
      <c r="AL645" s="1"/>
      <c r="AM645" s="1"/>
      <c r="AN645" s="1"/>
      <c r="AO645" s="1"/>
      <c r="AP645" s="1" t="b">
        <v>1</v>
      </c>
      <c r="AQ645" s="1"/>
      <c r="AR645" s="1"/>
      <c r="AS645" s="1"/>
      <c r="AT645" s="1"/>
      <c r="AU645" s="1"/>
      <c r="AV645" s="1"/>
      <c r="AW645" s="1"/>
      <c r="AX645" s="1"/>
      <c r="AY645" s="1"/>
      <c r="AZ645" s="1" t="b">
        <v>1</v>
      </c>
    </row>
    <row r="646" spans="1:52" ht="15" customHeight="1" x14ac:dyDescent="0.35">
      <c r="A646" s="1" t="s">
        <v>2118</v>
      </c>
      <c r="B646" s="1" t="s">
        <v>376</v>
      </c>
      <c r="C646" s="1" t="s">
        <v>1157</v>
      </c>
      <c r="D646" s="1" t="s">
        <v>2110</v>
      </c>
      <c r="E646" s="1" t="s">
        <v>2003</v>
      </c>
      <c r="F646" s="9" t="s">
        <v>2119</v>
      </c>
      <c r="G646" s="1" t="s">
        <v>38</v>
      </c>
      <c r="H6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6" s="11" t="e">
        <f>ABS(NETWORKDAYS.INTL("06/10/24", "06/11/24", 1, {"01/01/2024","01/15/2024","02/19/2024","05/27/2024","07/04/2024","09/02/2024","10/14/2024","11/11/2024","11/28/2024","12/25/2024","12/25/2024","12/26/2024","12/27/2024","12/28/2024","12/29/2024","12/30/2024","31/25/2024","01/01/2024","01/02/2024","01/03/2024","01/04/2024","01/05/2024"}))</f>
        <v>#VALUE!</v>
      </c>
      <c r="J646">
        <f>0</f>
        <v>0</v>
      </c>
      <c r="K646" s="1"/>
      <c r="L646" s="1">
        <v>1</v>
      </c>
      <c r="M646" s="1" t="e">
        <f>ABS(NETWORKDAYS.INTL("06/17/24", "06/17/24", 1, {"01/01/2024","01/15/2024","02/19/2024","05/27/2024","07/04/2024","09/02/2024","10/14/2024","11/11/2024","11/28/2024","12/25/2024","12/25/2024","12/26/2024","12/27/2024","12/28/2024","12/29/2024","12/30/2024","31/25/2024","01/01/2024","01/02/2024","01/03/2024","01/04/2024","01/05/2024"}))</f>
        <v>#VALUE!</v>
      </c>
      <c r="N646" s="1">
        <f>0</f>
        <v>0</v>
      </c>
      <c r="O646" s="1">
        <f>0</f>
        <v>0</v>
      </c>
      <c r="P646" s="1"/>
      <c r="Q646" s="1">
        <v>0</v>
      </c>
      <c r="R646" s="1">
        <v>0</v>
      </c>
      <c r="S646" s="1">
        <f>0</f>
        <v>0</v>
      </c>
      <c r="T646" s="1">
        <f>0</f>
        <v>0</v>
      </c>
      <c r="U646" s="1"/>
      <c r="V646" s="1">
        <v>1</v>
      </c>
      <c r="W646" s="1">
        <v>1</v>
      </c>
      <c r="X646" s="1" t="e">
        <f>ABS(NETWORKDAYS.INTL("06/17/24", "06/18/24", 1, {"01/01/2024","01/15/2024","02/19/2024","05/27/2024","07/04/2024","09/02/2024","10/14/2024","11/11/2024","11/28/2024","12/25/2024","12/25/2024","12/26/2024","12/27/2024","12/28/2024","12/29/2024","12/30/2024","31/25/2024","01/01/2024","01/02/2024","01/03/2024","01/04/2024","01/05/2024"}))</f>
        <v>#VALUE!</v>
      </c>
      <c r="Y646" s="1">
        <f>0</f>
        <v>0</v>
      </c>
      <c r="Z646" s="1">
        <f>0</f>
        <v>0</v>
      </c>
      <c r="AA646" s="1"/>
      <c r="AB646" s="5">
        <v>45461</v>
      </c>
      <c r="AC646" s="1"/>
      <c r="AD646" s="1" t="e">
        <f>ABS(NETWORKDAYS.INTL("06/17/24", "06/11/24", 1, {"01/01/2024","01/15/2024","02/19/2024","05/27/2024","07/04/2024","09/02/2024","10/14/2024","11/11/2024","11/28/2024","12/25/2024","12/25/2024","12/26/2024","12/27/2024","12/28/2024","12/29/2024","12/30/2024","31/25/2024","01/01/2024","01/02/2024","01/03/2024","01/04/2024","01/05/2024"}))</f>
        <v>#VALUE!</v>
      </c>
      <c r="AE646" s="1">
        <f>0</f>
        <v>0</v>
      </c>
      <c r="AF646" s="1">
        <f>0</f>
        <v>0</v>
      </c>
      <c r="AG646" s="1" t="e">
        <f>ABS(NETWORKDAYS.INTL("06/17/24", "08/05/24", 1, {"01/01/2024","01/15/2024","02/19/2024","05/27/2024","07/04/2024","09/02/2024","10/14/2024","11/11/2024","11/28/2024","12/25/2024","12/25/2024","12/26/2024","12/27/2024","12/28/2024","12/29/2024","12/30/2024","31/25/2024","01/01/2024","01/02/2024","01/03/2024","01/04/2024","01/05/2024"}))</f>
        <v>#VALUE!</v>
      </c>
      <c r="AH646" s="1" t="e">
        <f>ABS(NETWORKDAYS.INTL("06/17/24", "06/17/24", 1, {"01/01/2024","01/15/2024","02/19/2024","05/27/2024","07/04/2024","09/02/2024","10/14/2024","11/11/2024","11/28/2024","12/25/2024","12/25/2024","12/26/2024","12/27/2024","12/28/2024","12/29/2024","12/30/2024","31/25/2024","01/01/2024","01/02/2024","01/03/2024","01/04/2024","01/05/2024"}))</f>
        <v>#VALUE!</v>
      </c>
      <c r="AI646" s="1">
        <f>0</f>
        <v>0</v>
      </c>
      <c r="AJ646" s="1" t="b">
        <v>1</v>
      </c>
      <c r="AK646" s="1"/>
      <c r="AL646" s="1"/>
      <c r="AM646" s="1"/>
      <c r="AN646" s="1"/>
      <c r="AO646" s="1"/>
      <c r="AP646" s="1" t="b">
        <v>1</v>
      </c>
      <c r="AQ646" s="1"/>
      <c r="AR646" s="1"/>
      <c r="AS646" s="1"/>
      <c r="AT646" s="1"/>
      <c r="AU646" s="1"/>
      <c r="AV646" s="1"/>
      <c r="AW646" s="1"/>
      <c r="AX646" s="1"/>
      <c r="AY646" s="1"/>
      <c r="AZ646" s="1" t="b">
        <v>1</v>
      </c>
    </row>
    <row r="647" spans="1:52" ht="15" customHeight="1" x14ac:dyDescent="0.35">
      <c r="A647" s="1" t="s">
        <v>2120</v>
      </c>
      <c r="B647" s="1" t="s">
        <v>377</v>
      </c>
      <c r="C647" s="1" t="s">
        <v>988</v>
      </c>
      <c r="D647" s="1" t="s">
        <v>2121</v>
      </c>
      <c r="E647" s="1" t="s">
        <v>1983</v>
      </c>
      <c r="F647" s="9" t="s">
        <v>2122</v>
      </c>
      <c r="G647" s="1" t="s">
        <v>38</v>
      </c>
      <c r="H6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47" s="11" t="e">
        <f>ABS(NETWORKDAYS.INTL("05/27/2024", "05/31/2024", 1, {"01/01/2024","01/15/2024","02/19/2024","05/27/2024","07/04/2024","09/02/2024","10/14/2024","11/11/2024","11/28/2024","12/25/2024","12/25/2024","12/26/2024","12/27/2024","12/28/2024","12/29/2024","12/30/2024","31/25/2024","01/01/2024","01/02/2024","01/03/2024","01/04/2024","01/05/2024"}))</f>
        <v>#VALUE!</v>
      </c>
      <c r="J647">
        <f>0</f>
        <v>0</v>
      </c>
      <c r="K647" s="1"/>
      <c r="L647" s="1">
        <v>1</v>
      </c>
      <c r="M647" s="1" t="e">
        <f>ABS(NETWORKDAYS.INTL("06/19/2024", "06/19/2024", 1, {"01/01/2024","01/15/2024","02/19/2024","05/27/2024","07/04/2024","09/02/2024","10/14/2024","11/11/2024","11/28/2024","12/25/2024","12/25/2024","12/26/2024","12/27/2024","12/28/2024","12/29/2024","12/30/2024","31/25/2024","01/01/2024","01/02/2024","01/03/2024","01/04/2024","01/05/2024"}))</f>
        <v>#VALUE!</v>
      </c>
      <c r="N647" s="1">
        <f>0</f>
        <v>0</v>
      </c>
      <c r="O647" s="1">
        <f>0</f>
        <v>0</v>
      </c>
      <c r="P647" s="1"/>
      <c r="Q647" s="1">
        <v>0</v>
      </c>
      <c r="R647" s="1">
        <v>0</v>
      </c>
      <c r="S647" s="1">
        <f>0</f>
        <v>0</v>
      </c>
      <c r="T647" s="1">
        <f>0</f>
        <v>0</v>
      </c>
      <c r="U647" s="1"/>
      <c r="V647" s="1">
        <v>2</v>
      </c>
      <c r="W647" s="1">
        <v>1</v>
      </c>
      <c r="X647" s="1" t="e">
        <f>ABS(NETWORKDAYS.INTL("06/19/2024", "06/20/2024", 1, {"01/01/2024","01/15/2024","02/19/2024","05/27/2024","07/04/2024","09/02/2024","10/14/2024","11/11/2024","11/28/2024","12/25/2024","12/25/2024","12/26/2024","12/27/2024","12/28/2024","12/29/2024","12/30/2024","31/25/2024","01/01/2024","01/02/2024","01/03/2024","01/04/2024","01/05/2024"}))</f>
        <v>#VALUE!</v>
      </c>
      <c r="Y647" s="1" t="e">
        <f>ABS(NETWORKDAYS.INTL("07/02/2024", "07/02/2024", 1, {"01/01/2024","01/15/2024","02/19/2024","05/27/2024","07/04/2024","09/02/2024","10/14/2024","11/11/2024","11/28/2024","12/25/2024","12/25/2024","12/26/2024","12/27/2024","12/28/2024","12/29/2024","12/30/2024","31/25/2024","01/01/2024","01/02/2024","01/03/2024","01/04/2024","01/05/2024"}))</f>
        <v>#VALUE!</v>
      </c>
      <c r="Z647" s="1">
        <f>0</f>
        <v>0</v>
      </c>
      <c r="AA647" s="1"/>
      <c r="AB647" s="5">
        <v>45484</v>
      </c>
      <c r="AC647" s="5">
        <v>45504</v>
      </c>
      <c r="AD647" s="1" t="e">
        <f>ABS(NETWORKDAYS.INTL("06/19/2024", "05/31/2024", 1, {"01/01/2024","01/15/2024","02/19/2024","05/27/2024","07/04/2024","09/02/2024","10/14/2024","11/11/2024","11/28/2024","12/25/2024","12/25/2024","12/26/2024","12/27/2024","12/28/2024","12/29/2024","12/30/2024","31/25/2024","01/01/2024","01/02/2024","01/03/2024","01/04/2024","01/05/2024"}))</f>
        <v>#VALUE!</v>
      </c>
      <c r="AE647" s="1">
        <f>0</f>
        <v>0</v>
      </c>
      <c r="AF647" s="1">
        <f>0</f>
        <v>0</v>
      </c>
      <c r="AG647" s="1" t="e">
        <f>ABS(NETWORKDAYS.INTL("06/19/2024", "08/05/24", 1, {"01/01/2024","01/15/2024","02/19/2024","05/27/2024","07/04/2024","09/02/2024","10/14/2024","11/11/2024","11/28/2024","12/25/2024","12/25/2024","12/26/2024","12/27/2024","12/28/2024","12/29/2024","12/30/2024","31/25/2024","01/01/2024","01/02/2024","01/03/2024","01/04/2024","01/05/2024"}))</f>
        <v>#VALUE!</v>
      </c>
      <c r="AH647" s="1" t="e">
        <f>ABS(NETWORKDAYS.INTL("06/19/2024", "06/19/2024", 1, {"01/01/2024","01/15/2024","02/19/2024","05/27/2024","07/04/2024","09/02/2024","10/14/2024","11/11/2024","11/28/2024","12/25/2024","12/25/2024","12/26/2024","12/27/2024","12/28/2024","12/29/2024","12/30/2024","31/25/2024","01/01/2024","01/02/2024","01/03/2024","01/04/2024","01/05/2024"}))</f>
        <v>#VALUE!</v>
      </c>
      <c r="AI647" s="1" t="e">
        <f>ABS(NETWORKDAYS.INTL("07/31/2024", "07/11/2024", 1, {"01/01/2024","01/15/2024","02/19/2024","05/27/2024","07/04/2024","09/02/2024","10/14/2024","11/11/2024","11/28/2024","12/25/2024","12/25/2024","12/26/2024","12/27/2024","12/28/2024","12/29/2024","12/30/2024","31/25/2024","01/01/2024","01/02/2024","01/03/2024","01/04/2024","01/05/2024"}))</f>
        <v>#VALUE!</v>
      </c>
      <c r="AJ647" s="1" t="b">
        <v>1</v>
      </c>
      <c r="AK647" s="1"/>
      <c r="AL647" s="1"/>
      <c r="AM647" s="1"/>
      <c r="AN647" s="1"/>
      <c r="AO647" s="1"/>
      <c r="AP647" s="1" t="b">
        <v>1</v>
      </c>
      <c r="AQ647" s="1"/>
      <c r="AR647" s="1"/>
      <c r="AS647" s="1"/>
      <c r="AT647" s="1"/>
      <c r="AU647" s="1"/>
      <c r="AV647" s="1"/>
      <c r="AW647" s="1"/>
      <c r="AX647" s="1"/>
      <c r="AY647" s="1"/>
      <c r="AZ647" s="1" t="b">
        <v>1</v>
      </c>
    </row>
    <row r="648" spans="1:52" ht="15" customHeight="1" x14ac:dyDescent="0.35">
      <c r="A648" s="1" t="s">
        <v>2123</v>
      </c>
      <c r="B648" s="1" t="s">
        <v>378</v>
      </c>
      <c r="C648" s="1" t="s">
        <v>1157</v>
      </c>
      <c r="D648" s="1" t="s">
        <v>2124</v>
      </c>
      <c r="E648" s="1" t="s">
        <v>1983</v>
      </c>
      <c r="F648" s="9" t="s">
        <v>2125</v>
      </c>
      <c r="G648" s="1" t="s">
        <v>38</v>
      </c>
      <c r="H6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48" s="11" t="e">
        <f>ABS(NETWORKDAYS.INTL("06/10/24", "06/10/24", 1, {"01/01/2024","01/15/2024","02/19/2024","05/27/2024","07/04/2024","09/02/2024","10/14/2024","11/11/2024","11/28/2024","12/25/2024","12/25/2024","12/26/2024","12/27/2024","12/28/2024","12/29/2024","12/30/2024","31/25/2024","01/01/2024","01/02/2024","01/03/2024","01/04/2024","01/05/2024"}))</f>
        <v>#VALUE!</v>
      </c>
      <c r="J648">
        <f>0</f>
        <v>0</v>
      </c>
      <c r="K648" s="1"/>
      <c r="L648" s="1">
        <v>1</v>
      </c>
      <c r="M648" s="1" t="e">
        <f>ABS(NETWORKDAYS.INTL("06/14/24", "06/14/24", 1, {"01/01/2024","01/15/2024","02/19/2024","05/27/2024","07/04/2024","09/02/2024","10/14/2024","11/11/2024","11/28/2024","12/25/2024","12/25/2024","12/26/2024","12/27/2024","12/28/2024","12/29/2024","12/30/2024","31/25/2024","01/01/2024","01/02/2024","01/03/2024","01/04/2024","01/05/2024"}))</f>
        <v>#VALUE!</v>
      </c>
      <c r="N648" s="1">
        <f>0</f>
        <v>0</v>
      </c>
      <c r="O648" s="1">
        <f>0</f>
        <v>0</v>
      </c>
      <c r="P648" s="1"/>
      <c r="Q648" s="1">
        <v>0</v>
      </c>
      <c r="R648" s="1">
        <v>0</v>
      </c>
      <c r="S648" s="1">
        <f>0</f>
        <v>0</v>
      </c>
      <c r="T648" s="1">
        <f>0</f>
        <v>0</v>
      </c>
      <c r="U648" s="1"/>
      <c r="V648" s="1">
        <v>2</v>
      </c>
      <c r="W648" s="1">
        <v>2</v>
      </c>
      <c r="X648" s="1" t="e">
        <f>ABS(NETWORKDAYS.INTL("06/17/24", "06/17/24", 1, {"01/01/2024","01/15/2024","02/19/2024","05/27/2024","07/04/2024","09/02/2024","10/14/2024","11/11/2024","11/28/2024","12/25/2024","12/25/2024","12/26/2024","12/27/2024","12/28/2024","12/29/2024","12/30/2024","31/25/2024","01/01/2024","01/02/2024","01/03/2024","01/04/2024","01/05/2024"})+NETWORKDAYS.INTL("06/18/24", "06/18/24", 1, {"01/01/2024","01/15/2024","02/19/2024","05/27/2024","07/04/2024","09/02/2024","10/14/2024","11/11/2024","11/28/2024","12/25/2024","12/25/2024","12/26/2024","12/27/2024","12/28/2024","12/29/2024","12/30/2024","31/25/2024","01/01/2024","01/02/2024","01/03/2024","01/04/2024","01/05/2024"}))</f>
        <v>#VALUE!</v>
      </c>
      <c r="Y648" s="1" t="e">
        <f>ABS(NETWORKDAYS.INTL("06/17/24", "06/18/24", 1, {"01/01/2024","01/15/2024","02/19/2024","05/27/2024","07/04/2024","09/02/2024","10/14/2024","11/11/2024","11/28/2024","12/25/2024","12/25/2024","12/26/2024","12/27/2024","12/28/2024","12/29/2024","12/30/2024","31/25/2024","01/01/2024","01/02/2024","01/03/2024","01/04/2024","01/05/2024"}))</f>
        <v>#VALUE!</v>
      </c>
      <c r="Z648" s="1">
        <f>0</f>
        <v>0</v>
      </c>
      <c r="AA648" s="1"/>
      <c r="AB648" s="5">
        <v>45470</v>
      </c>
      <c r="AC648" s="1"/>
      <c r="AD648" s="1" t="e">
        <f>ABS(NETWORKDAYS.INTL("06/14/24", "06/10/24", 1, {"01/01/2024","01/15/2024","02/19/2024","05/27/2024","07/04/2024","09/02/2024","10/14/2024","11/11/2024","11/28/2024","12/25/2024","12/25/2024","12/26/2024","12/27/2024","12/28/2024","12/29/2024","12/30/2024","31/25/2024","01/01/2024","01/02/2024","01/03/2024","01/04/2024","01/05/2024"}))</f>
        <v>#VALUE!</v>
      </c>
      <c r="AE648" s="1">
        <f>0</f>
        <v>0</v>
      </c>
      <c r="AF648" s="1">
        <f>0</f>
        <v>0</v>
      </c>
      <c r="AG648" s="1" t="e">
        <f>ABS(NETWORKDAYS.INTL("06/14/24", "08/05/24", 1, {"01/01/2024","01/15/2024","02/19/2024","05/27/2024","07/04/2024","09/02/2024","10/14/2024","11/11/2024","11/28/2024","12/25/2024","12/25/2024","12/26/2024","12/27/2024","12/28/2024","12/29/2024","12/30/2024","31/25/2024","01/01/2024","01/02/2024","01/03/2024","01/04/2024","01/05/2024"}))</f>
        <v>#VALUE!</v>
      </c>
      <c r="AH648" s="1" t="e">
        <f>ABS(NETWORKDAYS.INTL("06/17/24", "06/14/24", 1, {"01/01/2024","01/15/2024","02/19/2024","05/27/2024","07/04/2024","09/02/2024","10/14/2024","11/11/2024","11/28/2024","12/25/2024","12/25/2024","12/26/2024","12/27/2024","12/28/2024","12/29/2024","12/30/2024","31/25/2024","01/01/2024","01/02/2024","01/03/2024","01/04/2024","01/05/2024"}))</f>
        <v>#VALUE!</v>
      </c>
      <c r="AI648" s="1">
        <f>0</f>
        <v>0</v>
      </c>
      <c r="AJ648" s="1" t="b">
        <v>1</v>
      </c>
      <c r="AK648" s="1"/>
      <c r="AL648" s="1"/>
      <c r="AM648" s="1"/>
      <c r="AN648" s="1"/>
      <c r="AO648" s="1"/>
      <c r="AP648" s="1" t="b">
        <v>1</v>
      </c>
      <c r="AQ648" s="1"/>
      <c r="AR648" s="1"/>
      <c r="AS648" s="1"/>
      <c r="AT648" s="1"/>
      <c r="AU648" s="1"/>
      <c r="AV648" s="1"/>
      <c r="AW648" s="1"/>
      <c r="AX648" s="1"/>
      <c r="AY648" s="1"/>
      <c r="AZ648" s="1" t="b">
        <v>1</v>
      </c>
    </row>
    <row r="649" spans="1:52" ht="15" customHeight="1" x14ac:dyDescent="0.35">
      <c r="A649" s="1" t="s">
        <v>2126</v>
      </c>
      <c r="B649" s="1" t="s">
        <v>379</v>
      </c>
      <c r="C649" s="1" t="s">
        <v>1329</v>
      </c>
      <c r="D649" s="1" t="s">
        <v>1554</v>
      </c>
      <c r="E649" s="1" t="s">
        <v>1336</v>
      </c>
      <c r="F649" s="9" t="s">
        <v>2127</v>
      </c>
      <c r="G649" s="1" t="s">
        <v>38</v>
      </c>
      <c r="H6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49" s="11" t="e">
        <f>ABS(NETWORKDAYS.INTL("06/05/24", "06/12/24", 1, {"01/01/2024","01/15/2024","02/19/2024","05/27/2024","07/04/2024","09/02/2024","10/14/2024","11/11/2024","11/28/2024","12/25/2024","12/25/2024","12/26/2024","12/27/2024","12/28/2024","12/29/2024","12/30/2024","31/25/2024","01/01/2024","01/02/2024","01/03/2024","01/04/2024","01/05/2024"}))</f>
        <v>#VALUE!</v>
      </c>
      <c r="J649">
        <f>0</f>
        <v>0</v>
      </c>
      <c r="K649" s="1"/>
      <c r="L649" s="1">
        <v>0</v>
      </c>
      <c r="M649" s="1">
        <f>0</f>
        <v>0</v>
      </c>
      <c r="N649" s="1">
        <f>0</f>
        <v>0</v>
      </c>
      <c r="O649" s="1">
        <f>0</f>
        <v>0</v>
      </c>
      <c r="P649" s="1"/>
      <c r="Q649" s="1">
        <v>0</v>
      </c>
      <c r="R649" s="1">
        <v>0</v>
      </c>
      <c r="S649" s="1">
        <f>0</f>
        <v>0</v>
      </c>
      <c r="T649" s="1">
        <f>0</f>
        <v>0</v>
      </c>
      <c r="U649" s="1"/>
      <c r="V649" s="1">
        <v>0</v>
      </c>
      <c r="W649" s="1">
        <v>0</v>
      </c>
      <c r="X649" s="1">
        <f>0</f>
        <v>0</v>
      </c>
      <c r="Y649" s="1">
        <f>0</f>
        <v>0</v>
      </c>
      <c r="Z649" s="1">
        <f>0</f>
        <v>0</v>
      </c>
      <c r="AA649" s="1"/>
      <c r="AB649" s="5"/>
      <c r="AC649" s="1"/>
      <c r="AD649" s="1">
        <f>0</f>
        <v>0</v>
      </c>
      <c r="AE649" s="1">
        <f>0</f>
        <v>0</v>
      </c>
      <c r="AF649" s="1">
        <f>0</f>
        <v>0</v>
      </c>
      <c r="AG649" s="1">
        <f>0</f>
        <v>0</v>
      </c>
      <c r="AH649" s="1">
        <f>0</f>
        <v>0</v>
      </c>
      <c r="AI649" s="1">
        <f>0</f>
        <v>0</v>
      </c>
      <c r="AJ649" s="1" t="b">
        <v>1</v>
      </c>
      <c r="AK649" s="1"/>
      <c r="AL649" s="1"/>
      <c r="AM649" s="1"/>
      <c r="AN649" s="1"/>
      <c r="AO649" s="1"/>
      <c r="AP649" s="1" t="b">
        <v>1</v>
      </c>
      <c r="AQ649" s="1"/>
      <c r="AR649" s="1"/>
      <c r="AS649" s="1"/>
      <c r="AT649" s="1"/>
      <c r="AU649" s="1"/>
      <c r="AV649" s="1"/>
      <c r="AW649" s="1"/>
      <c r="AX649" s="1"/>
      <c r="AY649" s="1" t="b">
        <v>1</v>
      </c>
      <c r="AZ649" s="1"/>
    </row>
    <row r="650" spans="1:52" ht="15" customHeight="1" x14ac:dyDescent="0.35">
      <c r="A650" s="1" t="s">
        <v>2128</v>
      </c>
      <c r="B650" s="1" t="s">
        <v>380</v>
      </c>
      <c r="C650" s="1" t="s">
        <v>1329</v>
      </c>
      <c r="D650" s="1" t="s">
        <v>2129</v>
      </c>
      <c r="E650" s="1" t="s">
        <v>1336</v>
      </c>
      <c r="F650" s="9" t="s">
        <v>2130</v>
      </c>
      <c r="G650" s="1" t="s">
        <v>38</v>
      </c>
      <c r="H6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0" s="11" t="e">
        <f>ABS(NETWORKDAYS.INTL("05/28/24", "06/19/24", 1, {"01/01/2024","01/15/2024","02/19/2024","05/27/2024","07/04/2024","09/02/2024","10/14/2024","11/11/2024","11/28/2024","12/25/2024","12/25/2024","12/26/2024","12/27/2024","12/28/2024","12/29/2024","12/30/2024","31/25/2024","01/01/2024","01/02/2024","01/03/2024","01/04/2024","01/05/2024"}))</f>
        <v>#VALUE!</v>
      </c>
      <c r="J650">
        <f>0</f>
        <v>0</v>
      </c>
      <c r="K650" s="1"/>
      <c r="L650" s="1">
        <v>0</v>
      </c>
      <c r="M650" s="1">
        <f>0</f>
        <v>0</v>
      </c>
      <c r="N650" s="1">
        <f>0</f>
        <v>0</v>
      </c>
      <c r="O650" s="1">
        <f>0</f>
        <v>0</v>
      </c>
      <c r="P650" s="1"/>
      <c r="Q650" s="1">
        <v>0</v>
      </c>
      <c r="R650" s="1">
        <v>0</v>
      </c>
      <c r="S650" s="1">
        <f>0</f>
        <v>0</v>
      </c>
      <c r="T650" s="1">
        <f>0</f>
        <v>0</v>
      </c>
      <c r="U650" s="1"/>
      <c r="V650" s="1">
        <v>0</v>
      </c>
      <c r="W650" s="1">
        <v>0</v>
      </c>
      <c r="X650" s="1">
        <f>0</f>
        <v>0</v>
      </c>
      <c r="Y650" s="1">
        <f>0</f>
        <v>0</v>
      </c>
      <c r="Z650" s="1">
        <f>0</f>
        <v>0</v>
      </c>
      <c r="AA650" s="1"/>
      <c r="AB650" s="5"/>
      <c r="AC650" s="1"/>
      <c r="AD650" s="1">
        <f>0</f>
        <v>0</v>
      </c>
      <c r="AE650" s="1">
        <f>0</f>
        <v>0</v>
      </c>
      <c r="AF650" s="1">
        <f>0</f>
        <v>0</v>
      </c>
      <c r="AG650" s="1">
        <f>0</f>
        <v>0</v>
      </c>
      <c r="AH650" s="1">
        <f>0</f>
        <v>0</v>
      </c>
      <c r="AI650" s="1">
        <f>0</f>
        <v>0</v>
      </c>
      <c r="AJ650" s="1" t="b">
        <v>1</v>
      </c>
      <c r="AK650" s="1"/>
      <c r="AL650" s="1"/>
      <c r="AM650" s="1"/>
      <c r="AN650" s="1"/>
      <c r="AO650" s="1"/>
      <c r="AP650" s="1" t="b">
        <v>1</v>
      </c>
      <c r="AQ650" s="1"/>
      <c r="AR650" s="1"/>
      <c r="AS650" s="1"/>
      <c r="AT650" s="1"/>
      <c r="AU650" s="1"/>
      <c r="AV650" s="1"/>
      <c r="AW650" s="1"/>
      <c r="AX650" s="1"/>
      <c r="AY650" s="1" t="b">
        <v>1</v>
      </c>
      <c r="AZ650" s="1"/>
    </row>
    <row r="651" spans="1:52" ht="15" customHeight="1" x14ac:dyDescent="0.35">
      <c r="A651" s="1" t="s">
        <v>2131</v>
      </c>
      <c r="B651" s="1" t="s">
        <v>381</v>
      </c>
      <c r="C651" s="1" t="s">
        <v>1329</v>
      </c>
      <c r="D651" s="1" t="s">
        <v>1680</v>
      </c>
      <c r="E651" s="1" t="s">
        <v>1336</v>
      </c>
      <c r="F651" s="9" t="s">
        <v>2132</v>
      </c>
      <c r="G651" s="1" t="s">
        <v>38</v>
      </c>
      <c r="H6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1" s="11" t="e">
        <f>ABS(NETWORKDAYS.INTL("05/24/24", "06/03/24", 1, {"01/01/2024","01/15/2024","02/19/2024","05/27/2024","07/04/2024","09/02/2024","10/14/2024","11/11/2024","11/28/2024","12/25/2024","12/25/2024","12/26/2024","12/27/2024","12/28/2024","12/29/2024","12/30/2024","31/25/2024","01/01/2024","01/02/2024","01/03/2024","01/04/2024","01/05/2024"}))</f>
        <v>#VALUE!</v>
      </c>
      <c r="J651">
        <f>0</f>
        <v>0</v>
      </c>
      <c r="K651" s="1"/>
      <c r="L651" s="1">
        <v>0</v>
      </c>
      <c r="M651" s="1">
        <f>0</f>
        <v>0</v>
      </c>
      <c r="N651" s="1">
        <f>0</f>
        <v>0</v>
      </c>
      <c r="O651" s="1">
        <f>0</f>
        <v>0</v>
      </c>
      <c r="P651" s="1"/>
      <c r="Q651" s="1">
        <v>0</v>
      </c>
      <c r="R651" s="1">
        <v>0</v>
      </c>
      <c r="S651" s="1">
        <f>0</f>
        <v>0</v>
      </c>
      <c r="T651" s="1">
        <f>0</f>
        <v>0</v>
      </c>
      <c r="U651" s="1"/>
      <c r="V651" s="1">
        <v>0</v>
      </c>
      <c r="W651" s="1">
        <v>0</v>
      </c>
      <c r="X651" s="1">
        <f>0</f>
        <v>0</v>
      </c>
      <c r="Y651" s="1">
        <f>0</f>
        <v>0</v>
      </c>
      <c r="Z651" s="1">
        <f>0</f>
        <v>0</v>
      </c>
      <c r="AA651" s="1"/>
      <c r="AB651" s="5"/>
      <c r="AC651" s="1"/>
      <c r="AD651" s="1">
        <f>0</f>
        <v>0</v>
      </c>
      <c r="AE651" s="1">
        <f>0</f>
        <v>0</v>
      </c>
      <c r="AF651" s="1">
        <f>0</f>
        <v>0</v>
      </c>
      <c r="AG651" s="1">
        <f>0</f>
        <v>0</v>
      </c>
      <c r="AH651" s="1">
        <f>0</f>
        <v>0</v>
      </c>
      <c r="AI651" s="1">
        <f>0</f>
        <v>0</v>
      </c>
      <c r="AJ651" s="1" t="b">
        <v>1</v>
      </c>
      <c r="AK651" s="1"/>
      <c r="AL651" s="1"/>
      <c r="AM651" s="1"/>
      <c r="AN651" s="1"/>
      <c r="AO651" s="1"/>
      <c r="AP651" s="1" t="b">
        <v>1</v>
      </c>
      <c r="AQ651" s="1"/>
      <c r="AR651" s="1"/>
      <c r="AS651" s="1"/>
      <c r="AT651" s="1"/>
      <c r="AU651" s="1"/>
      <c r="AV651" s="1"/>
      <c r="AW651" s="1"/>
      <c r="AX651" s="1"/>
      <c r="AY651" s="1" t="b">
        <v>1</v>
      </c>
      <c r="AZ651" s="1"/>
    </row>
    <row r="652" spans="1:52" ht="15" customHeight="1" x14ac:dyDescent="0.35">
      <c r="A652" s="1" t="s">
        <v>2133</v>
      </c>
      <c r="B652" s="1" t="s">
        <v>382</v>
      </c>
      <c r="C652" s="1" t="s">
        <v>988</v>
      </c>
      <c r="D652" s="1" t="s">
        <v>2134</v>
      </c>
      <c r="E652" s="1" t="s">
        <v>1336</v>
      </c>
      <c r="F652" s="9" t="s">
        <v>2135</v>
      </c>
      <c r="G652" s="1" t="s">
        <v>38</v>
      </c>
      <c r="H6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52" s="11" t="e">
        <f>ABS(NETWORKDAYS.INTL("04/18/2024", "05/21/2024", 1, {"01/01/2024","01/15/2024","02/19/2024","05/27/2024","07/04/2024","09/02/2024","10/14/2024","11/11/2024","11/28/2024","12/25/2024","12/25/2024","12/26/2024","12/27/2024","12/28/2024","12/29/2024","12/30/2024","31/25/2024","01/01/2024","01/02/2024","01/03/2024","01/04/2024","01/05/2024"}))</f>
        <v>#VALUE!</v>
      </c>
      <c r="J652">
        <f>0</f>
        <v>0</v>
      </c>
      <c r="K652" s="1"/>
      <c r="L652" s="1">
        <v>1</v>
      </c>
      <c r="M652" s="1" t="e">
        <f>ABS(NETWORKDAYS.INTL("05/29/2024", "05/29/2024", 1, {"01/01/2024","01/15/2024","02/19/2024","05/27/2024","07/04/2024","09/02/2024","10/14/2024","11/11/2024","11/28/2024","12/25/2024","12/25/2024","12/26/2024","12/27/2024","12/28/2024","12/29/2024","12/30/2024","31/25/2024","01/01/2024","01/02/2024","01/03/2024","01/04/2024","01/05/2024"}))</f>
        <v>#VALUE!</v>
      </c>
      <c r="N652" s="1">
        <f>0</f>
        <v>0</v>
      </c>
      <c r="O652" s="1">
        <f>0</f>
        <v>0</v>
      </c>
      <c r="P652" s="1"/>
      <c r="Q652" s="1">
        <v>1</v>
      </c>
      <c r="R652" s="1">
        <v>1</v>
      </c>
      <c r="S652" s="1" t="e">
        <f>ABS(NETWORKDAYS.INTL("05/30/2024", "05/30/2024", 1, {"01/01/2024","01/15/2024","02/19/2024","05/27/2024","07/04/2024","09/02/2024","10/14/2024","11/11/2024","11/28/2024","12/25/2024","12/25/2024","12/26/2024","12/27/2024","12/28/2024","12/29/2024","12/30/2024","31/25/2024","01/01/2024","01/02/2024","01/03/2024","01/04/2024","01/05/2024"}))</f>
        <v>#VALUE!</v>
      </c>
      <c r="T652" s="1">
        <f>0</f>
        <v>0</v>
      </c>
      <c r="U652" s="1"/>
      <c r="V652" s="1">
        <v>2</v>
      </c>
      <c r="W652" s="1">
        <v>2</v>
      </c>
      <c r="X652" s="1" t="e">
        <f>ABS(NETWORKDAYS.INTL("06/06/2024", "06/11/2024", 1, {"01/01/2024","01/15/2024","02/19/2024","05/27/2024","07/04/2024","09/02/2024","10/14/2024","11/11/2024","11/28/2024","12/25/2024","12/25/2024","12/26/2024","12/27/2024","12/28/2024","12/29/2024","12/30/2024","31/25/2024","01/01/2024","01/02/2024","01/03/2024","01/04/2024","01/05/2024"})+NETWORKDAYS.INTL("06/14/2024", "06/14/2024", 1, {"01/01/2024","01/15/2024","02/19/2024","05/27/2024","07/04/2024","09/02/2024","10/14/2024","11/11/2024","11/28/2024","12/25/2024","12/25/2024","12/26/2024","12/27/2024","12/28/2024","12/29/2024","12/30/2024","31/25/2024","01/01/2024","01/02/2024","01/03/2024","01/04/2024","01/05/2024"}))</f>
        <v>#VALUE!</v>
      </c>
      <c r="Y652" s="1" t="e">
        <f>ABS(NETWORKDAYS.INTL("06/13/2024", "06/13/2024", 1, {"01/01/2024","01/15/2024","02/19/2024","05/27/2024","07/04/2024","09/02/2024","10/14/2024","11/11/2024","11/28/2024","12/25/2024","12/25/2024","12/26/2024","12/27/2024","12/28/2024","12/29/2024","12/30/2024","31/25/2024","01/01/2024","01/02/2024","01/03/2024","01/04/2024","01/05/2024"}))</f>
        <v>#VALUE!</v>
      </c>
      <c r="Z652" s="1">
        <f>0</f>
        <v>0</v>
      </c>
      <c r="AA652" s="1"/>
      <c r="AB652" s="5">
        <v>45485</v>
      </c>
      <c r="AC652" s="1"/>
      <c r="AD652" s="1" t="e">
        <f>ABS(NETWORKDAYS.INTL("05/29/2024", "05/21/2024", 1, {"01/01/2024","01/15/2024","02/19/2024","05/27/2024","07/04/2024","09/02/2024","10/14/2024","11/11/2024","11/28/2024","12/25/2024","12/25/2024","12/26/2024","12/27/2024","12/28/2024","12/29/2024","12/30/2024","31/25/2024","01/01/2024","01/02/2024","01/03/2024","01/04/2024","01/05/2024"}))</f>
        <v>#VALUE!</v>
      </c>
      <c r="AE652" s="1">
        <f>0</f>
        <v>0</v>
      </c>
      <c r="AF652" s="1" t="e">
        <f>ABS(NETWORKDAYS.INTL("05/30/2024", "05/29/2024", 1, {"01/01/2024","01/15/2024","02/19/2024","05/27/2024","07/04/2024","09/02/2024","10/14/2024","11/11/2024","11/28/2024","12/25/2024","12/25/2024","12/26/2024","12/27/2024","12/28/2024","12/29/2024","12/30/2024","31/25/2024","01/01/2024","01/02/2024","01/03/2024","01/04/2024","01/05/2024"}))</f>
        <v>#VALUE!</v>
      </c>
      <c r="AG652" s="1" t="e">
        <f>ABS(NETWORKDAYS.INTL("06/06/2024", "05/30/2024", 1, {"01/01/2024","01/15/2024","02/19/2024","05/27/2024","07/04/2024","09/02/2024","10/14/2024","11/11/2024","11/28/2024","12/25/2024","12/25/2024","12/26/2024","12/27/2024","12/28/2024","12/29/2024","12/30/2024","31/25/2024","01/01/2024","01/02/2024","01/03/2024","01/04/2024","01/05/2024"}))</f>
        <v>#VALUE!</v>
      </c>
      <c r="AH652" s="1" t="e">
        <f>ABS(NETWORKDAYS.INTL("06/06/2024", "06/06/2024", 1, {"01/01/2024","01/15/2024","02/19/2024","05/27/2024","07/04/2024","09/02/2024","10/14/2024","11/11/2024","11/28/2024","12/25/2024","12/25/2024","12/26/2024","12/27/2024","12/28/2024","12/29/2024","12/30/2024","31/25/2024","01/01/2024","01/02/2024","01/03/2024","01/04/2024","01/05/2024"}))</f>
        <v>#VALUE!</v>
      </c>
      <c r="AI652" s="1">
        <f>0</f>
        <v>0</v>
      </c>
      <c r="AJ652" s="1" t="b">
        <v>1</v>
      </c>
      <c r="AK652" s="1"/>
      <c r="AL652" s="1"/>
      <c r="AM652" s="1"/>
      <c r="AN652" s="1"/>
      <c r="AO652" s="1"/>
      <c r="AP652" s="1" t="b">
        <v>1</v>
      </c>
      <c r="AQ652" s="1"/>
      <c r="AR652" s="1"/>
      <c r="AS652" s="1"/>
      <c r="AT652" s="1"/>
      <c r="AU652" s="1"/>
      <c r="AV652" s="1"/>
      <c r="AW652" s="1"/>
      <c r="AX652" s="1"/>
      <c r="AY652" s="1" t="b">
        <v>1</v>
      </c>
      <c r="AZ652" s="1"/>
    </row>
    <row r="653" spans="1:52" ht="15" customHeight="1" x14ac:dyDescent="0.35">
      <c r="A653" s="1" t="s">
        <v>2136</v>
      </c>
      <c r="B653" s="1" t="s">
        <v>383</v>
      </c>
      <c r="C653" s="1" t="s">
        <v>1329</v>
      </c>
      <c r="D653" s="1" t="s">
        <v>2129</v>
      </c>
      <c r="E653" s="1" t="s">
        <v>1336</v>
      </c>
      <c r="F653" s="9" t="s">
        <v>2137</v>
      </c>
      <c r="G653" s="1" t="s">
        <v>38</v>
      </c>
      <c r="H6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3" s="11" t="e">
        <f>ABS(NETWORKDAYS.INTL("05/24/2024", "06/13/2024", 1, {"01/01/2024","01/15/2024","02/19/2024","05/27/2024","07/04/2024","09/02/2024","10/14/2024","11/11/2024","11/28/2024","12/25/2024","12/25/2024","12/26/2024","12/27/2024","12/28/2024","12/29/2024","12/30/2024","31/25/2024","01/01/2024","01/02/2024","01/03/2024","01/04/2024","01/05/2024"}))</f>
        <v>#VALUE!</v>
      </c>
      <c r="J653">
        <f>0</f>
        <v>0</v>
      </c>
      <c r="K653" s="1"/>
      <c r="L653" s="1">
        <v>0</v>
      </c>
      <c r="M653" s="1">
        <f>0</f>
        <v>0</v>
      </c>
      <c r="N653" s="1">
        <f>0</f>
        <v>0</v>
      </c>
      <c r="O653" s="1">
        <f>0</f>
        <v>0</v>
      </c>
      <c r="P653" s="1"/>
      <c r="Q653" s="1">
        <v>0</v>
      </c>
      <c r="R653" s="1">
        <v>0</v>
      </c>
      <c r="S653" s="1">
        <f>0</f>
        <v>0</v>
      </c>
      <c r="T653" s="1">
        <f>0</f>
        <v>0</v>
      </c>
      <c r="U653" s="1"/>
      <c r="V653" s="1">
        <v>0</v>
      </c>
      <c r="W653" s="1">
        <v>0</v>
      </c>
      <c r="X653" s="1">
        <f>0</f>
        <v>0</v>
      </c>
      <c r="Y653" s="1">
        <f>0</f>
        <v>0</v>
      </c>
      <c r="Z653" s="1">
        <f>0</f>
        <v>0</v>
      </c>
      <c r="AA653" s="1"/>
      <c r="AB653" s="5"/>
      <c r="AC653" s="1"/>
      <c r="AD653" s="1">
        <f>0</f>
        <v>0</v>
      </c>
      <c r="AE653" s="1">
        <f>0</f>
        <v>0</v>
      </c>
      <c r="AF653" s="1">
        <f>0</f>
        <v>0</v>
      </c>
      <c r="AG653" s="1">
        <f>0</f>
        <v>0</v>
      </c>
      <c r="AH653" s="1">
        <f>0</f>
        <v>0</v>
      </c>
      <c r="AI653" s="1">
        <f>0</f>
        <v>0</v>
      </c>
      <c r="AJ653" s="1" t="b">
        <v>1</v>
      </c>
      <c r="AK653" s="1"/>
      <c r="AL653" s="1"/>
      <c r="AM653" s="1"/>
      <c r="AN653" s="1"/>
      <c r="AO653" s="1"/>
      <c r="AP653" s="1" t="b">
        <v>1</v>
      </c>
      <c r="AQ653" s="1"/>
      <c r="AR653" s="1"/>
      <c r="AS653" s="1"/>
      <c r="AT653" s="1"/>
      <c r="AU653" s="1"/>
      <c r="AV653" s="1"/>
      <c r="AW653" s="1"/>
      <c r="AX653" s="1"/>
      <c r="AY653" s="1" t="b">
        <v>1</v>
      </c>
      <c r="AZ653" s="1"/>
    </row>
    <row r="654" spans="1:52" ht="15" customHeight="1" x14ac:dyDescent="0.35">
      <c r="A654" s="1" t="s">
        <v>2138</v>
      </c>
      <c r="B654" s="1" t="s">
        <v>384</v>
      </c>
      <c r="C654" s="1" t="s">
        <v>1329</v>
      </c>
      <c r="D654" s="1" t="s">
        <v>1554</v>
      </c>
      <c r="E654" s="1" t="s">
        <v>1336</v>
      </c>
      <c r="F654" s="9" t="s">
        <v>2139</v>
      </c>
      <c r="G654" s="1" t="s">
        <v>38</v>
      </c>
      <c r="H6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4" s="11" t="e">
        <f>ABS(NETWORKDAYS.INTL("06/05/24", "06/10/24", 1, {"01/01/2024","01/15/2024","02/19/2024","05/27/2024","07/04/2024","09/02/2024","10/14/2024","11/11/2024","11/28/2024","12/25/2024","12/25/2024","12/26/2024","12/27/2024","12/28/2024","12/29/2024","12/30/2024","31/25/2024","01/01/2024","01/02/2024","01/03/2024","01/04/2024","01/05/2024"}))</f>
        <v>#VALUE!</v>
      </c>
      <c r="J654">
        <f>0</f>
        <v>0</v>
      </c>
      <c r="K654" s="1"/>
      <c r="L654" s="1">
        <v>0</v>
      </c>
      <c r="M654" s="1">
        <f>0</f>
        <v>0</v>
      </c>
      <c r="N654" s="1">
        <f>0</f>
        <v>0</v>
      </c>
      <c r="O654" s="1">
        <f>0</f>
        <v>0</v>
      </c>
      <c r="P654" s="1"/>
      <c r="Q654" s="1">
        <v>0</v>
      </c>
      <c r="R654" s="1">
        <v>0</v>
      </c>
      <c r="S654" s="1">
        <f>0</f>
        <v>0</v>
      </c>
      <c r="T654" s="1">
        <f>0</f>
        <v>0</v>
      </c>
      <c r="U654" s="1"/>
      <c r="V654" s="1">
        <v>0</v>
      </c>
      <c r="W654" s="1">
        <v>0</v>
      </c>
      <c r="X654" s="1">
        <f>0</f>
        <v>0</v>
      </c>
      <c r="Y654" s="1">
        <f>0</f>
        <v>0</v>
      </c>
      <c r="Z654" s="1">
        <f>0</f>
        <v>0</v>
      </c>
      <c r="AA654" s="1"/>
      <c r="AB654" s="5"/>
      <c r="AC654" s="1"/>
      <c r="AD654" s="1">
        <f>0</f>
        <v>0</v>
      </c>
      <c r="AE654" s="1">
        <f>0</f>
        <v>0</v>
      </c>
      <c r="AF654" s="1">
        <f>0</f>
        <v>0</v>
      </c>
      <c r="AG654" s="1">
        <f>0</f>
        <v>0</v>
      </c>
      <c r="AH654" s="1">
        <f>0</f>
        <v>0</v>
      </c>
      <c r="AI654" s="1">
        <f>0</f>
        <v>0</v>
      </c>
      <c r="AJ654" s="1" t="b">
        <v>1</v>
      </c>
      <c r="AK654" s="1"/>
      <c r="AL654" s="1"/>
      <c r="AM654" s="1"/>
      <c r="AN654" s="1"/>
      <c r="AO654" s="1"/>
      <c r="AP654" s="1" t="b">
        <v>1</v>
      </c>
      <c r="AQ654" s="1"/>
      <c r="AR654" s="1"/>
      <c r="AS654" s="1"/>
      <c r="AT654" s="1"/>
      <c r="AU654" s="1"/>
      <c r="AV654" s="1"/>
      <c r="AW654" s="1"/>
      <c r="AX654" s="1"/>
      <c r="AY654" s="1" t="b">
        <v>1</v>
      </c>
      <c r="AZ654" s="1"/>
    </row>
    <row r="655" spans="1:52" ht="15" customHeight="1" x14ac:dyDescent="0.35">
      <c r="A655" s="1" t="s">
        <v>2140</v>
      </c>
      <c r="B655" s="1" t="s">
        <v>385</v>
      </c>
      <c r="C655" s="1" t="s">
        <v>1157</v>
      </c>
      <c r="D655" s="1" t="s">
        <v>2124</v>
      </c>
      <c r="E655" s="1" t="s">
        <v>1983</v>
      </c>
      <c r="F655" s="9" t="s">
        <v>2141</v>
      </c>
      <c r="G655" s="1" t="s">
        <v>38</v>
      </c>
      <c r="H6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5" s="11" t="e">
        <f>ABS(NETWORKDAYS.INTL("06/10/24", "06/10/24", 1, {"01/01/2024","01/15/2024","02/19/2024","05/27/2024","07/04/2024","09/02/2024","10/14/2024","11/11/2024","11/28/2024","12/25/2024","12/25/2024","12/26/2024","12/27/2024","12/28/2024","12/29/2024","12/30/2024","31/25/2024","01/01/2024","01/02/2024","01/03/2024","01/04/2024","01/05/2024"}))</f>
        <v>#VALUE!</v>
      </c>
      <c r="J655">
        <f>0</f>
        <v>0</v>
      </c>
      <c r="K655" s="1"/>
      <c r="L655" s="1">
        <v>1</v>
      </c>
      <c r="M655" s="1" t="e">
        <f>ABS(NETWORKDAYS.INTL("06/14/24", "06/14/24", 1, {"01/01/2024","01/15/2024","02/19/2024","05/27/2024","07/04/2024","09/02/2024","10/14/2024","11/11/2024","11/28/2024","12/25/2024","12/25/2024","12/26/2024","12/27/2024","12/28/2024","12/29/2024","12/30/2024","31/25/2024","01/01/2024","01/02/2024","01/03/2024","01/04/2024","01/05/2024"}))</f>
        <v>#VALUE!</v>
      </c>
      <c r="N655" s="1">
        <f>0</f>
        <v>0</v>
      </c>
      <c r="O655" s="1">
        <f>0</f>
        <v>0</v>
      </c>
      <c r="P655" s="1"/>
      <c r="Q655" s="1">
        <v>0</v>
      </c>
      <c r="R655" s="1">
        <v>0</v>
      </c>
      <c r="S655" s="1">
        <f>0</f>
        <v>0</v>
      </c>
      <c r="T655" s="1">
        <f>0</f>
        <v>0</v>
      </c>
      <c r="U655" s="1"/>
      <c r="V655" s="1">
        <v>1</v>
      </c>
      <c r="W655" s="1">
        <v>1</v>
      </c>
      <c r="X655" s="1" t="e">
        <f>ABS(NETWORKDAYS.INTL("06/14/24", "06/19/24", 1, {"01/01/2024","01/15/2024","02/19/2024","05/27/2024","07/04/2024","09/02/2024","10/14/2024","11/11/2024","11/28/2024","12/25/2024","12/25/2024","12/26/2024","12/27/2024","12/28/2024","12/29/2024","12/30/2024","31/25/2024","01/01/2024","01/02/2024","01/03/2024","01/04/2024","01/05/2024"}))</f>
        <v>#VALUE!</v>
      </c>
      <c r="Y655" s="1">
        <f>0</f>
        <v>0</v>
      </c>
      <c r="Z655" s="1">
        <f>0</f>
        <v>0</v>
      </c>
      <c r="AA655" s="1"/>
      <c r="AB655" s="5">
        <v>45467</v>
      </c>
      <c r="AC655" s="1"/>
      <c r="AD655" s="1" t="e">
        <f>ABS(NETWORKDAYS.INTL("06/14/24", "06/10/24", 1, {"01/01/2024","01/15/2024","02/19/2024","05/27/2024","07/04/2024","09/02/2024","10/14/2024","11/11/2024","11/28/2024","12/25/2024","12/25/2024","12/26/2024","12/27/2024","12/28/2024","12/29/2024","12/30/2024","31/25/2024","01/01/2024","01/02/2024","01/03/2024","01/04/2024","01/05/2024"}))</f>
        <v>#VALUE!</v>
      </c>
      <c r="AE655" s="1">
        <f>0</f>
        <v>0</v>
      </c>
      <c r="AF655" s="1">
        <f>0</f>
        <v>0</v>
      </c>
      <c r="AG655" s="1" t="e">
        <f>ABS(NETWORKDAYS.INTL("06/14/24", "08/05/24", 1, {"01/01/2024","01/15/2024","02/19/2024","05/27/2024","07/04/2024","09/02/2024","10/14/2024","11/11/2024","11/28/2024","12/25/2024","12/25/2024","12/26/2024","12/27/2024","12/28/2024","12/29/2024","12/30/2024","31/25/2024","01/01/2024","01/02/2024","01/03/2024","01/04/2024","01/05/2024"}))</f>
        <v>#VALUE!</v>
      </c>
      <c r="AH655" s="1" t="e">
        <f>ABS(NETWORKDAYS.INTL("06/14/24", "06/14/24", 1, {"01/01/2024","01/15/2024","02/19/2024","05/27/2024","07/04/2024","09/02/2024","10/14/2024","11/11/2024","11/28/2024","12/25/2024","12/25/2024","12/26/2024","12/27/2024","12/28/2024","12/29/2024","12/30/2024","31/25/2024","01/01/2024","01/02/2024","01/03/2024","01/04/2024","01/05/2024"}))</f>
        <v>#VALUE!</v>
      </c>
      <c r="AI655" s="1">
        <f>0</f>
        <v>0</v>
      </c>
      <c r="AJ655" s="1" t="b">
        <v>1</v>
      </c>
      <c r="AK655" s="1"/>
      <c r="AL655" s="1"/>
      <c r="AM655" s="1"/>
      <c r="AN655" s="1"/>
      <c r="AO655" s="1"/>
      <c r="AP655" s="1" t="b">
        <v>1</v>
      </c>
      <c r="AQ655" s="1"/>
      <c r="AR655" s="1"/>
      <c r="AS655" s="1"/>
      <c r="AT655" s="1"/>
      <c r="AU655" s="1"/>
      <c r="AV655" s="1"/>
      <c r="AW655" s="1"/>
      <c r="AX655" s="1"/>
      <c r="AY655" s="1"/>
      <c r="AZ655" s="1" t="b">
        <v>1</v>
      </c>
    </row>
    <row r="656" spans="1:52" ht="15" customHeight="1" x14ac:dyDescent="0.35">
      <c r="A656" s="1" t="s">
        <v>2142</v>
      </c>
      <c r="B656" s="1" t="s">
        <v>386</v>
      </c>
      <c r="C656" s="1" t="s">
        <v>1329</v>
      </c>
      <c r="D656" s="1" t="s">
        <v>1347</v>
      </c>
      <c r="E656" s="1" t="s">
        <v>1336</v>
      </c>
      <c r="F656" s="9" t="s">
        <v>2143</v>
      </c>
      <c r="G656" s="1" t="s">
        <v>38</v>
      </c>
      <c r="H6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56" s="11" t="e">
        <f>ABS(NETWORKDAYS.INTL("05/24/24", "06/03/24", 1, {"01/01/2024","01/15/2024","02/19/2024","05/27/2024","07/04/2024","09/02/2024","10/14/2024","11/11/2024","11/28/2024","12/25/2024","12/25/2024","12/26/2024","12/27/2024","12/28/2024","12/29/2024","12/30/2024","31/25/2024","01/01/2024","01/02/2024","01/03/2024","01/04/2024","01/05/2024"}))</f>
        <v>#VALUE!</v>
      </c>
      <c r="J656">
        <f>0</f>
        <v>0</v>
      </c>
      <c r="K656" s="1"/>
      <c r="L656" s="1">
        <v>0</v>
      </c>
      <c r="M656" s="1">
        <f>0</f>
        <v>0</v>
      </c>
      <c r="N656" s="1">
        <f>0</f>
        <v>0</v>
      </c>
      <c r="O656" s="1">
        <f>0</f>
        <v>0</v>
      </c>
      <c r="P656" s="1"/>
      <c r="Q656" s="1">
        <v>0</v>
      </c>
      <c r="R656" s="1">
        <v>0</v>
      </c>
      <c r="S656" s="1">
        <f>0</f>
        <v>0</v>
      </c>
      <c r="T656" s="1">
        <f>0</f>
        <v>0</v>
      </c>
      <c r="U656" s="1"/>
      <c r="V656" s="1">
        <v>0</v>
      </c>
      <c r="W656" s="1">
        <v>0</v>
      </c>
      <c r="X656" s="1">
        <f>0</f>
        <v>0</v>
      </c>
      <c r="Y656" s="1">
        <f>0</f>
        <v>0</v>
      </c>
      <c r="Z656" s="1">
        <f>0</f>
        <v>0</v>
      </c>
      <c r="AA656" s="1"/>
      <c r="AB656" s="5"/>
      <c r="AC656" s="1"/>
      <c r="AD656" s="1">
        <f>0</f>
        <v>0</v>
      </c>
      <c r="AE656" s="1">
        <f>0</f>
        <v>0</v>
      </c>
      <c r="AF656" s="1">
        <f>0</f>
        <v>0</v>
      </c>
      <c r="AG656" s="1">
        <f>0</f>
        <v>0</v>
      </c>
      <c r="AH656" s="1">
        <f>0</f>
        <v>0</v>
      </c>
      <c r="AI656" s="1">
        <f>0</f>
        <v>0</v>
      </c>
      <c r="AJ656" s="1" t="b">
        <v>1</v>
      </c>
      <c r="AK656" s="1"/>
      <c r="AL656" s="1"/>
      <c r="AM656" s="1"/>
      <c r="AN656" s="1"/>
      <c r="AO656" s="1"/>
      <c r="AP656" s="1" t="b">
        <v>1</v>
      </c>
      <c r="AQ656" s="1"/>
      <c r="AR656" s="1"/>
      <c r="AS656" s="1"/>
      <c r="AT656" s="1"/>
      <c r="AU656" s="1"/>
      <c r="AV656" s="1"/>
      <c r="AW656" s="1"/>
      <c r="AX656" s="1"/>
      <c r="AY656" s="1" t="b">
        <v>1</v>
      </c>
      <c r="AZ656" s="1"/>
    </row>
    <row r="657" spans="1:52" ht="15" customHeight="1" x14ac:dyDescent="0.35">
      <c r="A657" s="1" t="s">
        <v>2144</v>
      </c>
      <c r="B657" s="1" t="s">
        <v>387</v>
      </c>
      <c r="C657" s="1" t="s">
        <v>1157</v>
      </c>
      <c r="D657" s="1" t="s">
        <v>2145</v>
      </c>
      <c r="E657" s="1" t="s">
        <v>1983</v>
      </c>
      <c r="F657" s="9" t="s">
        <v>2146</v>
      </c>
      <c r="G657" s="1" t="s">
        <v>38</v>
      </c>
      <c r="H6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57" s="11" t="e">
        <f>ABS(NETWORKDAYS.INTL("06/10/24", "06/10/24", 1, {"01/01/2024","01/15/2024","02/19/2024","05/27/2024","07/04/2024","09/02/2024","10/14/2024","11/11/2024","11/28/2024","12/25/2024","12/25/2024","12/26/2024","12/27/2024","12/28/2024","12/29/2024","12/30/2024","31/25/2024","01/01/2024","01/02/2024","01/03/2024","01/04/2024","01/05/2024"}))</f>
        <v>#VALUE!</v>
      </c>
      <c r="J657">
        <f>0</f>
        <v>0</v>
      </c>
      <c r="K657" s="1"/>
      <c r="L657" s="1">
        <v>1</v>
      </c>
      <c r="M657" s="1" t="e">
        <f>ABS(NETWORKDAYS.INTL("06/13/24", "06/13/24", 1, {"01/01/2024","01/15/2024","02/19/2024","05/27/2024","07/04/2024","09/02/2024","10/14/2024","11/11/2024","11/28/2024","12/25/2024","12/25/2024","12/26/2024","12/27/2024","12/28/2024","12/29/2024","12/30/2024","31/25/2024","01/01/2024","01/02/2024","01/03/2024","01/04/2024","01/05/2024"}))</f>
        <v>#VALUE!</v>
      </c>
      <c r="N657" s="1">
        <f>0</f>
        <v>0</v>
      </c>
      <c r="O657" s="1">
        <f>0</f>
        <v>0</v>
      </c>
      <c r="P657" s="1"/>
      <c r="Q657" s="1">
        <v>0</v>
      </c>
      <c r="R657" s="1">
        <v>0</v>
      </c>
      <c r="S657" s="1">
        <f>0</f>
        <v>0</v>
      </c>
      <c r="T657" s="1">
        <f>0</f>
        <v>0</v>
      </c>
      <c r="U657" s="1"/>
      <c r="V657" s="1">
        <v>2</v>
      </c>
      <c r="W657" s="1">
        <v>2</v>
      </c>
      <c r="X657" s="1" t="e">
        <f>ABS(NETWORKDAYS.INTL("06/13/24", "06/13/24", 1, {"01/01/2024","01/15/2024","02/19/2024","05/27/2024","07/04/2024","09/02/2024","10/14/2024","11/11/2024","11/28/2024","12/25/2024","12/25/2024","12/26/2024","12/27/2024","12/28/2024","12/29/2024","12/30/2024","31/25/2024","01/01/2024","01/02/2024","01/03/2024","01/04/2024","01/05/2024"})+NETWORKDAYS.INTL("06/14/24", "06/14/24", 1, {"01/01/2024","01/15/2024","02/19/2024","05/27/2024","07/04/2024","09/02/2024","10/14/2024","11/11/2024","11/28/2024","12/25/2024","12/25/2024","12/26/2024","12/27/2024","12/28/2024","12/29/2024","12/30/2024","31/25/2024","01/01/2024","01/02/2024","01/03/2024","01/04/2024","01/05/2024"}))</f>
        <v>#VALUE!</v>
      </c>
      <c r="Y657" s="1" t="e">
        <f>ABS(NETWORKDAYS.INTL("06/14/24", "06/14/24", 1, {"01/01/2024","01/15/2024","02/19/2024","05/27/2024","07/04/2024","09/02/2024","10/14/2024","11/11/2024","11/28/2024","12/25/2024","12/25/2024","12/26/2024","12/27/2024","12/28/2024","12/29/2024","12/30/2024","31/25/2024","01/01/2024","01/02/2024","01/03/2024","01/04/2024","01/05/2024"}))</f>
        <v>#VALUE!</v>
      </c>
      <c r="Z657" s="1">
        <f>0</f>
        <v>0</v>
      </c>
      <c r="AA657" s="1"/>
      <c r="AB657" s="5">
        <v>45457</v>
      </c>
      <c r="AC657" s="1"/>
      <c r="AD657" s="1" t="e">
        <f>ABS(NETWORKDAYS.INTL("06/13/24", "06/10/24", 1, {"01/01/2024","01/15/2024","02/19/2024","05/27/2024","07/04/2024","09/02/2024","10/14/2024","11/11/2024","11/28/2024","12/25/2024","12/25/2024","12/26/2024","12/27/2024","12/28/2024","12/29/2024","12/30/2024","31/25/2024","01/01/2024","01/02/2024","01/03/2024","01/04/2024","01/05/2024"}))</f>
        <v>#VALUE!</v>
      </c>
      <c r="AE657" s="1">
        <f>0</f>
        <v>0</v>
      </c>
      <c r="AF657" s="1">
        <f>0</f>
        <v>0</v>
      </c>
      <c r="AG657" s="1" t="e">
        <f>ABS(NETWORKDAYS.INTL("06/13/24", "08/05/24", 1, {"01/01/2024","01/15/2024","02/19/2024","05/27/2024","07/04/2024","09/02/2024","10/14/2024","11/11/2024","11/28/2024","12/25/2024","12/25/2024","12/26/2024","12/27/2024","12/28/2024","12/29/2024","12/30/2024","31/25/2024","01/01/2024","01/02/2024","01/03/2024","01/04/2024","01/05/2024"}))</f>
        <v>#VALUE!</v>
      </c>
      <c r="AH657" s="1" t="e">
        <f>ABS(NETWORKDAYS.INTL("06/13/24", "06/13/24", 1, {"01/01/2024","01/15/2024","02/19/2024","05/27/2024","07/04/2024","09/02/2024","10/14/2024","11/11/2024","11/28/2024","12/25/2024","12/25/2024","12/26/2024","12/27/2024","12/28/2024","12/29/2024","12/30/2024","31/25/2024","01/01/2024","01/02/2024","01/03/2024","01/04/2024","01/05/2024"}))</f>
        <v>#VALUE!</v>
      </c>
      <c r="AI657" s="1">
        <f>0</f>
        <v>0</v>
      </c>
      <c r="AJ657" s="1" t="b">
        <v>1</v>
      </c>
      <c r="AK657" s="1"/>
      <c r="AL657" s="1"/>
      <c r="AM657" s="1"/>
      <c r="AN657" s="1"/>
      <c r="AO657" s="1"/>
      <c r="AP657" s="1" t="b">
        <v>1</v>
      </c>
      <c r="AQ657" s="1"/>
      <c r="AR657" s="1"/>
      <c r="AS657" s="1"/>
      <c r="AT657" s="1"/>
      <c r="AU657" s="1"/>
      <c r="AV657" s="1"/>
      <c r="AW657" s="1"/>
      <c r="AX657" s="1"/>
      <c r="AY657" s="1"/>
      <c r="AZ657" s="1" t="b">
        <v>1</v>
      </c>
    </row>
    <row r="658" spans="1:52" ht="15" customHeight="1" x14ac:dyDescent="0.35">
      <c r="A658" s="1" t="s">
        <v>2147</v>
      </c>
      <c r="B658" s="1" t="s">
        <v>388</v>
      </c>
      <c r="C658" s="1" t="s">
        <v>640</v>
      </c>
      <c r="D658" s="1"/>
      <c r="E658" s="1" t="s">
        <v>2148</v>
      </c>
      <c r="F658" s="9" t="s">
        <v>2149</v>
      </c>
      <c r="G658" s="1" t="s">
        <v>38</v>
      </c>
      <c r="H6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8" s="11">
        <f>0</f>
        <v>0</v>
      </c>
      <c r="J658">
        <f>0</f>
        <v>0</v>
      </c>
      <c r="K658" s="1"/>
      <c r="L658" s="1">
        <v>0</v>
      </c>
      <c r="M658" s="1">
        <f>0</f>
        <v>0</v>
      </c>
      <c r="N658" s="1">
        <f>0</f>
        <v>0</v>
      </c>
      <c r="O658" s="1">
        <f>0</f>
        <v>0</v>
      </c>
      <c r="P658" s="1"/>
      <c r="Q658" s="1">
        <v>0</v>
      </c>
      <c r="R658" s="1">
        <v>0</v>
      </c>
      <c r="S658" s="1">
        <f>0</f>
        <v>0</v>
      </c>
      <c r="T658" s="1">
        <f>0</f>
        <v>0</v>
      </c>
      <c r="U658" s="1"/>
      <c r="V658" s="1">
        <v>0</v>
      </c>
      <c r="W658" s="1">
        <v>0</v>
      </c>
      <c r="X658" s="1">
        <f>0</f>
        <v>0</v>
      </c>
      <c r="Y658" s="1">
        <f>0</f>
        <v>0</v>
      </c>
      <c r="Z658" s="1">
        <f>0</f>
        <v>0</v>
      </c>
      <c r="AA658" s="1"/>
      <c r="AB658" s="5"/>
      <c r="AC658" s="1"/>
      <c r="AD658" s="1">
        <f>0</f>
        <v>0</v>
      </c>
      <c r="AE658" s="1">
        <f>0</f>
        <v>0</v>
      </c>
      <c r="AF658" s="1">
        <f>0</f>
        <v>0</v>
      </c>
      <c r="AG658" s="1">
        <f>0</f>
        <v>0</v>
      </c>
      <c r="AH658" s="1">
        <f>0</f>
        <v>0</v>
      </c>
      <c r="AI658" s="1">
        <f>0</f>
        <v>0</v>
      </c>
      <c r="AJ658" s="1" t="b">
        <v>1</v>
      </c>
      <c r="AK658" s="1"/>
      <c r="AL658" s="1"/>
      <c r="AM658" s="1"/>
      <c r="AN658" s="1"/>
      <c r="AO658" s="1"/>
      <c r="AP658" s="1" t="b">
        <v>1</v>
      </c>
      <c r="AQ658" s="1"/>
      <c r="AR658" s="1"/>
      <c r="AS658" s="1"/>
      <c r="AT658" s="1"/>
      <c r="AU658" s="1"/>
      <c r="AV658" s="1" t="b">
        <v>1</v>
      </c>
      <c r="AW658" s="1"/>
      <c r="AX658" s="1"/>
      <c r="AY658" s="1" t="b">
        <v>1</v>
      </c>
      <c r="AZ658" s="1"/>
    </row>
    <row r="659" spans="1:52" ht="15" customHeight="1" x14ac:dyDescent="0.35">
      <c r="A659" s="1" t="s">
        <v>2150</v>
      </c>
      <c r="B659" s="1" t="s">
        <v>389</v>
      </c>
      <c r="C659" s="1" t="s">
        <v>640</v>
      </c>
      <c r="D659" s="1"/>
      <c r="E659" s="1" t="s">
        <v>2148</v>
      </c>
      <c r="F659" s="9" t="s">
        <v>2151</v>
      </c>
      <c r="G659" s="1" t="s">
        <v>38</v>
      </c>
      <c r="H6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59" s="11">
        <f>0</f>
        <v>0</v>
      </c>
      <c r="J659">
        <f>0</f>
        <v>0</v>
      </c>
      <c r="K659" s="1"/>
      <c r="L659" s="1">
        <v>0</v>
      </c>
      <c r="M659" s="1">
        <f>0</f>
        <v>0</v>
      </c>
      <c r="N659" s="1">
        <f>0</f>
        <v>0</v>
      </c>
      <c r="O659" s="1">
        <f>0</f>
        <v>0</v>
      </c>
      <c r="P659" s="1"/>
      <c r="Q659" s="1">
        <v>0</v>
      </c>
      <c r="R659" s="1">
        <v>0</v>
      </c>
      <c r="S659" s="1">
        <f>0</f>
        <v>0</v>
      </c>
      <c r="T659" s="1">
        <f>0</f>
        <v>0</v>
      </c>
      <c r="U659" s="1"/>
      <c r="V659" s="1">
        <v>0</v>
      </c>
      <c r="W659" s="1">
        <v>0</v>
      </c>
      <c r="X659" s="1">
        <f>0</f>
        <v>0</v>
      </c>
      <c r="Y659" s="1">
        <f>0</f>
        <v>0</v>
      </c>
      <c r="Z659" s="1">
        <f>0</f>
        <v>0</v>
      </c>
      <c r="AA659" s="1"/>
      <c r="AB659" s="5"/>
      <c r="AC659" s="1"/>
      <c r="AD659" s="1">
        <f>0</f>
        <v>0</v>
      </c>
      <c r="AE659" s="1">
        <f>0</f>
        <v>0</v>
      </c>
      <c r="AF659" s="1">
        <f>0</f>
        <v>0</v>
      </c>
      <c r="AG659" s="1">
        <f>0</f>
        <v>0</v>
      </c>
      <c r="AH659" s="1">
        <f>0</f>
        <v>0</v>
      </c>
      <c r="AI659" s="1">
        <f>0</f>
        <v>0</v>
      </c>
      <c r="AJ659" s="1" t="b">
        <v>1</v>
      </c>
      <c r="AK659" s="1"/>
      <c r="AL659" s="1"/>
      <c r="AM659" s="1"/>
      <c r="AN659" s="1"/>
      <c r="AO659" s="1"/>
      <c r="AP659" s="1" t="b">
        <v>1</v>
      </c>
      <c r="AQ659" s="1"/>
      <c r="AR659" s="1"/>
      <c r="AS659" s="1"/>
      <c r="AT659" s="1"/>
      <c r="AU659" s="1"/>
      <c r="AV659" s="1" t="b">
        <v>1</v>
      </c>
      <c r="AW659" s="1"/>
      <c r="AX659" s="1"/>
      <c r="AY659" s="1" t="b">
        <v>1</v>
      </c>
      <c r="AZ659" s="1"/>
    </row>
    <row r="660" spans="1:52" ht="15" customHeight="1" x14ac:dyDescent="0.35">
      <c r="A660" s="1" t="s">
        <v>2152</v>
      </c>
      <c r="B660" s="1" t="s">
        <v>390</v>
      </c>
      <c r="C660" s="1" t="s">
        <v>1329</v>
      </c>
      <c r="D660" s="1" t="s">
        <v>1335</v>
      </c>
      <c r="E660" s="1" t="s">
        <v>1336</v>
      </c>
      <c r="F660" s="9" t="s">
        <v>2153</v>
      </c>
      <c r="G660" s="1" t="s">
        <v>38</v>
      </c>
      <c r="H6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0" s="11" t="e">
        <f>ABS(NETWORKDAYS.INTL("05/22/24", "06/07/24", 1, {"01/01/2024","01/15/2024","02/19/2024","05/27/2024","07/04/2024","09/02/2024","10/14/2024","11/11/2024","11/28/2024","12/25/2024","12/25/2024","12/26/2024","12/27/2024","12/28/2024","12/29/2024","12/30/2024","31/25/2024","01/01/2024","01/02/2024","01/03/2024","01/04/2024","01/05/2024"}))</f>
        <v>#VALUE!</v>
      </c>
      <c r="J660">
        <f>0</f>
        <v>0</v>
      </c>
      <c r="K660" s="1"/>
      <c r="L660" s="1">
        <v>0</v>
      </c>
      <c r="M660" s="1">
        <f>0</f>
        <v>0</v>
      </c>
      <c r="N660" s="1">
        <f>0</f>
        <v>0</v>
      </c>
      <c r="O660" s="1">
        <f>0</f>
        <v>0</v>
      </c>
      <c r="P660" s="1"/>
      <c r="Q660" s="1">
        <v>0</v>
      </c>
      <c r="R660" s="1">
        <v>0</v>
      </c>
      <c r="S660" s="1">
        <f>0</f>
        <v>0</v>
      </c>
      <c r="T660" s="1">
        <f>0</f>
        <v>0</v>
      </c>
      <c r="U660" s="1"/>
      <c r="V660" s="1">
        <v>0</v>
      </c>
      <c r="W660" s="1">
        <v>0</v>
      </c>
      <c r="X660" s="1">
        <f>0</f>
        <v>0</v>
      </c>
      <c r="Y660" s="1">
        <f>0</f>
        <v>0</v>
      </c>
      <c r="Z660" s="1">
        <f>0</f>
        <v>0</v>
      </c>
      <c r="AA660" s="1"/>
      <c r="AB660" s="5"/>
      <c r="AC660" s="1"/>
      <c r="AD660" s="1">
        <f>0</f>
        <v>0</v>
      </c>
      <c r="AE660" s="1">
        <f>0</f>
        <v>0</v>
      </c>
      <c r="AF660" s="1">
        <f>0</f>
        <v>0</v>
      </c>
      <c r="AG660" s="1">
        <f>0</f>
        <v>0</v>
      </c>
      <c r="AH660" s="1">
        <f>0</f>
        <v>0</v>
      </c>
      <c r="AI660" s="1">
        <f>0</f>
        <v>0</v>
      </c>
      <c r="AJ660" s="1" t="b">
        <v>1</v>
      </c>
      <c r="AK660" s="1"/>
      <c r="AL660" s="1"/>
      <c r="AM660" s="1"/>
      <c r="AN660" s="1"/>
      <c r="AO660" s="1"/>
      <c r="AP660" s="1" t="b">
        <v>1</v>
      </c>
      <c r="AQ660" s="1"/>
      <c r="AR660" s="1"/>
      <c r="AS660" s="1"/>
      <c r="AT660" s="1"/>
      <c r="AU660" s="1"/>
      <c r="AV660" s="1"/>
      <c r="AW660" s="1"/>
      <c r="AX660" s="1"/>
      <c r="AY660" s="1" t="b">
        <v>1</v>
      </c>
      <c r="AZ660" s="1"/>
    </row>
    <row r="661" spans="1:52" ht="15" customHeight="1" x14ac:dyDescent="0.35">
      <c r="A661" s="1" t="s">
        <v>2154</v>
      </c>
      <c r="B661" s="1" t="s">
        <v>391</v>
      </c>
      <c r="C661" s="1" t="s">
        <v>640</v>
      </c>
      <c r="D661" s="1"/>
      <c r="E661" s="1" t="s">
        <v>2155</v>
      </c>
      <c r="F661" s="9" t="s">
        <v>2156</v>
      </c>
      <c r="G661" s="1" t="s">
        <v>38</v>
      </c>
      <c r="H6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61" s="11">
        <f>0</f>
        <v>0</v>
      </c>
      <c r="J661">
        <f>0</f>
        <v>0</v>
      </c>
      <c r="K661" s="1"/>
      <c r="L661" s="1">
        <v>0</v>
      </c>
      <c r="M661" s="1">
        <f>0</f>
        <v>0</v>
      </c>
      <c r="N661" s="1">
        <f>0</f>
        <v>0</v>
      </c>
      <c r="O661" s="1">
        <f>0</f>
        <v>0</v>
      </c>
      <c r="P661" s="1"/>
      <c r="Q661" s="1">
        <v>0</v>
      </c>
      <c r="R661" s="1">
        <v>0</v>
      </c>
      <c r="S661" s="1">
        <f>0</f>
        <v>0</v>
      </c>
      <c r="T661" s="1">
        <f>0</f>
        <v>0</v>
      </c>
      <c r="U661" s="1"/>
      <c r="V661" s="1">
        <v>0</v>
      </c>
      <c r="W661" s="1">
        <v>0</v>
      </c>
      <c r="X661" s="1">
        <f>0</f>
        <v>0</v>
      </c>
      <c r="Y661" s="1">
        <f>0</f>
        <v>0</v>
      </c>
      <c r="Z661" s="1">
        <f>0</f>
        <v>0</v>
      </c>
      <c r="AA661" s="1"/>
      <c r="AB661" s="5"/>
      <c r="AC661" s="1"/>
      <c r="AD661" s="1">
        <f>0</f>
        <v>0</v>
      </c>
      <c r="AE661" s="1">
        <f>0</f>
        <v>0</v>
      </c>
      <c r="AF661" s="1">
        <f>0</f>
        <v>0</v>
      </c>
      <c r="AG661" s="1">
        <f>0</f>
        <v>0</v>
      </c>
      <c r="AH661" s="1">
        <f>0</f>
        <v>0</v>
      </c>
      <c r="AI661" s="1">
        <f>0</f>
        <v>0</v>
      </c>
      <c r="AJ661" s="1" t="b">
        <v>1</v>
      </c>
      <c r="AK661" s="1"/>
      <c r="AL661" s="1"/>
      <c r="AM661" s="1"/>
      <c r="AN661" s="1"/>
      <c r="AO661" s="1"/>
      <c r="AP661" s="1"/>
      <c r="AQ661" s="1"/>
      <c r="AR661" s="1"/>
      <c r="AS661" s="1"/>
      <c r="AT661" s="1"/>
      <c r="AU661" s="1" t="b">
        <v>1</v>
      </c>
      <c r="AV661" s="1" t="b">
        <v>1</v>
      </c>
      <c r="AW661" s="1"/>
      <c r="AX661" s="1"/>
      <c r="AY661" s="1" t="b">
        <v>1</v>
      </c>
      <c r="AZ661" s="1"/>
    </row>
    <row r="662" spans="1:52" ht="15" customHeight="1" x14ac:dyDescent="0.35">
      <c r="A662" s="1" t="s">
        <v>2157</v>
      </c>
      <c r="B662" s="1" t="s">
        <v>392</v>
      </c>
      <c r="C662" s="1" t="s">
        <v>988</v>
      </c>
      <c r="D662" s="1" t="s">
        <v>1986</v>
      </c>
      <c r="E662" s="1" t="s">
        <v>1983</v>
      </c>
      <c r="F662" s="9" t="s">
        <v>2158</v>
      </c>
      <c r="G662" s="1" t="s">
        <v>38</v>
      </c>
      <c r="H6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2" s="11" t="e">
        <f>ABS(NETWORKDAYS.INTL("05/30/24", "05/30/24", 1, {"01/01/2024","01/15/2024","02/19/2024","05/27/2024","07/04/2024","09/02/2024","10/14/2024","11/11/2024","11/28/2024","12/25/2024","12/25/2024","12/26/2024","12/27/2024","12/28/2024","12/29/2024","12/30/2024","31/25/2024","01/01/2024","01/02/2024","01/03/2024","01/04/2024","01/05/2024"}))</f>
        <v>#VALUE!</v>
      </c>
      <c r="J662">
        <f>0</f>
        <v>0</v>
      </c>
      <c r="K662" s="1"/>
      <c r="L662" s="1">
        <v>1</v>
      </c>
      <c r="M662" s="1" t="e">
        <f>ABS(NETWORKDAYS.INTL("06/14/24", "06/14/24", 1, {"01/01/2024","01/15/2024","02/19/2024","05/27/2024","07/04/2024","09/02/2024","10/14/2024","11/11/2024","11/28/2024","12/25/2024","12/25/2024","12/26/2024","12/27/2024","12/28/2024","12/29/2024","12/30/2024","31/25/2024","01/01/2024","01/02/2024","01/03/2024","01/04/2024","01/05/2024"}))</f>
        <v>#VALUE!</v>
      </c>
      <c r="N662" s="1">
        <f>0</f>
        <v>0</v>
      </c>
      <c r="O662" s="1">
        <f>0</f>
        <v>0</v>
      </c>
      <c r="P662" s="1"/>
      <c r="Q662" s="1">
        <v>0</v>
      </c>
      <c r="R662" s="1">
        <v>0</v>
      </c>
      <c r="S662" s="1">
        <f>0</f>
        <v>0</v>
      </c>
      <c r="T662" s="1">
        <f>0</f>
        <v>0</v>
      </c>
      <c r="U662" s="1"/>
      <c r="V662" s="1">
        <v>2</v>
      </c>
      <c r="W662" s="1">
        <v>2</v>
      </c>
      <c r="X662" s="1" t="e">
        <f>ABS(NETWORKDAYS.INTL("06/14/24", "06/14/24",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62" s="1" t="e">
        <f>ABS(NETWORKDAYS.INTL("06/14/24", "06/17/24", 1, {"01/01/2024","01/15/2024","02/19/2024","05/27/2024","07/04/2024","09/02/2024","10/14/2024","11/11/2024","11/28/2024","12/25/2024","12/25/2024","12/26/2024","12/27/2024","12/28/2024","12/29/2024","12/30/2024","31/25/2024","01/01/2024","01/02/2024","01/03/2024","01/04/2024","01/05/2024"}))</f>
        <v>#VALUE!</v>
      </c>
      <c r="Z662" s="1">
        <f>0</f>
        <v>0</v>
      </c>
      <c r="AA662" s="1"/>
      <c r="AB662" s="5">
        <v>45470</v>
      </c>
      <c r="AC662" s="5">
        <v>45502</v>
      </c>
      <c r="AD662" s="1" t="e">
        <f>ABS(NETWORKDAYS.INTL("06/14/24", "05/30/24", 1, {"01/01/2024","01/15/2024","02/19/2024","05/27/2024","07/04/2024","09/02/2024","10/14/2024","11/11/2024","11/28/2024","12/25/2024","12/25/2024","12/26/2024","12/27/2024","12/28/2024","12/29/2024","12/30/2024","31/25/2024","01/01/2024","01/02/2024","01/03/2024","01/04/2024","01/05/2024"}))</f>
        <v>#VALUE!</v>
      </c>
      <c r="AE662" s="1">
        <f>0</f>
        <v>0</v>
      </c>
      <c r="AF662" s="1">
        <f>0</f>
        <v>0</v>
      </c>
      <c r="AG662" s="1" t="e">
        <f>ABS(NETWORKDAYS.INTL("06/14/24", "08/05/24", 1, {"01/01/2024","01/15/2024","02/19/2024","05/27/2024","07/04/2024","09/02/2024","10/14/2024","11/11/2024","11/28/2024","12/25/2024","12/25/2024","12/26/2024","12/27/2024","12/28/2024","12/29/2024","12/30/2024","31/25/2024","01/01/2024","01/02/2024","01/03/2024","01/04/2024","01/05/2024"}))</f>
        <v>#VALUE!</v>
      </c>
      <c r="AH662" s="1" t="e">
        <f>ABS(NETWORKDAYS.INTL("06/14/24", "06/14/24", 1, {"01/01/2024","01/15/2024","02/19/2024","05/27/2024","07/04/2024","09/02/2024","10/14/2024","11/11/2024","11/28/2024","12/25/2024","12/25/2024","12/26/2024","12/27/2024","12/28/2024","12/29/2024","12/30/2024","31/25/2024","01/01/2024","01/02/2024","01/03/2024","01/04/2024","01/05/2024"}))</f>
        <v>#VALUE!</v>
      </c>
      <c r="AI662" s="1" t="e">
        <f>ABS(NETWORKDAYS.INTL("7/29/2024", "06/27/24", 1, {"01/01/2024","01/15/2024","02/19/2024","05/27/2024","07/04/2024","09/02/2024","10/14/2024","11/11/2024","11/28/2024","12/25/2024","12/25/2024","12/26/2024","12/27/2024","12/28/2024","12/29/2024","12/30/2024","31/25/2024","01/01/2024","01/02/2024","01/03/2024","01/04/2024","01/05/2024"}))</f>
        <v>#VALUE!</v>
      </c>
      <c r="AJ662" s="1" t="b">
        <v>1</v>
      </c>
      <c r="AK662" s="1"/>
      <c r="AL662" s="1"/>
      <c r="AM662" s="1"/>
      <c r="AN662" s="1"/>
      <c r="AO662" s="1"/>
      <c r="AP662" s="1" t="b">
        <v>1</v>
      </c>
      <c r="AQ662" s="1"/>
      <c r="AR662" s="1"/>
      <c r="AS662" s="1"/>
      <c r="AT662" s="1"/>
      <c r="AU662" s="1"/>
      <c r="AV662" s="1"/>
      <c r="AW662" s="1"/>
      <c r="AX662" s="1"/>
      <c r="AY662" s="1"/>
      <c r="AZ662" s="1" t="b">
        <v>1</v>
      </c>
    </row>
    <row r="663" spans="1:52" ht="15" customHeight="1" x14ac:dyDescent="0.35">
      <c r="A663" s="1" t="s">
        <v>2159</v>
      </c>
      <c r="B663" s="1" t="s">
        <v>393</v>
      </c>
      <c r="C663" s="1" t="s">
        <v>988</v>
      </c>
      <c r="D663" s="1" t="s">
        <v>2160</v>
      </c>
      <c r="E663" s="1" t="s">
        <v>2161</v>
      </c>
      <c r="F663" s="9" t="s">
        <v>2162</v>
      </c>
      <c r="G663" s="1" t="s">
        <v>38</v>
      </c>
      <c r="H6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3" s="11" t="e">
        <f>ABS(NETWORKDAYS.INTL("05/28/24", "06/05/24", 1, {"01/01/2024","01/15/2024","02/19/2024","05/27/2024","07/04/2024","09/02/2024","10/14/2024","11/11/2024","11/28/2024","12/25/2024","12/25/2024","12/26/2024","12/27/2024","12/28/2024","12/29/2024","12/30/2024","31/25/2024","01/01/2024","01/02/2024","01/03/2024","01/04/2024","01/05/2024"}))</f>
        <v>#VALUE!</v>
      </c>
      <c r="J663">
        <f>0</f>
        <v>0</v>
      </c>
      <c r="K663" s="1"/>
      <c r="L663" s="1">
        <v>1</v>
      </c>
      <c r="M663" s="1" t="e">
        <f>ABS(NETWORKDAYS.INTL("06/20/24", "06/20/24", 1, {"01/01/2024","01/15/2024","02/19/2024","05/27/2024","07/04/2024","09/02/2024","10/14/2024","11/11/2024","11/28/2024","12/25/2024","12/25/2024","12/26/2024","12/27/2024","12/28/2024","12/29/2024","12/30/2024","31/25/2024","01/01/2024","01/02/2024","01/03/2024","01/04/2024","01/05/2024"}))</f>
        <v>#VALUE!</v>
      </c>
      <c r="N663" s="1">
        <f>0</f>
        <v>0</v>
      </c>
      <c r="O663" s="1">
        <f>0</f>
        <v>0</v>
      </c>
      <c r="P663" s="1"/>
      <c r="Q663" s="1">
        <v>0</v>
      </c>
      <c r="R663" s="1">
        <v>0</v>
      </c>
      <c r="S663" s="1">
        <f>0</f>
        <v>0</v>
      </c>
      <c r="T663" s="1">
        <f>0</f>
        <v>0</v>
      </c>
      <c r="U663" s="1"/>
      <c r="V663" s="1">
        <v>1</v>
      </c>
      <c r="W663" s="1">
        <v>1</v>
      </c>
      <c r="X663" s="1" t="e">
        <f>ABS(NETWORKDAYS.INTL("06/20/2024", "06/21/2024", 1, {"01/01/2024","01/15/2024","02/19/2024","05/27/2024","07/04/2024","09/02/2024","10/14/2024","11/11/2024","11/28/2024","12/25/2024","12/25/2024","12/26/2024","12/27/2024","12/28/2024","12/29/2024","12/30/2024","31/25/2024","01/01/2024","01/02/2024","01/03/2024","01/04/2024","01/05/2024"}))</f>
        <v>#VALUE!</v>
      </c>
      <c r="Y663" s="1" t="e">
        <f>ABS(NETWORKDAYS.INTL("07/09/2024", "07/10/2024", 1, {"01/01/2024","01/15/2024","02/19/2024","05/27/2024","07/04/2024","09/02/2024","10/14/2024","11/11/2024","11/28/2024","12/25/2024","12/25/2024","12/26/2024","12/27/2024","12/28/2024","12/29/2024","12/30/2024","31/25/2024","01/01/2024","01/02/2024","01/03/2024","01/04/2024","01/05/2024"}))</f>
        <v>#VALUE!</v>
      </c>
      <c r="Z663" s="1">
        <f>0</f>
        <v>0</v>
      </c>
      <c r="AA663" s="1"/>
      <c r="AB663" s="5">
        <v>45483</v>
      </c>
      <c r="AC663" s="5">
        <v>45504</v>
      </c>
      <c r="AD663" s="1" t="e">
        <f>ABS(NETWORKDAYS.INTL("06/20/24", "06/05/24", 1, {"01/01/2024","01/15/2024","02/19/2024","05/27/2024","07/04/2024","09/02/2024","10/14/2024","11/11/2024","11/28/2024","12/25/2024","12/25/2024","12/26/2024","12/27/2024","12/28/2024","12/29/2024","12/30/2024","31/25/2024","01/01/2024","01/02/2024","01/03/2024","01/04/2024","01/05/2024"}))</f>
        <v>#VALUE!</v>
      </c>
      <c r="AE663" s="1">
        <f>0</f>
        <v>0</v>
      </c>
      <c r="AF663" s="1">
        <f>0</f>
        <v>0</v>
      </c>
      <c r="AG663" s="1" t="e">
        <f>ABS(NETWORKDAYS.INTL("06/20/24", "08/05/24", 1, {"01/01/2024","01/15/2024","02/19/2024","05/27/2024","07/04/2024","09/02/2024","10/14/2024","11/11/2024","11/28/2024","12/25/2024","12/25/2024","12/26/2024","12/27/2024","12/28/2024","12/29/2024","12/30/2024","31/25/2024","01/01/2024","01/02/2024","01/03/2024","01/04/2024","01/05/2024"}))</f>
        <v>#VALUE!</v>
      </c>
      <c r="AH663" s="1" t="e">
        <f>ABS(NETWORKDAYS.INTL("06/20/2024", "06/20/24", 1, {"01/01/2024","01/15/2024","02/19/2024","05/27/2024","07/04/2024","09/02/2024","10/14/2024","11/11/2024","11/28/2024","12/25/2024","12/25/2024","12/26/2024","12/27/2024","12/28/2024","12/29/2024","12/30/2024","31/25/2024","01/01/2024","01/02/2024","01/03/2024","01/04/2024","01/05/2024"}))</f>
        <v>#VALUE!</v>
      </c>
      <c r="AI663" s="1" t="e">
        <f>ABS(NETWORKDAYS.INTL("07/31/2024", "07/10/2024", 1, {"01/01/2024","01/15/2024","02/19/2024","05/27/2024","07/04/2024","09/02/2024","10/14/2024","11/11/2024","11/28/2024","12/25/2024","12/25/2024","12/26/2024","12/27/2024","12/28/2024","12/29/2024","12/30/2024","31/25/2024","01/01/2024","01/02/2024","01/03/2024","01/04/2024","01/05/2024"}))</f>
        <v>#VALUE!</v>
      </c>
      <c r="AJ663" s="1" t="b">
        <v>1</v>
      </c>
      <c r="AK663" s="1"/>
      <c r="AL663" s="1"/>
      <c r="AM663" s="1"/>
      <c r="AN663" s="1"/>
      <c r="AO663" s="1"/>
      <c r="AP663" s="1"/>
      <c r="AQ663" s="1"/>
      <c r="AR663" s="1"/>
      <c r="AS663" s="1"/>
      <c r="AT663" s="1"/>
      <c r="AU663" s="1" t="b">
        <v>1</v>
      </c>
      <c r="AV663" s="1"/>
      <c r="AW663" s="1"/>
      <c r="AX663" s="1"/>
      <c r="AY663" s="1"/>
      <c r="AZ663" s="1" t="b">
        <v>1</v>
      </c>
    </row>
    <row r="664" spans="1:52" ht="15" customHeight="1" x14ac:dyDescent="0.35">
      <c r="A664" s="1" t="s">
        <v>2163</v>
      </c>
      <c r="B664" s="1" t="s">
        <v>394</v>
      </c>
      <c r="C664" s="1" t="s">
        <v>988</v>
      </c>
      <c r="D664" s="1" t="s">
        <v>2164</v>
      </c>
      <c r="E664" s="1" t="s">
        <v>1336</v>
      </c>
      <c r="F664" s="9" t="s">
        <v>2165</v>
      </c>
      <c r="G664" s="1" t="s">
        <v>38</v>
      </c>
      <c r="H6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4" s="11" t="e">
        <f>ABS(NETWORKDAYS.INTL("04/16/24", "05/21/24", 1, {"01/01/2024","01/15/2024","02/19/2024","05/27/2024","07/04/2024","09/02/2024","10/14/2024","11/11/2024","11/28/2024","12/25/2024","12/25/2024","12/26/2024","12/27/2024","12/28/2024","12/29/2024","12/30/2024","31/25/2024","01/01/2024","01/02/2024","01/03/2024","01/04/2024","01/05/2024"}))</f>
        <v>#VALUE!</v>
      </c>
      <c r="J664">
        <f>0</f>
        <v>0</v>
      </c>
      <c r="K664" s="1"/>
      <c r="L664" s="1">
        <v>1</v>
      </c>
      <c r="M664" s="1" t="e">
        <f>ABS(NETWORKDAYS.INTL("05/29/24", "05/29/24", 1, {"01/01/2024","01/15/2024","02/19/2024","05/27/2024","07/04/2024","09/02/2024","10/14/2024","11/11/2024","11/28/2024","12/25/2024","12/25/2024","12/26/2024","12/27/2024","12/28/2024","12/29/2024","12/30/2024","31/25/2024","01/01/2024","01/02/2024","01/03/2024","01/04/2024","01/05/2024"}))</f>
        <v>#VALUE!</v>
      </c>
      <c r="N664" s="1">
        <f>0</f>
        <v>0</v>
      </c>
      <c r="O664" s="1">
        <f>0</f>
        <v>0</v>
      </c>
      <c r="P664" s="1"/>
      <c r="Q664" s="1">
        <v>1</v>
      </c>
      <c r="R664" s="1">
        <v>1</v>
      </c>
      <c r="S664" s="1">
        <f>0</f>
        <v>0</v>
      </c>
      <c r="T664" s="1">
        <f>0</f>
        <v>0</v>
      </c>
      <c r="U664" s="1"/>
      <c r="V664" s="1">
        <v>2</v>
      </c>
      <c r="W664" s="1">
        <v>1</v>
      </c>
      <c r="X664" s="1" t="e">
        <f>ABS(NETWORKDAYS.INTL("06/06/24", "06/07/24", 1, {"01/01/2024","01/15/2024","02/19/2024","05/27/2024","07/04/2024","09/02/2024","10/14/2024","11/11/2024","11/28/2024","12/25/2024","12/25/2024","12/26/2024","12/27/2024","12/28/2024","12/29/2024","12/30/2024","31/25/2024","01/01/2024","01/02/2024","01/03/2024","01/04/2024","01/05/2024"}))</f>
        <v>#VALUE!</v>
      </c>
      <c r="Y664" s="1" t="e">
        <f>ABS(NETWORKDAYS.INTL("06/10/24", "06/14/24", 1, {"01/01/2024","01/15/2024","02/19/2024","05/27/2024","07/04/2024","09/02/2024","10/14/2024","11/11/2024","11/28/2024","12/25/2024","12/25/2024","12/26/2024","12/27/2024","12/28/2024","12/29/2024","12/30/2024","31/25/2024","01/01/2024","01/02/2024","01/03/2024","01/04/2024","01/05/2024"}))</f>
        <v>#VALUE!</v>
      </c>
      <c r="Z664" s="1" t="e">
        <f>ABS(NETWORKDAYS.INTL("06/07/24", "06/10/24", 1, {"01/01/2024","01/15/2024","02/19/2024","05/27/2024","07/04/2024","09/02/2024","10/14/2024","11/11/2024","11/28/2024","12/25/2024","12/25/2024","12/26/2024","12/27/2024","12/28/2024","12/29/2024","12/30/2024","31/25/2024","01/01/2024","01/02/2024","01/03/2024","01/04/2024","01/05/2024"}))</f>
        <v>#VALUE!</v>
      </c>
      <c r="AA664" s="1"/>
      <c r="AB664" s="5"/>
      <c r="AC664" s="1"/>
      <c r="AD664" s="1" t="e">
        <f>ABS(NETWORKDAYS.INTL("05/29/24", "05/21/24", 1, {"01/01/2024","01/15/2024","02/19/2024","05/27/2024","07/04/2024","09/02/2024","10/14/2024","11/11/2024","11/28/2024","12/25/2024","12/25/2024","12/26/2024","12/27/2024","12/28/2024","12/29/2024","12/30/2024","31/25/2024","01/01/2024","01/02/2024","01/03/2024","01/04/2024","01/05/2024"}))</f>
        <v>#VALUE!</v>
      </c>
      <c r="AE664" s="1">
        <f>0</f>
        <v>0</v>
      </c>
      <c r="AF664" s="1" t="e">
        <f>ABS(NETWORKDAYS.INTL("05/30/24", "05/29/24", 1, {"01/01/2024","01/15/2024","02/19/2024","05/27/2024","07/04/2024","09/02/2024","10/14/2024","11/11/2024","11/28/2024","12/25/2024","12/25/2024","12/26/2024","12/27/2024","12/28/2024","12/29/2024","12/30/2024","31/25/2024","01/01/2024","01/02/2024","01/03/2024","01/04/2024","01/05/2024"}))</f>
        <v>#VALUE!</v>
      </c>
      <c r="AG664" s="1" t="e">
        <f>ABS(NETWORKDAYS.INTL("06/06/24", "05/30/24", 1, {"01/01/2024","01/15/2024","02/19/2024","05/27/2024","07/04/2024","09/02/2024","10/14/2024","11/11/2024","11/28/2024","12/25/2024","12/25/2024","12/26/2024","12/27/2024","12/28/2024","12/29/2024","12/30/2024","31/25/2024","01/01/2024","01/02/2024","01/03/2024","01/04/2024","01/05/2024"}))</f>
        <v>#VALUE!</v>
      </c>
      <c r="AH664" s="1" t="e">
        <f>ABS(NETWORKDAYS.INTL("06/06/24", "06/06/24", 1, {"01/01/2024","01/15/2024","02/19/2024","05/27/2024","07/04/2024","09/02/2024","10/14/2024","11/11/2024","11/28/2024","12/25/2024","12/25/2024","12/26/2024","12/27/2024","12/28/2024","12/29/2024","12/30/2024","31/25/2024","01/01/2024","01/02/2024","01/03/2024","01/04/2024","01/05/2024"}))</f>
        <v>#VALUE!</v>
      </c>
      <c r="AI664" s="1">
        <f>0</f>
        <v>0</v>
      </c>
      <c r="AJ664" s="1" t="b">
        <v>1</v>
      </c>
      <c r="AK664" s="1"/>
      <c r="AL664" s="1"/>
      <c r="AM664" s="1"/>
      <c r="AN664" s="1"/>
      <c r="AO664" s="1"/>
      <c r="AP664" s="1" t="b">
        <v>1</v>
      </c>
      <c r="AQ664" s="1"/>
      <c r="AR664" s="1"/>
      <c r="AS664" s="1"/>
      <c r="AT664" s="1"/>
      <c r="AU664" s="1"/>
      <c r="AV664" s="1"/>
      <c r="AW664" s="1"/>
      <c r="AX664" s="1"/>
      <c r="AY664" s="1" t="b">
        <v>1</v>
      </c>
      <c r="AZ664" s="1"/>
    </row>
    <row r="665" spans="1:52" ht="15" customHeight="1" x14ac:dyDescent="0.35">
      <c r="A665" s="1" t="s">
        <v>2166</v>
      </c>
      <c r="B665" s="1" t="s">
        <v>395</v>
      </c>
      <c r="C665" s="1" t="s">
        <v>988</v>
      </c>
      <c r="D665" s="1" t="s">
        <v>2167</v>
      </c>
      <c r="E665" s="1" t="s">
        <v>2052</v>
      </c>
      <c r="F665" s="9" t="s">
        <v>2168</v>
      </c>
      <c r="G665" s="1" t="s">
        <v>38</v>
      </c>
      <c r="H6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5" s="11" t="e">
        <f>ABS(NETWORKDAYS.INTL("06/10/24", "06/10/24", 1, {"01/01/2024","01/15/2024","02/19/2024","05/27/2024","07/04/2024","09/02/2024","10/14/2024","11/11/2024","11/28/2024","12/25/2024","12/25/2024","12/26/2024","12/27/2024","12/28/2024","12/29/2024","12/30/2024","31/25/2024","01/01/2024","01/02/2024","01/03/2024","01/04/2024","01/05/2024"}))</f>
        <v>#VALUE!</v>
      </c>
      <c r="J665">
        <f>0</f>
        <v>0</v>
      </c>
      <c r="K665" s="1"/>
      <c r="L665" s="1">
        <v>1</v>
      </c>
      <c r="M665" s="1" t="e">
        <f>ABS(NETWORKDAYS.INTL("06/13/24", "06/13/24", 1, {"01/01/2024","01/15/2024","02/19/2024","05/27/2024","07/04/2024","09/02/2024","10/14/2024","11/11/2024","11/28/2024","12/25/2024","12/25/2024","12/26/2024","12/27/2024","12/28/2024","12/29/2024","12/30/2024","31/25/2024","01/01/2024","01/02/2024","01/03/2024","01/04/2024","01/05/2024"}))</f>
        <v>#VALUE!</v>
      </c>
      <c r="N665" s="1">
        <f>0</f>
        <v>0</v>
      </c>
      <c r="O665" s="1">
        <f>0</f>
        <v>0</v>
      </c>
      <c r="P665" s="1"/>
      <c r="Q665" s="1">
        <v>0</v>
      </c>
      <c r="R665" s="1">
        <v>0</v>
      </c>
      <c r="S665" s="1">
        <f>0</f>
        <v>0</v>
      </c>
      <c r="T665" s="1">
        <f>0</f>
        <v>0</v>
      </c>
      <c r="U665" s="1"/>
      <c r="V665" s="1">
        <v>1</v>
      </c>
      <c r="W665" s="1">
        <v>1</v>
      </c>
      <c r="X665" s="1" t="e">
        <f>ABS(NETWORKDAYS.INTL("06/14/24", "06/14/24", 1, {"01/01/2024","01/15/2024","02/19/2024","05/27/2024","07/04/2024","09/02/2024","10/14/2024","11/11/2024","11/28/2024","12/25/2024","12/25/2024","12/26/2024","12/27/2024","12/28/2024","12/29/2024","12/30/2024","31/25/2024","01/01/2024","01/02/2024","01/03/2024","01/04/2024","01/05/2024"}))</f>
        <v>#VALUE!</v>
      </c>
      <c r="Y665" s="1" t="e">
        <f>ABS(NETWORKDAYS.INTL("06/14/24", "06/14/24", 1, {"01/01/2024","01/15/2024","02/19/2024","05/27/2024","07/04/2024","09/02/2024","10/14/2024","11/11/2024","11/28/2024","12/25/2024","12/25/2024","12/26/2024","12/27/2024","12/28/2024","12/29/2024","12/30/2024","31/25/2024","01/01/2024","01/02/2024","01/03/2024","01/04/2024","01/05/2024"}))</f>
        <v>#VALUE!</v>
      </c>
      <c r="Z665" s="1">
        <f>0</f>
        <v>0</v>
      </c>
      <c r="AA665" s="1"/>
      <c r="AB665" s="5">
        <v>45457</v>
      </c>
      <c r="AC665" s="5">
        <v>45502</v>
      </c>
      <c r="AD665" s="1" t="e">
        <f>ABS(NETWORKDAYS.INTL("06/13/24", "06/10/24", 1, {"01/01/2024","01/15/2024","02/19/2024","05/27/2024","07/04/2024","09/02/2024","10/14/2024","11/11/2024","11/28/2024","12/25/2024","12/25/2024","12/26/2024","12/27/2024","12/28/2024","12/29/2024","12/30/2024","31/25/2024","01/01/2024","01/02/2024","01/03/2024","01/04/2024","01/05/2024"}))</f>
        <v>#VALUE!</v>
      </c>
      <c r="AE665" s="1">
        <f>0</f>
        <v>0</v>
      </c>
      <c r="AF665" s="1">
        <f>0</f>
        <v>0</v>
      </c>
      <c r="AG665" s="1" t="e">
        <f>ABS(NETWORKDAYS.INTL("06/13/24", "08/05/24", 1, {"01/01/2024","01/15/2024","02/19/2024","05/27/2024","07/04/2024","09/02/2024","10/14/2024","11/11/2024","11/28/2024","12/25/2024","12/25/2024","12/26/2024","12/27/2024","12/28/2024","12/29/2024","12/30/2024","31/25/2024","01/01/2024","01/02/2024","01/03/2024","01/04/2024","01/05/2024"}))</f>
        <v>#VALUE!</v>
      </c>
      <c r="AH665" s="1" t="e">
        <f>ABS(NETWORKDAYS.INTL("06/14/24", "06/13/24", 1, {"01/01/2024","01/15/2024","02/19/2024","05/27/2024","07/04/2024","09/02/2024","10/14/2024","11/11/2024","11/28/2024","12/25/2024","12/25/2024","12/26/2024","12/27/2024","12/28/2024","12/29/2024","12/30/2024","31/25/2024","01/01/2024","01/02/2024","01/03/2024","01/04/2024","01/05/2024"}))</f>
        <v>#VALUE!</v>
      </c>
      <c r="AI665" s="1" t="e">
        <f>ABS(NETWORKDAYS.INTL("7/29/2024", "06/14/24", 1, {"01/01/2024","01/15/2024","02/19/2024","05/27/2024","07/04/2024","09/02/2024","10/14/2024","11/11/2024","11/28/2024","12/25/2024","12/25/2024","12/26/2024","12/27/2024","12/28/2024","12/29/2024","12/30/2024","31/25/2024","01/01/2024","01/02/2024","01/03/2024","01/04/2024","01/05/2024"}))</f>
        <v>#VALUE!</v>
      </c>
      <c r="AJ665" s="1" t="b">
        <v>1</v>
      </c>
      <c r="AK665" s="1"/>
      <c r="AL665" s="1"/>
      <c r="AM665" s="1"/>
      <c r="AN665" s="1"/>
      <c r="AO665" s="1"/>
      <c r="AP665" s="1"/>
      <c r="AQ665" s="1"/>
      <c r="AR665" s="1"/>
      <c r="AS665" s="1"/>
      <c r="AT665" s="1"/>
      <c r="AU665" s="1"/>
      <c r="AV665" s="1"/>
      <c r="AW665" s="1"/>
      <c r="AX665" s="1"/>
      <c r="AY665" s="1"/>
      <c r="AZ665" s="1" t="b">
        <v>1</v>
      </c>
    </row>
    <row r="666" spans="1:52" ht="15" customHeight="1" x14ac:dyDescent="0.35">
      <c r="A666" s="1" t="s">
        <v>2169</v>
      </c>
      <c r="B666" s="1" t="s">
        <v>396</v>
      </c>
      <c r="C666" s="1" t="s">
        <v>988</v>
      </c>
      <c r="D666" s="1" t="s">
        <v>2091</v>
      </c>
      <c r="E666" s="1" t="s">
        <v>1983</v>
      </c>
      <c r="F666" s="9" t="s">
        <v>2170</v>
      </c>
      <c r="G666" s="1" t="s">
        <v>38</v>
      </c>
      <c r="H6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6" s="11" t="e">
        <f>ABS(NETWORKDAYS.INTL("06/04/24", "06/04/24", 1, {"01/01/2024","01/15/2024","02/19/2024","05/27/2024","07/04/2024","09/02/2024","10/14/2024","11/11/2024","11/28/2024","12/25/2024","12/25/2024","12/26/2024","12/27/2024","12/28/2024","12/29/2024","12/30/2024","31/25/2024","01/01/2024","01/02/2024","01/03/2024","01/04/2024","01/05/2024"}))</f>
        <v>#VALUE!</v>
      </c>
      <c r="J666">
        <f>0</f>
        <v>0</v>
      </c>
      <c r="K666" s="1"/>
      <c r="L666" s="1">
        <v>1</v>
      </c>
      <c r="M666" s="1" t="e">
        <f>ABS(NETWORKDAYS.INTL("06/14/24", "06/14/24", 1, {"01/01/2024","01/15/2024","02/19/2024","05/27/2024","07/04/2024","09/02/2024","10/14/2024","11/11/2024","11/28/2024","12/25/2024","12/25/2024","12/26/2024","12/27/2024","12/28/2024","12/29/2024","12/30/2024","31/25/2024","01/01/2024","01/02/2024","01/03/2024","01/04/2024","01/05/2024"}))</f>
        <v>#VALUE!</v>
      </c>
      <c r="N666" s="1">
        <f>0</f>
        <v>0</v>
      </c>
      <c r="O666" s="1">
        <f>0</f>
        <v>0</v>
      </c>
      <c r="P666" s="1"/>
      <c r="Q666" s="1">
        <v>0</v>
      </c>
      <c r="R666" s="1">
        <v>0</v>
      </c>
      <c r="S666" s="1">
        <f>0</f>
        <v>0</v>
      </c>
      <c r="T666" s="1">
        <f>0</f>
        <v>0</v>
      </c>
      <c r="U666" s="1"/>
      <c r="V666" s="1">
        <v>1</v>
      </c>
      <c r="W666" s="1">
        <v>1</v>
      </c>
      <c r="X666" s="1" t="e">
        <f>ABS(NETWORKDAYS.INTL("06/14/24", "06/19/24", 1, {"01/01/2024","01/15/2024","02/19/2024","05/27/2024","07/04/2024","09/02/2024","10/14/2024","11/11/2024","11/28/2024","12/25/2024","12/25/2024","12/26/2024","12/27/2024","12/28/2024","12/29/2024","12/30/2024","31/25/2024","01/01/2024","01/02/2024","01/03/2024","01/04/2024","01/05/2024"}))</f>
        <v>#VALUE!</v>
      </c>
      <c r="Y666" s="1">
        <f>0</f>
        <v>0</v>
      </c>
      <c r="Z666" s="1">
        <f>0</f>
        <v>0</v>
      </c>
      <c r="AA666" s="1"/>
      <c r="AB666" s="5">
        <v>45468</v>
      </c>
      <c r="AC666" s="5">
        <v>45502</v>
      </c>
      <c r="AD666" s="1" t="e">
        <f>ABS(NETWORKDAYS.INTL("06/14/24", "06/04/24", 1, {"01/01/2024","01/15/2024","02/19/2024","05/27/2024","07/04/2024","09/02/2024","10/14/2024","11/11/2024","11/28/2024","12/25/2024","12/25/2024","12/26/2024","12/27/2024","12/28/2024","12/29/2024","12/30/2024","31/25/2024","01/01/2024","01/02/2024","01/03/2024","01/04/2024","01/05/2024"}))</f>
        <v>#VALUE!</v>
      </c>
      <c r="AE666" s="1">
        <f>0</f>
        <v>0</v>
      </c>
      <c r="AF666" s="1">
        <f>0</f>
        <v>0</v>
      </c>
      <c r="AG666" s="1" t="e">
        <f>ABS(NETWORKDAYS.INTL("06/14/24", "08/05/24", 1, {"01/01/2024","01/15/2024","02/19/2024","05/27/2024","07/04/2024","09/02/2024","10/14/2024","11/11/2024","11/28/2024","12/25/2024","12/25/2024","12/26/2024","12/27/2024","12/28/2024","12/29/2024","12/30/2024","31/25/2024","01/01/2024","01/02/2024","01/03/2024","01/04/2024","01/05/2024"}))</f>
        <v>#VALUE!</v>
      </c>
      <c r="AH666" s="1" t="e">
        <f>ABS(NETWORKDAYS.INTL("06/14/24", "06/14/24", 1, {"01/01/2024","01/15/2024","02/19/2024","05/27/2024","07/04/2024","09/02/2024","10/14/2024","11/11/2024","11/28/2024","12/25/2024","12/25/2024","12/26/2024","12/27/2024","12/28/2024","12/29/2024","12/30/2024","31/25/2024","01/01/2024","01/02/2024","01/03/2024","01/04/2024","01/05/2024"}))</f>
        <v>#VALUE!</v>
      </c>
      <c r="AI666" s="1" t="e">
        <f>ABS(NETWORKDAYS.INTL("7/29/2024", "06/25/24", 1, {"01/01/2024","01/15/2024","02/19/2024","05/27/2024","07/04/2024","09/02/2024","10/14/2024","11/11/2024","11/28/2024","12/25/2024","12/25/2024","12/26/2024","12/27/2024","12/28/2024","12/29/2024","12/30/2024","31/25/2024","01/01/2024","01/02/2024","01/03/2024","01/04/2024","01/05/2024"}))</f>
        <v>#VALUE!</v>
      </c>
      <c r="AJ666" s="1" t="b">
        <v>1</v>
      </c>
      <c r="AK666" s="1"/>
      <c r="AL666" s="1"/>
      <c r="AM666" s="1"/>
      <c r="AN666" s="1"/>
      <c r="AO666" s="1"/>
      <c r="AP666" s="1" t="b">
        <v>1</v>
      </c>
      <c r="AQ666" s="1"/>
      <c r="AR666" s="1"/>
      <c r="AS666" s="1"/>
      <c r="AT666" s="1"/>
      <c r="AU666" s="1"/>
      <c r="AV666" s="1"/>
      <c r="AW666" s="1"/>
      <c r="AX666" s="1"/>
      <c r="AY666" s="1"/>
      <c r="AZ666" s="1" t="b">
        <v>1</v>
      </c>
    </row>
    <row r="667" spans="1:52" ht="15" customHeight="1" x14ac:dyDescent="0.35">
      <c r="A667" s="1" t="s">
        <v>2171</v>
      </c>
      <c r="B667" s="1" t="s">
        <v>397</v>
      </c>
      <c r="C667" s="1" t="s">
        <v>1329</v>
      </c>
      <c r="D667" s="1" t="s">
        <v>1354</v>
      </c>
      <c r="E667" s="1" t="s">
        <v>1336</v>
      </c>
      <c r="F667" s="9" t="s">
        <v>2172</v>
      </c>
      <c r="G667" s="1" t="s">
        <v>38</v>
      </c>
      <c r="H6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7" s="11" t="e">
        <f>ABS(NETWORKDAYS.INTL("05/17/24", "05/23/24", 1, {"01/01/2024","01/15/2024","02/19/2024","05/27/2024","07/04/2024","09/02/2024","10/14/2024","11/11/2024","11/28/2024","12/25/2024","12/25/2024","12/26/2024","12/27/2024","12/28/2024","12/29/2024","12/30/2024","31/25/2024","01/01/2024","01/02/2024","01/03/2024","01/04/2024","01/05/2024"}))</f>
        <v>#VALUE!</v>
      </c>
      <c r="J667">
        <f>0</f>
        <v>0</v>
      </c>
      <c r="K667" s="1"/>
      <c r="L667" s="1">
        <v>0</v>
      </c>
      <c r="M667" s="1">
        <f>0</f>
        <v>0</v>
      </c>
      <c r="N667" s="1">
        <f>0</f>
        <v>0</v>
      </c>
      <c r="O667" s="1">
        <f>0</f>
        <v>0</v>
      </c>
      <c r="P667" s="1"/>
      <c r="Q667" s="1">
        <v>0</v>
      </c>
      <c r="R667" s="1">
        <v>0</v>
      </c>
      <c r="S667" s="1">
        <f>0</f>
        <v>0</v>
      </c>
      <c r="T667" s="1">
        <f>0</f>
        <v>0</v>
      </c>
      <c r="U667" s="1"/>
      <c r="V667" s="1">
        <v>0</v>
      </c>
      <c r="W667" s="1">
        <v>0</v>
      </c>
      <c r="X667" s="1">
        <f>0</f>
        <v>0</v>
      </c>
      <c r="Y667" s="1">
        <f>0</f>
        <v>0</v>
      </c>
      <c r="Z667" s="1">
        <f>0</f>
        <v>0</v>
      </c>
      <c r="AA667" s="1"/>
      <c r="AB667" s="5"/>
      <c r="AC667" s="1"/>
      <c r="AD667" s="1">
        <f>0</f>
        <v>0</v>
      </c>
      <c r="AE667" s="1">
        <f>0</f>
        <v>0</v>
      </c>
      <c r="AF667" s="1">
        <f>0</f>
        <v>0</v>
      </c>
      <c r="AG667" s="1">
        <f>0</f>
        <v>0</v>
      </c>
      <c r="AH667" s="1">
        <f>0</f>
        <v>0</v>
      </c>
      <c r="AI667" s="1">
        <f>0</f>
        <v>0</v>
      </c>
      <c r="AJ667" s="1" t="b">
        <v>1</v>
      </c>
      <c r="AK667" s="1"/>
      <c r="AL667" s="1"/>
      <c r="AM667" s="1"/>
      <c r="AN667" s="1"/>
      <c r="AO667" s="1"/>
      <c r="AP667" s="1" t="b">
        <v>1</v>
      </c>
      <c r="AQ667" s="1"/>
      <c r="AR667" s="1"/>
      <c r="AS667" s="1"/>
      <c r="AT667" s="1"/>
      <c r="AU667" s="1"/>
      <c r="AV667" s="1"/>
      <c r="AW667" s="1"/>
      <c r="AX667" s="1"/>
      <c r="AY667" s="1" t="b">
        <v>1</v>
      </c>
      <c r="AZ667" s="1"/>
    </row>
    <row r="668" spans="1:52" ht="15" customHeight="1" x14ac:dyDescent="0.35">
      <c r="A668" s="1" t="s">
        <v>2173</v>
      </c>
      <c r="B668" s="1" t="s">
        <v>2174</v>
      </c>
      <c r="C668" s="1" t="s">
        <v>1329</v>
      </c>
      <c r="D668" s="1" t="s">
        <v>1335</v>
      </c>
      <c r="E668" s="1" t="s">
        <v>1336</v>
      </c>
      <c r="F668" s="9" t="s">
        <v>2175</v>
      </c>
      <c r="G668" s="1" t="s">
        <v>38</v>
      </c>
      <c r="H6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68" s="11" t="e">
        <f>ABS(NETWORKDAYS.INTL("05/30/24", "06/06/24", 1, {"01/01/2024","01/15/2024","02/19/2024","05/27/2024","07/04/2024","09/02/2024","10/14/2024","11/11/2024","11/28/2024","12/25/2024","12/25/2024","12/26/2024","12/27/2024","12/28/2024","12/29/2024","12/30/2024","31/25/2024","01/01/2024","01/02/2024","01/03/2024","01/04/2024","01/05/2024"}))</f>
        <v>#VALUE!</v>
      </c>
      <c r="J668">
        <f>0</f>
        <v>0</v>
      </c>
      <c r="K668" s="1"/>
      <c r="L668" s="1">
        <v>0</v>
      </c>
      <c r="M668" s="1">
        <f>0</f>
        <v>0</v>
      </c>
      <c r="N668" s="1">
        <f>0</f>
        <v>0</v>
      </c>
      <c r="O668" s="1">
        <f>0</f>
        <v>0</v>
      </c>
      <c r="P668" s="1"/>
      <c r="Q668" s="1">
        <v>0</v>
      </c>
      <c r="R668" s="1">
        <v>0</v>
      </c>
      <c r="S668" s="1">
        <f>0</f>
        <v>0</v>
      </c>
      <c r="T668" s="1">
        <f>0</f>
        <v>0</v>
      </c>
      <c r="U668" s="1"/>
      <c r="V668" s="1">
        <v>0</v>
      </c>
      <c r="W668" s="1">
        <v>0</v>
      </c>
      <c r="X668" s="1">
        <f>0</f>
        <v>0</v>
      </c>
      <c r="Y668" s="1">
        <f>0</f>
        <v>0</v>
      </c>
      <c r="Z668" s="1">
        <f>0</f>
        <v>0</v>
      </c>
      <c r="AA668" s="1"/>
      <c r="AB668" s="5"/>
      <c r="AC668" s="1"/>
      <c r="AD668" s="1">
        <f>0</f>
        <v>0</v>
      </c>
      <c r="AE668" s="1">
        <f>0</f>
        <v>0</v>
      </c>
      <c r="AF668" s="1">
        <f>0</f>
        <v>0</v>
      </c>
      <c r="AG668" s="1">
        <f>0</f>
        <v>0</v>
      </c>
      <c r="AH668" s="1">
        <f>0</f>
        <v>0</v>
      </c>
      <c r="AI668" s="1">
        <f>0</f>
        <v>0</v>
      </c>
      <c r="AJ668" s="1" t="b">
        <v>1</v>
      </c>
      <c r="AK668" s="1"/>
      <c r="AL668" s="1"/>
      <c r="AM668" s="1"/>
      <c r="AN668" s="1"/>
      <c r="AO668" s="1"/>
      <c r="AP668" s="1" t="b">
        <v>1</v>
      </c>
      <c r="AQ668" s="1"/>
      <c r="AR668" s="1"/>
      <c r="AS668" s="1"/>
      <c r="AT668" s="1"/>
      <c r="AU668" s="1"/>
      <c r="AV668" s="1"/>
      <c r="AW668" s="1"/>
      <c r="AX668" s="1"/>
      <c r="AY668" s="1" t="b">
        <v>1</v>
      </c>
      <c r="AZ668" s="1"/>
    </row>
    <row r="669" spans="1:52" ht="15" customHeight="1" x14ac:dyDescent="0.35">
      <c r="A669" s="1" t="s">
        <v>2176</v>
      </c>
      <c r="B669" s="1" t="s">
        <v>398</v>
      </c>
      <c r="C669" s="1" t="s">
        <v>988</v>
      </c>
      <c r="D669" s="1" t="s">
        <v>1367</v>
      </c>
      <c r="E669" s="1" t="s">
        <v>1983</v>
      </c>
      <c r="F669" s="9" t="s">
        <v>2177</v>
      </c>
      <c r="G669" s="1" t="s">
        <v>38</v>
      </c>
      <c r="H6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69" s="11" t="e">
        <f>ABS(NETWORKDAYS.INTL("05/30/24", "06/17/24", 1, {"01/01/2024","01/15/2024","02/19/2024","05/27/2024","07/04/2024","09/02/2024","10/14/2024","11/11/2024","11/28/2024","12/25/2024","12/25/2024","12/26/2024","12/27/2024","12/28/2024","12/29/2024","12/30/2024","31/25/2024","01/01/2024","01/02/2024","01/03/2024","01/04/2024","01/05/2024"}))</f>
        <v>#VALUE!</v>
      </c>
      <c r="J669">
        <f>0</f>
        <v>0</v>
      </c>
      <c r="K669" s="1"/>
      <c r="L669" s="1">
        <v>1</v>
      </c>
      <c r="M669" s="1" t="e">
        <f>ABS(NETWORKDAYS.INTL("06/20/24", "06/20/24", 1, {"01/01/2024","01/15/2024","02/19/2024","05/27/2024","07/04/2024","09/02/2024","10/14/2024","11/11/2024","11/28/2024","12/25/2024","12/25/2024","12/26/2024","12/27/2024","12/28/2024","12/29/2024","12/30/2024","31/25/2024","01/01/2024","01/02/2024","01/03/2024","01/04/2024","01/05/2024"}))</f>
        <v>#VALUE!</v>
      </c>
      <c r="N669" s="1">
        <f>0</f>
        <v>0</v>
      </c>
      <c r="O669" s="1">
        <f>0</f>
        <v>0</v>
      </c>
      <c r="P669" s="1"/>
      <c r="Q669" s="1">
        <v>0</v>
      </c>
      <c r="R669" s="1">
        <v>0</v>
      </c>
      <c r="S669" s="1">
        <f>0</f>
        <v>0</v>
      </c>
      <c r="T669" s="1">
        <f>0</f>
        <v>0</v>
      </c>
      <c r="U669" s="1"/>
      <c r="V669" s="1">
        <v>1</v>
      </c>
      <c r="W669" s="1">
        <v>1</v>
      </c>
      <c r="X669" s="1" t="e">
        <f>ABS(NETWORKDAYS.INTL("06/20/24", "06/21/24", 1, {"01/01/2024","01/15/2024","02/19/2024","05/27/2024","07/04/2024","09/02/2024","10/14/2024","11/11/2024","11/28/2024","12/25/2024","12/25/2024","12/26/2024","12/27/2024","12/28/2024","12/29/2024","12/30/2024","31/25/2024","01/01/2024","01/02/2024","01/03/2024","01/04/2024","01/05/2024"}))</f>
        <v>#VALUE!</v>
      </c>
      <c r="Y669" s="1">
        <f>0</f>
        <v>0</v>
      </c>
      <c r="Z669" s="1">
        <f>0</f>
        <v>0</v>
      </c>
      <c r="AA669" s="1"/>
      <c r="AB669" s="5">
        <v>45473</v>
      </c>
      <c r="AC669" s="5">
        <v>45504</v>
      </c>
      <c r="AD669" s="1" t="e">
        <f>ABS(NETWORKDAYS.INTL("06/20/24", "06/17/24", 1, {"01/01/2024","01/15/2024","02/19/2024","05/27/2024","07/04/2024","09/02/2024","10/14/2024","11/11/2024","11/28/2024","12/25/2024","12/25/2024","12/26/2024","12/27/2024","12/28/2024","12/29/2024","12/30/2024","31/25/2024","01/01/2024","01/02/2024","01/03/2024","01/04/2024","01/05/2024"}))</f>
        <v>#VALUE!</v>
      </c>
      <c r="AE669" s="1">
        <f>0</f>
        <v>0</v>
      </c>
      <c r="AF669" s="1">
        <f>0</f>
        <v>0</v>
      </c>
      <c r="AG669" s="1" t="e">
        <f>ABS(NETWORKDAYS.INTL("06/20/24", "08/05/24", 1, {"01/01/2024","01/15/2024","02/19/2024","05/27/2024","07/04/2024","09/02/2024","10/14/2024","11/11/2024","11/28/2024","12/25/2024","12/25/2024","12/26/2024","12/27/2024","12/28/2024","12/29/2024","12/30/2024","31/25/2024","01/01/2024","01/02/2024","01/03/2024","01/04/2024","01/05/2024"}))</f>
        <v>#VALUE!</v>
      </c>
      <c r="AH669" s="1" t="e">
        <f>ABS(NETWORKDAYS.INTL("06/20/24", "06/20/24", 1, {"01/01/2024","01/15/2024","02/19/2024","05/27/2024","07/04/2024","09/02/2024","10/14/2024","11/11/2024","11/28/2024","12/25/2024","12/25/2024","12/26/2024","12/27/2024","12/28/2024","12/29/2024","12/30/2024","31/25/2024","01/01/2024","01/02/2024","01/03/2024","01/04/2024","01/05/2024"}))</f>
        <v>#VALUE!</v>
      </c>
      <c r="AI669" s="1" t="e">
        <f>ABS(NETWORKDAYS.INTL("07/31/2024", "06/30/24", 1, {"01/01/2024","01/15/2024","02/19/2024","05/27/2024","07/04/2024","09/02/2024","10/14/2024","11/11/2024","11/28/2024","12/25/2024","12/25/2024","12/26/2024","12/27/2024","12/28/2024","12/29/2024","12/30/2024","31/25/2024","01/01/2024","01/02/2024","01/03/2024","01/04/2024","01/05/2024"}))</f>
        <v>#VALUE!</v>
      </c>
      <c r="AJ669" s="1" t="b">
        <v>1</v>
      </c>
      <c r="AK669" s="1"/>
      <c r="AL669" s="1"/>
      <c r="AM669" s="1"/>
      <c r="AN669" s="1"/>
      <c r="AO669" s="1"/>
      <c r="AP669" s="1" t="b">
        <v>1</v>
      </c>
      <c r="AQ669" s="1"/>
      <c r="AR669" s="1"/>
      <c r="AS669" s="1"/>
      <c r="AT669" s="1"/>
      <c r="AU669" s="1"/>
      <c r="AV669" s="1"/>
      <c r="AW669" s="1"/>
      <c r="AX669" s="1"/>
      <c r="AY669" s="1"/>
      <c r="AZ669" s="1" t="b">
        <v>1</v>
      </c>
    </row>
    <row r="670" spans="1:52" ht="15" customHeight="1" x14ac:dyDescent="0.35">
      <c r="A670" s="1" t="s">
        <v>2178</v>
      </c>
      <c r="B670" s="1" t="s">
        <v>399</v>
      </c>
      <c r="C670" s="1" t="s">
        <v>988</v>
      </c>
      <c r="D670" s="1" t="s">
        <v>2179</v>
      </c>
      <c r="E670" s="1" t="s">
        <v>1983</v>
      </c>
      <c r="F670" s="9" t="s">
        <v>2180</v>
      </c>
      <c r="G670" s="1" t="s">
        <v>38</v>
      </c>
      <c r="H6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0" s="11" t="e">
        <f>ABS(NETWORKDAYS.INTL("05/30/24", "05/30/24", 1, {"01/01/2024","01/15/2024","02/19/2024","05/27/2024","07/04/2024","09/02/2024","10/14/2024","11/11/2024","11/28/2024","12/25/2024","12/25/2024","12/26/2024","12/27/2024","12/28/2024","12/29/2024","12/30/2024","31/25/2024","01/01/2024","01/02/2024","01/03/2024","01/04/2024","01/05/2024"}))</f>
        <v>#VALUE!</v>
      </c>
      <c r="J670">
        <f>0</f>
        <v>0</v>
      </c>
      <c r="K670" s="1"/>
      <c r="L670" s="1">
        <v>1</v>
      </c>
      <c r="M670" s="1" t="e">
        <f>ABS(NETWORKDAYS.INTL("06/19/24", "06/19/24", 1, {"01/01/2024","01/15/2024","02/19/2024","05/27/2024","07/04/2024","09/02/2024","10/14/2024","11/11/2024","11/28/2024","12/25/2024","12/25/2024","12/26/2024","12/27/2024","12/28/2024","12/29/2024","12/30/2024","31/25/2024","01/01/2024","01/02/2024","01/03/2024","01/04/2024","01/05/2024"}))</f>
        <v>#VALUE!</v>
      </c>
      <c r="N670" s="1">
        <f>0</f>
        <v>0</v>
      </c>
      <c r="O670" s="1">
        <f>0</f>
        <v>0</v>
      </c>
      <c r="P670" s="1"/>
      <c r="Q670" s="1">
        <v>0</v>
      </c>
      <c r="R670" s="1">
        <v>0</v>
      </c>
      <c r="S670" s="1">
        <f>0</f>
        <v>0</v>
      </c>
      <c r="T670" s="1">
        <f>0</f>
        <v>0</v>
      </c>
      <c r="U670" s="1"/>
      <c r="V670" s="1">
        <v>1</v>
      </c>
      <c r="W670" s="1">
        <v>1</v>
      </c>
      <c r="X670" s="1" t="e">
        <f>ABS(NETWORKDAYS.INTL("06/19/24", "06/20/24", 1, {"01/01/2024","01/15/2024","02/19/2024","05/27/2024","07/04/2024","09/02/2024","10/14/2024","11/11/2024","11/28/2024","12/25/2024","12/25/2024","12/26/2024","12/27/2024","12/28/2024","12/29/2024","12/30/2024","31/25/2024","01/01/2024","01/02/2024","01/03/2024","01/04/2024","01/05/2024"}))</f>
        <v>#VALUE!</v>
      </c>
      <c r="Y670" s="1">
        <f>0</f>
        <v>0</v>
      </c>
      <c r="Z670" s="1">
        <f>0</f>
        <v>0</v>
      </c>
      <c r="AA670" s="1"/>
      <c r="AB670" s="5">
        <v>45470</v>
      </c>
      <c r="AC670" s="5">
        <v>45504</v>
      </c>
      <c r="AD670" s="1" t="e">
        <f>ABS(NETWORKDAYS.INTL("06/19/24", "05/30/24", 1, {"01/01/2024","01/15/2024","02/19/2024","05/27/2024","07/04/2024","09/02/2024","10/14/2024","11/11/2024","11/28/2024","12/25/2024","12/25/2024","12/26/2024","12/27/2024","12/28/2024","12/29/2024","12/30/2024","31/25/2024","01/01/2024","01/02/2024","01/03/2024","01/04/2024","01/05/2024"}))</f>
        <v>#VALUE!</v>
      </c>
      <c r="AE670" s="1">
        <f>0</f>
        <v>0</v>
      </c>
      <c r="AF670" s="1">
        <f>0</f>
        <v>0</v>
      </c>
      <c r="AG670" s="1" t="e">
        <f>ABS(NETWORKDAYS.INTL("06/19/24", "08/05/24", 1, {"01/01/2024","01/15/2024","02/19/2024","05/27/2024","07/04/2024","09/02/2024","10/14/2024","11/11/2024","11/28/2024","12/25/2024","12/25/2024","12/26/2024","12/27/2024","12/28/2024","12/29/2024","12/30/2024","31/25/2024","01/01/2024","01/02/2024","01/03/2024","01/04/2024","01/05/2024"}))</f>
        <v>#VALUE!</v>
      </c>
      <c r="AH670" s="1" t="e">
        <f>ABS(NETWORKDAYS.INTL("06/19/24", "06/19/24", 1, {"01/01/2024","01/15/2024","02/19/2024","05/27/2024","07/04/2024","09/02/2024","10/14/2024","11/11/2024","11/28/2024","12/25/2024","12/25/2024","12/26/2024","12/27/2024","12/28/2024","12/29/2024","12/30/2024","31/25/2024","01/01/2024","01/02/2024","01/03/2024","01/04/2024","01/05/2024"}))</f>
        <v>#VALUE!</v>
      </c>
      <c r="AI670" s="1" t="e">
        <f>ABS(NETWORKDAYS.INTL("07/31/2024", "06/27/24", 1, {"01/01/2024","01/15/2024","02/19/2024","05/27/2024","07/04/2024","09/02/2024","10/14/2024","11/11/2024","11/28/2024","12/25/2024","12/25/2024","12/26/2024","12/27/2024","12/28/2024","12/29/2024","12/30/2024","31/25/2024","01/01/2024","01/02/2024","01/03/2024","01/04/2024","01/05/2024"}))</f>
        <v>#VALUE!</v>
      </c>
      <c r="AJ670" s="1" t="b">
        <v>1</v>
      </c>
      <c r="AK670" s="1"/>
      <c r="AL670" s="1"/>
      <c r="AM670" s="1"/>
      <c r="AN670" s="1"/>
      <c r="AO670" s="1"/>
      <c r="AP670" s="1" t="b">
        <v>1</v>
      </c>
      <c r="AQ670" s="1"/>
      <c r="AR670" s="1"/>
      <c r="AS670" s="1"/>
      <c r="AT670" s="1"/>
      <c r="AU670" s="1"/>
      <c r="AV670" s="1"/>
      <c r="AW670" s="1"/>
      <c r="AX670" s="1"/>
      <c r="AY670" s="1"/>
      <c r="AZ670" s="1" t="b">
        <v>1</v>
      </c>
    </row>
    <row r="671" spans="1:52" ht="15" customHeight="1" x14ac:dyDescent="0.35">
      <c r="A671" s="1" t="s">
        <v>2181</v>
      </c>
      <c r="B671" s="1" t="s">
        <v>400</v>
      </c>
      <c r="C671" s="1" t="s">
        <v>1329</v>
      </c>
      <c r="D671" s="1" t="s">
        <v>2182</v>
      </c>
      <c r="E671" s="1" t="s">
        <v>2056</v>
      </c>
      <c r="F671" s="9" t="s">
        <v>2183</v>
      </c>
      <c r="G671" s="1" t="s">
        <v>38</v>
      </c>
      <c r="H6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1" s="11" t="e">
        <f>ABS(NETWORKDAYS.INTL("05/08/24", "05/28/24", 1, {"01/01/2024","01/15/2024","02/19/2024","05/27/2024","07/04/2024","09/02/2024","10/14/2024","11/11/2024","11/28/2024","12/25/2024","12/25/2024","12/26/2024","12/27/2024","12/28/2024","12/29/2024","12/30/2024","31/25/2024","01/01/2024","01/02/2024","01/03/2024","01/04/2024","01/05/2024"}))</f>
        <v>#VALUE!</v>
      </c>
      <c r="J671">
        <f>0</f>
        <v>0</v>
      </c>
      <c r="K671" s="1"/>
      <c r="L671" s="1">
        <v>0</v>
      </c>
      <c r="M671" s="1">
        <f>0</f>
        <v>0</v>
      </c>
      <c r="N671" s="1">
        <f>0</f>
        <v>0</v>
      </c>
      <c r="O671" s="1">
        <f>0</f>
        <v>0</v>
      </c>
      <c r="P671" s="1"/>
      <c r="Q671" s="1">
        <v>1</v>
      </c>
      <c r="R671" s="1">
        <v>1</v>
      </c>
      <c r="S671" s="1" t="e">
        <f>ABS(NETWORKDAYS.INTL("06/04/24", "06/06/24", 1, {"01/01/2024","01/15/2024","02/19/2024","05/27/2024","07/04/2024","09/02/2024","10/14/2024","11/11/2024","11/28/2024","12/25/2024","12/25/2024","12/26/2024","12/27/2024","12/28/2024","12/29/2024","12/30/2024","31/25/2024","01/01/2024","01/02/2024","01/03/2024","01/04/2024","01/05/2024"})+NETWORKDAYS.INTL("06/06/24", "08/05/24", 1, {"01/01/2024","01/15/2024","02/19/2024","05/27/2024","07/04/2024","09/02/2024","10/14/2024","11/11/2024","11/28/2024","12/25/2024","12/25/2024","12/26/2024","12/27/2024","12/28/2024","12/29/2024","12/30/2024","31/25/2024","01/01/2024","01/02/2024","01/03/2024","01/04/2024","01/05/2024"}))</f>
        <v>#VALUE!</v>
      </c>
      <c r="T671" s="1" t="e">
        <f>ABS(NETWORKDAYS.INTL("06/17/24", "07/22/24", 1, {"01/01/2024","01/15/2024","02/19/2024","05/27/2024","07/04/2024","09/02/2024","10/14/2024","11/11/2024","11/28/2024","12/25/2024","12/25/2024","12/26/2024","12/27/2024","12/28/2024","12/29/2024","12/30/2024","31/25/2024","01/01/2024","01/02/2024","01/03/2024","01/04/2024","01/05/2024"}))</f>
        <v>#VALUE!</v>
      </c>
      <c r="U671" s="1"/>
      <c r="V671" s="1">
        <v>1</v>
      </c>
      <c r="W671" s="1">
        <v>0</v>
      </c>
      <c r="X671" s="1">
        <f>0</f>
        <v>0</v>
      </c>
      <c r="Y671" s="1">
        <f>0</f>
        <v>0</v>
      </c>
      <c r="Z671" s="1">
        <f>0</f>
        <v>0</v>
      </c>
      <c r="AA671" s="1"/>
      <c r="AB671" s="5"/>
      <c r="AC671" s="1"/>
      <c r="AD671" s="1">
        <f>0</f>
        <v>0</v>
      </c>
      <c r="AE671" s="1">
        <f>0</f>
        <v>0</v>
      </c>
      <c r="AF671" s="1" t="e">
        <f>ABS(NETWORKDAYS.INTL("06/04/24", "06/04/24", 1, {"01/01/2024","01/15/2024","02/19/2024","05/27/2024","07/04/2024","09/02/2024","10/14/2024","11/11/2024","11/28/2024","12/25/2024","12/25/2024","12/26/2024","12/27/2024","12/28/2024","12/29/2024","12/30/2024","31/25/2024","01/01/2024","01/02/2024","01/03/2024","01/04/2024","01/05/2024"}))</f>
        <v>#VALUE!</v>
      </c>
      <c r="AG671" s="1" t="e">
        <f>ABS(NETWORKDAYS.INTL("07/22/24", "06/04/24", 1, {"01/01/2024","01/15/2024","02/19/2024","05/27/2024","07/04/2024","09/02/2024","10/14/2024","11/11/2024","11/28/2024","12/25/2024","12/25/2024","12/26/2024","12/27/2024","12/28/2024","12/29/2024","12/30/2024","31/25/2024","01/01/2024","01/02/2024","01/03/2024","01/04/2024","01/05/2024"}))</f>
        <v>#VALUE!</v>
      </c>
      <c r="AH671" s="1">
        <f>0</f>
        <v>0</v>
      </c>
      <c r="AI671" s="1">
        <f>0</f>
        <v>0</v>
      </c>
      <c r="AJ671" s="1" t="b">
        <v>1</v>
      </c>
      <c r="AK671" s="1"/>
      <c r="AL671" s="1"/>
      <c r="AM671" s="1"/>
      <c r="AN671" s="1"/>
      <c r="AO671" s="1"/>
      <c r="AP671" s="1" t="b">
        <v>1</v>
      </c>
      <c r="AQ671" s="1"/>
      <c r="AR671" s="1"/>
      <c r="AS671" s="1"/>
      <c r="AT671" s="1"/>
      <c r="AU671" s="1"/>
      <c r="AV671" s="1"/>
      <c r="AW671" s="1"/>
      <c r="AX671" s="1"/>
      <c r="AY671" s="1" t="b">
        <v>1</v>
      </c>
      <c r="AZ671" s="1"/>
    </row>
    <row r="672" spans="1:52" ht="15" customHeight="1" x14ac:dyDescent="0.35">
      <c r="A672" s="1" t="s">
        <v>2184</v>
      </c>
      <c r="B672" s="1" t="s">
        <v>401</v>
      </c>
      <c r="C672" s="1" t="s">
        <v>988</v>
      </c>
      <c r="D672" s="1" t="s">
        <v>2185</v>
      </c>
      <c r="E672" s="1" t="s">
        <v>2052</v>
      </c>
      <c r="F672" s="9" t="s">
        <v>2186</v>
      </c>
      <c r="G672" s="1" t="s">
        <v>38</v>
      </c>
      <c r="H6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2" s="11" t="e">
        <f>ABS(NETWORKDAYS.INTL("06/11/24", "06/11/24", 1, {"01/01/2024","01/15/2024","02/19/2024","05/27/2024","07/04/2024","09/02/2024","10/14/2024","11/11/2024","11/28/2024","12/25/2024","12/25/2024","12/26/2024","12/27/2024","12/28/2024","12/29/2024","12/30/2024","31/25/2024","01/01/2024","01/02/2024","01/03/2024","01/04/2024","01/05/2024"}))</f>
        <v>#VALUE!</v>
      </c>
      <c r="J672">
        <f>0</f>
        <v>0</v>
      </c>
      <c r="K672" s="1"/>
      <c r="L672" s="1">
        <v>1</v>
      </c>
      <c r="M672" s="1" t="e">
        <f>ABS(NETWORKDAYS.INTL("06/13/24", "06/13/24", 1, {"01/01/2024","01/15/2024","02/19/2024","05/27/2024","07/04/2024","09/02/2024","10/14/2024","11/11/2024","11/28/2024","12/25/2024","12/25/2024","12/26/2024","12/27/2024","12/28/2024","12/29/2024","12/30/2024","31/25/2024","01/01/2024","01/02/2024","01/03/2024","01/04/2024","01/05/2024"}))</f>
        <v>#VALUE!</v>
      </c>
      <c r="N672" s="1">
        <f>0</f>
        <v>0</v>
      </c>
      <c r="O672" s="1">
        <f>0</f>
        <v>0</v>
      </c>
      <c r="P672" s="1"/>
      <c r="Q672" s="1">
        <v>0</v>
      </c>
      <c r="R672" s="1">
        <v>0</v>
      </c>
      <c r="S672" s="1">
        <f>0</f>
        <v>0</v>
      </c>
      <c r="T672" s="1">
        <f>0</f>
        <v>0</v>
      </c>
      <c r="U672" s="1"/>
      <c r="V672" s="1">
        <v>1</v>
      </c>
      <c r="W672" s="1">
        <v>1</v>
      </c>
      <c r="X672" s="1" t="e">
        <f>ABS(NETWORKDAYS.INTL("06/13/24", "06/14/24", 1, {"01/01/2024","01/15/2024","02/19/2024","05/27/2024","07/04/2024","09/02/2024","10/14/2024","11/11/2024","11/28/2024","12/25/2024","12/25/2024","12/26/2024","12/27/2024","12/28/2024","12/29/2024","12/30/2024","31/25/2024","01/01/2024","01/02/2024","01/03/2024","01/04/2024","01/05/2024"}))</f>
        <v>#VALUE!</v>
      </c>
      <c r="Y672" s="1">
        <f>0</f>
        <v>0</v>
      </c>
      <c r="Z672" s="1">
        <f>0</f>
        <v>0</v>
      </c>
      <c r="AA672" s="1"/>
      <c r="AB672" s="5">
        <v>45457</v>
      </c>
      <c r="AC672" s="5">
        <v>45502</v>
      </c>
      <c r="AD672" s="1" t="e">
        <f>ABS(NETWORKDAYS.INTL("06/13/24", "06/11/24", 1, {"01/01/2024","01/15/2024","02/19/2024","05/27/2024","07/04/2024","09/02/2024","10/14/2024","11/11/2024","11/28/2024","12/25/2024","12/25/2024","12/26/2024","12/27/2024","12/28/2024","12/29/2024","12/30/2024","31/25/2024","01/01/2024","01/02/2024","01/03/2024","01/04/2024","01/05/2024"}))</f>
        <v>#VALUE!</v>
      </c>
      <c r="AE672" s="1">
        <f>0</f>
        <v>0</v>
      </c>
      <c r="AF672" s="1">
        <f>0</f>
        <v>0</v>
      </c>
      <c r="AG672" s="1" t="e">
        <f>ABS(NETWORKDAYS.INTL("06/13/24", "08/05/24", 1, {"01/01/2024","01/15/2024","02/19/2024","05/27/2024","07/04/2024","09/02/2024","10/14/2024","11/11/2024","11/28/2024","12/25/2024","12/25/2024","12/26/2024","12/27/2024","12/28/2024","12/29/2024","12/30/2024","31/25/2024","01/01/2024","01/02/2024","01/03/2024","01/04/2024","01/05/2024"}))</f>
        <v>#VALUE!</v>
      </c>
      <c r="AH672" s="1" t="e">
        <f>ABS(NETWORKDAYS.INTL("06/13/24", "06/13/24", 1, {"01/01/2024","01/15/2024","02/19/2024","05/27/2024","07/04/2024","09/02/2024","10/14/2024","11/11/2024","11/28/2024","12/25/2024","12/25/2024","12/26/2024","12/27/2024","12/28/2024","12/29/2024","12/30/2024","31/25/2024","01/01/2024","01/02/2024","01/03/2024","01/04/2024","01/05/2024"}))</f>
        <v>#VALUE!</v>
      </c>
      <c r="AI672" s="1" t="e">
        <f>ABS(NETWORKDAYS.INTL("7/29/2024", "06/14/24", 1, {"01/01/2024","01/15/2024","02/19/2024","05/27/2024","07/04/2024","09/02/2024","10/14/2024","11/11/2024","11/28/2024","12/25/2024","12/25/2024","12/26/2024","12/27/2024","12/28/2024","12/29/2024","12/30/2024","31/25/2024","01/01/2024","01/02/2024","01/03/2024","01/04/2024","01/05/2024"}))</f>
        <v>#VALUE!</v>
      </c>
      <c r="AJ672" s="1" t="b">
        <v>1</v>
      </c>
      <c r="AK672" s="1"/>
      <c r="AL672" s="1"/>
      <c r="AM672" s="1"/>
      <c r="AN672" s="1"/>
      <c r="AO672" s="1"/>
      <c r="AP672" s="1"/>
      <c r="AQ672" s="1"/>
      <c r="AR672" s="1"/>
      <c r="AS672" s="1"/>
      <c r="AT672" s="1"/>
      <c r="AU672" s="1"/>
      <c r="AV672" s="1"/>
      <c r="AW672" s="1"/>
      <c r="AX672" s="1"/>
      <c r="AY672" s="1"/>
      <c r="AZ672" s="1" t="b">
        <v>1</v>
      </c>
    </row>
    <row r="673" spans="1:52" ht="15" customHeight="1" x14ac:dyDescent="0.35">
      <c r="A673" s="1" t="s">
        <v>2187</v>
      </c>
      <c r="B673" s="1" t="s">
        <v>402</v>
      </c>
      <c r="C673" s="1" t="s">
        <v>612</v>
      </c>
      <c r="D673" s="1" t="s">
        <v>2188</v>
      </c>
      <c r="E673" s="1" t="s">
        <v>2056</v>
      </c>
      <c r="F673" s="9" t="s">
        <v>2189</v>
      </c>
      <c r="G673" s="1" t="s">
        <v>38</v>
      </c>
      <c r="H6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73" s="11" t="e">
        <f>ABS(NETWORKDAYS.INTL("05/14/24", "05/23/24", 1, {"01/01/2024","01/15/2024","02/19/2024","05/27/2024","07/04/2024","09/02/2024","10/14/2024","11/11/2024","11/28/2024","12/25/2024","12/25/2024","12/26/2024","12/27/2024","12/28/2024","12/29/2024","12/30/2024","31/25/2024","01/01/2024","01/02/2024","01/03/2024","01/04/2024","01/05/2024"}))</f>
        <v>#VALUE!</v>
      </c>
      <c r="J673">
        <f>0</f>
        <v>0</v>
      </c>
      <c r="K673" s="1"/>
      <c r="L673" s="1">
        <v>1</v>
      </c>
      <c r="M673" s="1" t="e">
        <f>ABS(NETWORKDAYS.INTL("06/03/24", "06/03/24", 1, {"01/01/2024","01/15/2024","02/19/2024","05/27/2024","07/04/2024","09/02/2024","10/14/2024","11/11/2024","11/28/2024","12/25/2024","12/25/2024","12/26/2024","12/27/2024","12/28/2024","12/29/2024","12/30/2024","31/25/2024","01/01/2024","01/02/2024","01/03/2024","01/04/2024","01/05/2024"}))</f>
        <v>#VALUE!</v>
      </c>
      <c r="N673" s="1">
        <f>0</f>
        <v>0</v>
      </c>
      <c r="O673" s="1">
        <f>0</f>
        <v>0</v>
      </c>
      <c r="P673" s="1"/>
      <c r="Q673" s="1">
        <v>1</v>
      </c>
      <c r="R673" s="1">
        <v>1</v>
      </c>
      <c r="S673" s="1">
        <f>0</f>
        <v>0</v>
      </c>
      <c r="T673" s="1">
        <f>0</f>
        <v>0</v>
      </c>
      <c r="U673" s="1"/>
      <c r="V673" s="1">
        <v>3</v>
      </c>
      <c r="W673" s="1">
        <v>2</v>
      </c>
      <c r="X673" s="1" t="e">
        <f>ABS(NETWORKDAYS.INTL("06/07/24", "06/14/24",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73" s="1" t="e">
        <f>ABS(NETWORKDAYS.INTL("06/19/24", "06/19/24", 1, {"01/01/2024","01/15/2024","02/19/2024","05/27/2024","07/04/2024","09/02/2024","10/14/2024","11/11/2024","11/28/2024","12/25/2024","12/25/2024","12/26/2024","12/27/2024","12/28/2024","12/29/2024","12/30/2024","31/25/2024","01/01/2024","01/02/2024","01/03/2024","01/04/2024","01/05/2024"})+NETWORKDAYS.INTL("07/01/24", "07/01/24", 1, {"01/01/2024","01/15/2024","02/19/2024","05/27/2024","07/04/2024","09/02/2024","10/14/2024","11/11/2024","11/28/2024","12/25/2024","12/25/2024","12/26/2024","12/27/2024","12/28/2024","12/29/2024","12/30/2024","31/25/2024","01/01/2024","01/02/2024","01/03/2024","01/04/2024","01/05/2024"}))</f>
        <v>#VALUE!</v>
      </c>
      <c r="Z673" s="1">
        <f>0</f>
        <v>0</v>
      </c>
      <c r="AA673" s="1"/>
      <c r="AB673" s="5"/>
      <c r="AC673" s="1"/>
      <c r="AD673" s="1" t="e">
        <f>ABS(NETWORKDAYS.INTL("06/03/24", "05/23/24", 1, {"01/01/2024","01/15/2024","02/19/2024","05/27/2024","07/04/2024","09/02/2024","10/14/2024","11/11/2024","11/28/2024","12/25/2024","12/25/2024","12/26/2024","12/27/2024","12/28/2024","12/29/2024","12/30/2024","31/25/2024","01/01/2024","01/02/2024","01/03/2024","01/04/2024","01/05/2024"}))</f>
        <v>#VALUE!</v>
      </c>
      <c r="AE673" s="1">
        <f>0</f>
        <v>0</v>
      </c>
      <c r="AF673" s="1" t="e">
        <f>ABS(NETWORKDAYS.INTL("06/07/24", "06/03/24", 1, {"01/01/2024","01/15/2024","02/19/2024","05/27/2024","07/04/2024","09/02/2024","10/14/2024","11/11/2024","11/28/2024","12/25/2024","12/25/2024","12/26/2024","12/27/2024","12/28/2024","12/29/2024","12/30/2024","31/25/2024","01/01/2024","01/02/2024","01/03/2024","01/04/2024","01/05/2024"}))</f>
        <v>#VALUE!</v>
      </c>
      <c r="AG673" s="1" t="e">
        <f>ABS(NETWORKDAYS.INTL("06/07/24", "06/07/24", 1, {"01/01/2024","01/15/2024","02/19/2024","05/27/2024","07/04/2024","09/02/2024","10/14/2024","11/11/2024","11/28/2024","12/25/2024","12/25/2024","12/26/2024","12/27/2024","12/28/2024","12/29/2024","12/30/2024","31/25/2024","01/01/2024","01/02/2024","01/03/2024","01/04/2024","01/05/2024"}))</f>
        <v>#VALUE!</v>
      </c>
      <c r="AH673" s="1" t="e">
        <f>ABS(NETWORKDAYS.INTL("06/07/24", "06/07/24", 1, {"01/01/2024","01/15/2024","02/19/2024","05/27/2024","07/04/2024","09/02/2024","10/14/2024","11/11/2024","11/28/2024","12/25/2024","12/25/2024","12/26/2024","12/27/2024","12/28/2024","12/29/2024","12/30/2024","31/25/2024","01/01/2024","01/02/2024","01/03/2024","01/04/2024","01/05/2024"}))</f>
        <v>#VALUE!</v>
      </c>
      <c r="AI673" s="1">
        <f>0</f>
        <v>0</v>
      </c>
      <c r="AJ673" s="1" t="b">
        <v>1</v>
      </c>
      <c r="AK673" s="1"/>
      <c r="AL673" s="1"/>
      <c r="AM673" s="1"/>
      <c r="AN673" s="1"/>
      <c r="AO673" s="1"/>
      <c r="AP673" s="1" t="b">
        <v>1</v>
      </c>
      <c r="AQ673" s="1"/>
      <c r="AR673" s="1"/>
      <c r="AS673" s="1"/>
      <c r="AT673" s="1"/>
      <c r="AU673" s="1"/>
      <c r="AV673" s="1"/>
      <c r="AW673" s="1"/>
      <c r="AX673" s="1"/>
      <c r="AY673" s="1" t="b">
        <v>1</v>
      </c>
      <c r="AZ673" s="1"/>
    </row>
    <row r="674" spans="1:52" ht="15" customHeight="1" x14ac:dyDescent="0.35">
      <c r="A674" s="1" t="s">
        <v>2190</v>
      </c>
      <c r="B674" s="1" t="s">
        <v>403</v>
      </c>
      <c r="C674" s="1" t="s">
        <v>988</v>
      </c>
      <c r="D674" s="1" t="s">
        <v>2191</v>
      </c>
      <c r="E674" s="1" t="s">
        <v>1983</v>
      </c>
      <c r="F674" s="9" t="s">
        <v>2192</v>
      </c>
      <c r="G674" s="1" t="s">
        <v>38</v>
      </c>
      <c r="H6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4" s="11" t="e">
        <f>ABS(NETWORKDAYS.INTL("05/29/24", "06/17/24", 1, {"01/01/2024","01/15/2024","02/19/2024","05/27/2024","07/04/2024","09/02/2024","10/14/2024","11/11/2024","11/28/2024","12/25/2024","12/25/2024","12/26/2024","12/27/2024","12/28/2024","12/29/2024","12/30/2024","31/25/2024","01/01/2024","01/02/2024","01/03/2024","01/04/2024","01/05/2024"}))</f>
        <v>#VALUE!</v>
      </c>
      <c r="J674">
        <f>0</f>
        <v>0</v>
      </c>
      <c r="K674" s="1"/>
      <c r="L674" s="1">
        <v>1</v>
      </c>
      <c r="M674" s="1" t="e">
        <f>ABS(NETWORKDAYS.INTL("06/20/24", "06/20/24", 1, {"01/01/2024","01/15/2024","02/19/2024","05/27/2024","07/04/2024","09/02/2024","10/14/2024","11/11/2024","11/28/2024","12/25/2024","12/25/2024","12/26/2024","12/27/2024","12/28/2024","12/29/2024","12/30/2024","31/25/2024","01/01/2024","01/02/2024","01/03/2024","01/04/2024","01/05/2024"}))</f>
        <v>#VALUE!</v>
      </c>
      <c r="N674" s="1">
        <f>0</f>
        <v>0</v>
      </c>
      <c r="O674" s="1">
        <f>0</f>
        <v>0</v>
      </c>
      <c r="P674" s="1"/>
      <c r="Q674" s="1">
        <v>0</v>
      </c>
      <c r="R674" s="1">
        <v>0</v>
      </c>
      <c r="S674" s="1">
        <f>0</f>
        <v>0</v>
      </c>
      <c r="T674" s="1">
        <f>0</f>
        <v>0</v>
      </c>
      <c r="U674" s="1"/>
      <c r="V674" s="1">
        <v>1</v>
      </c>
      <c r="W674" s="1">
        <v>1</v>
      </c>
      <c r="X674" s="1" t="e">
        <f>ABS(NETWORKDAYS.INTL("06/20/2024", "07/10/2024", 1, {"01/01/2024","01/15/2024","02/19/2024","05/27/2024","07/04/2024","09/02/2024","10/14/2024","11/11/2024","11/28/2024","12/25/2024","12/25/2024","12/26/2024","12/27/2024","12/28/2024","12/29/2024","12/30/2024","31/25/2024","01/01/2024","01/02/2024","01/03/2024","01/04/2024","01/05/2024"}))</f>
        <v>#VALUE!</v>
      </c>
      <c r="Y674" s="1">
        <f>0</f>
        <v>0</v>
      </c>
      <c r="Z674" s="1">
        <f>0</f>
        <v>0</v>
      </c>
      <c r="AA674" s="1"/>
      <c r="AB674" s="5">
        <v>45483</v>
      </c>
      <c r="AC674" s="5">
        <v>45504</v>
      </c>
      <c r="AD674" s="1" t="e">
        <f>ABS(NETWORKDAYS.INTL("06/20/24", "06/17/24", 1, {"01/01/2024","01/15/2024","02/19/2024","05/27/2024","07/04/2024","09/02/2024","10/14/2024","11/11/2024","11/28/2024","12/25/2024","12/25/2024","12/26/2024","12/27/2024","12/28/2024","12/29/2024","12/30/2024","31/25/2024","01/01/2024","01/02/2024","01/03/2024","01/04/2024","01/05/2024"}))</f>
        <v>#VALUE!</v>
      </c>
      <c r="AE674" s="1">
        <f>0</f>
        <v>0</v>
      </c>
      <c r="AF674" s="1">
        <f>0</f>
        <v>0</v>
      </c>
      <c r="AG674" s="1" t="e">
        <f>ABS(NETWORKDAYS.INTL("06/20/24", "08/05/24", 1, {"01/01/2024","01/15/2024","02/19/2024","05/27/2024","07/04/2024","09/02/2024","10/14/2024","11/11/2024","11/28/2024","12/25/2024","12/25/2024","12/26/2024","12/27/2024","12/28/2024","12/29/2024","12/30/2024","31/25/2024","01/01/2024","01/02/2024","01/03/2024","01/04/2024","01/05/2024"}))</f>
        <v>#VALUE!</v>
      </c>
      <c r="AH674" s="1" t="e">
        <f>ABS(NETWORKDAYS.INTL("06/20/2024", "06/20/24", 1, {"01/01/2024","01/15/2024","02/19/2024","05/27/2024","07/04/2024","09/02/2024","10/14/2024","11/11/2024","11/28/2024","12/25/2024","12/25/2024","12/26/2024","12/27/2024","12/28/2024","12/29/2024","12/30/2024","31/25/2024","01/01/2024","01/02/2024","01/03/2024","01/04/2024","01/05/2024"}))</f>
        <v>#VALUE!</v>
      </c>
      <c r="AI674" s="1" t="e">
        <f>ABS(NETWORKDAYS.INTL("07/31/2024", "07/10/2024", 1, {"01/01/2024","01/15/2024","02/19/2024","05/27/2024","07/04/2024","09/02/2024","10/14/2024","11/11/2024","11/28/2024","12/25/2024","12/25/2024","12/26/2024","12/27/2024","12/28/2024","12/29/2024","12/30/2024","31/25/2024","01/01/2024","01/02/2024","01/03/2024","01/04/2024","01/05/2024"}))</f>
        <v>#VALUE!</v>
      </c>
      <c r="AJ674" s="1" t="b">
        <v>1</v>
      </c>
      <c r="AK674" s="1"/>
      <c r="AL674" s="1"/>
      <c r="AM674" s="1"/>
      <c r="AN674" s="1"/>
      <c r="AO674" s="1"/>
      <c r="AP674" s="1" t="b">
        <v>1</v>
      </c>
      <c r="AQ674" s="1"/>
      <c r="AR674" s="1"/>
      <c r="AS674" s="1"/>
      <c r="AT674" s="1"/>
      <c r="AU674" s="1"/>
      <c r="AV674" s="1"/>
      <c r="AW674" s="1"/>
      <c r="AX674" s="1"/>
      <c r="AY674" s="1"/>
      <c r="AZ674" s="1" t="b">
        <v>1</v>
      </c>
    </row>
    <row r="675" spans="1:52" ht="15" customHeight="1" x14ac:dyDescent="0.35">
      <c r="A675" s="1" t="s">
        <v>2193</v>
      </c>
      <c r="B675" s="1" t="s">
        <v>404</v>
      </c>
      <c r="C675" s="1" t="s">
        <v>821</v>
      </c>
      <c r="D675" s="1" t="s">
        <v>1347</v>
      </c>
      <c r="E675" s="1" t="s">
        <v>2194</v>
      </c>
      <c r="F675" s="9" t="s">
        <v>2195</v>
      </c>
      <c r="G675" s="1" t="s">
        <v>38</v>
      </c>
      <c r="H6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5" s="11" t="e">
        <f>ABS(NETWORKDAYS.INTL("07/16/2024", "08/05/24", 1, {"01/01/2024","01/15/2024","02/19/2024","05/27/2024","07/04/2024","09/02/2024","10/14/2024","11/11/2024","11/28/2024","12/25/2024","12/25/2024","12/26/2024","12/27/2024","12/28/2024","12/29/2024","12/30/2024","31/25/2024","01/01/2024","01/02/2024","01/03/2024","01/04/2024","01/05/2024"}))</f>
        <v>#VALUE!</v>
      </c>
      <c r="J675">
        <f>0</f>
        <v>0</v>
      </c>
      <c r="K675" s="1"/>
      <c r="L675" s="1">
        <v>0</v>
      </c>
      <c r="M675" s="1">
        <f>0</f>
        <v>0</v>
      </c>
      <c r="N675" s="1">
        <f>0</f>
        <v>0</v>
      </c>
      <c r="O675" s="1">
        <f>0</f>
        <v>0</v>
      </c>
      <c r="P675" s="1"/>
      <c r="Q675" s="1">
        <v>0</v>
      </c>
      <c r="R675" s="1">
        <v>0</v>
      </c>
      <c r="S675" s="1">
        <f>0</f>
        <v>0</v>
      </c>
      <c r="T675" s="1">
        <f>0</f>
        <v>0</v>
      </c>
      <c r="U675" s="1"/>
      <c r="V675" s="1">
        <v>0</v>
      </c>
      <c r="W675" s="1">
        <v>0</v>
      </c>
      <c r="X675" s="1">
        <f>0</f>
        <v>0</v>
      </c>
      <c r="Y675" s="1">
        <f>0</f>
        <v>0</v>
      </c>
      <c r="Z675" s="1">
        <f>0</f>
        <v>0</v>
      </c>
      <c r="AA675" s="1"/>
      <c r="AB675" s="5"/>
      <c r="AC675" s="1"/>
      <c r="AD675" s="1">
        <f>0</f>
        <v>0</v>
      </c>
      <c r="AE675" s="1">
        <f>0</f>
        <v>0</v>
      </c>
      <c r="AF675" s="1">
        <f>0</f>
        <v>0</v>
      </c>
      <c r="AG675" s="1">
        <f>0</f>
        <v>0</v>
      </c>
      <c r="AH675" s="1">
        <f>0</f>
        <v>0</v>
      </c>
      <c r="AI675" s="1">
        <f>0</f>
        <v>0</v>
      </c>
      <c r="AJ675" s="1" t="b">
        <v>1</v>
      </c>
      <c r="AK675" s="1"/>
      <c r="AL675" s="1"/>
      <c r="AM675" s="1"/>
      <c r="AN675" s="1"/>
      <c r="AO675" s="1"/>
      <c r="AP675" s="1"/>
      <c r="AQ675" s="1"/>
      <c r="AR675" s="1"/>
      <c r="AS675" s="1"/>
      <c r="AT675" s="1" t="b">
        <v>1</v>
      </c>
      <c r="AU675" s="1"/>
      <c r="AV675" s="1"/>
      <c r="AW675" s="1"/>
      <c r="AX675" s="1"/>
      <c r="AY675" s="1" t="b">
        <v>1</v>
      </c>
      <c r="AZ675" s="1"/>
    </row>
    <row r="676" spans="1:52" ht="15" customHeight="1" x14ac:dyDescent="0.35">
      <c r="A676" s="1" t="s">
        <v>2196</v>
      </c>
      <c r="B676" s="1" t="s">
        <v>405</v>
      </c>
      <c r="C676" s="1" t="s">
        <v>1329</v>
      </c>
      <c r="D676" s="1" t="s">
        <v>1554</v>
      </c>
      <c r="E676" s="1" t="s">
        <v>1336</v>
      </c>
      <c r="F676" s="9" t="s">
        <v>2197</v>
      </c>
      <c r="G676" s="1" t="s">
        <v>38</v>
      </c>
      <c r="H6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6" s="11" t="e">
        <f>ABS(NETWORKDAYS.INTL("06/13/24", "06/17/24", 1, {"01/01/2024","01/15/2024","02/19/2024","05/27/2024","07/04/2024","09/02/2024","10/14/2024","11/11/2024","11/28/2024","12/25/2024","12/25/2024","12/26/2024","12/27/2024","12/28/2024","12/29/2024","12/30/2024","31/25/2024","01/01/2024","01/02/2024","01/03/2024","01/04/2024","01/05/2024"}))</f>
        <v>#VALUE!</v>
      </c>
      <c r="J676">
        <f>0</f>
        <v>0</v>
      </c>
      <c r="K676" s="1"/>
      <c r="L676" s="1">
        <v>0</v>
      </c>
      <c r="M676" s="1">
        <f>0</f>
        <v>0</v>
      </c>
      <c r="N676" s="1">
        <f>0</f>
        <v>0</v>
      </c>
      <c r="O676" s="1">
        <f>0</f>
        <v>0</v>
      </c>
      <c r="P676" s="1"/>
      <c r="Q676" s="1">
        <v>0</v>
      </c>
      <c r="R676" s="1">
        <v>0</v>
      </c>
      <c r="S676" s="1">
        <f>0</f>
        <v>0</v>
      </c>
      <c r="T676" s="1">
        <f>0</f>
        <v>0</v>
      </c>
      <c r="U676" s="1"/>
      <c r="V676" s="1">
        <v>0</v>
      </c>
      <c r="W676" s="1">
        <v>0</v>
      </c>
      <c r="X676" s="1">
        <f>0</f>
        <v>0</v>
      </c>
      <c r="Y676" s="1">
        <f>0</f>
        <v>0</v>
      </c>
      <c r="Z676" s="1">
        <f>0</f>
        <v>0</v>
      </c>
      <c r="AA676" s="1"/>
      <c r="AB676" s="5"/>
      <c r="AC676" s="1"/>
      <c r="AD676" s="1">
        <f>0</f>
        <v>0</v>
      </c>
      <c r="AE676" s="1">
        <f>0</f>
        <v>0</v>
      </c>
      <c r="AF676" s="1">
        <f>0</f>
        <v>0</v>
      </c>
      <c r="AG676" s="1">
        <f>0</f>
        <v>0</v>
      </c>
      <c r="AH676" s="1">
        <f>0</f>
        <v>0</v>
      </c>
      <c r="AI676" s="1">
        <f>0</f>
        <v>0</v>
      </c>
      <c r="AJ676" s="1" t="b">
        <v>1</v>
      </c>
      <c r="AK676" s="1"/>
      <c r="AL676" s="1"/>
      <c r="AM676" s="1"/>
      <c r="AN676" s="1"/>
      <c r="AO676" s="1"/>
      <c r="AP676" s="1" t="b">
        <v>1</v>
      </c>
      <c r="AQ676" s="1"/>
      <c r="AR676" s="1"/>
      <c r="AS676" s="1"/>
      <c r="AT676" s="1"/>
      <c r="AU676" s="1"/>
      <c r="AV676" s="1"/>
      <c r="AW676" s="1"/>
      <c r="AX676" s="1"/>
      <c r="AY676" s="1" t="b">
        <v>1</v>
      </c>
      <c r="AZ676" s="1"/>
    </row>
    <row r="677" spans="1:52" ht="15" customHeight="1" x14ac:dyDescent="0.35">
      <c r="A677" s="1" t="s">
        <v>2198</v>
      </c>
      <c r="B677" s="1" t="s">
        <v>2199</v>
      </c>
      <c r="C677" s="1" t="s">
        <v>988</v>
      </c>
      <c r="D677" s="1" t="s">
        <v>2008</v>
      </c>
      <c r="E677" s="1" t="s">
        <v>2200</v>
      </c>
      <c r="F677" s="9" t="s">
        <v>2201</v>
      </c>
      <c r="G677" s="1" t="s">
        <v>38</v>
      </c>
      <c r="H6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77" s="11" t="e">
        <f>ABS(NETWORKDAYS.INTL("04/18/24", "05/23/24", 1, {"01/01/2024","01/15/2024","02/19/2024","05/27/2024","07/04/2024","09/02/2024","10/14/2024","11/11/2024","11/28/2024","12/25/2024","12/25/2024","12/26/2024","12/27/2024","12/28/2024","12/29/2024","12/30/2024","31/25/2024","01/01/2024","01/02/2024","01/03/2024","01/04/2024","01/05/2024"}))</f>
        <v>#VALUE!</v>
      </c>
      <c r="J677">
        <f>0</f>
        <v>0</v>
      </c>
      <c r="K677" s="1"/>
      <c r="L677" s="1">
        <v>1</v>
      </c>
      <c r="M677" s="1" t="e">
        <f>ABS(NETWORKDAYS.INTL("05/28/24", "05/28/24", 1, {"01/01/2024","01/15/2024","02/19/2024","05/27/2024","07/04/2024","09/02/2024","10/14/2024","11/11/2024","11/28/2024","12/25/2024","12/25/2024","12/26/2024","12/27/2024","12/28/2024","12/29/2024","12/30/2024","31/25/2024","01/01/2024","01/02/2024","01/03/2024","01/04/2024","01/05/2024"}))</f>
        <v>#VALUE!</v>
      </c>
      <c r="N677" s="1">
        <f>0</f>
        <v>0</v>
      </c>
      <c r="O677" s="1">
        <f>0</f>
        <v>0</v>
      </c>
      <c r="P677" s="1"/>
      <c r="Q677" s="1">
        <v>0</v>
      </c>
      <c r="R677" s="1">
        <v>0</v>
      </c>
      <c r="S677" s="1">
        <f>0</f>
        <v>0</v>
      </c>
      <c r="T677" s="1">
        <f>0</f>
        <v>0</v>
      </c>
      <c r="U677" s="1"/>
      <c r="V677" s="1">
        <v>2</v>
      </c>
      <c r="W677" s="1">
        <v>2</v>
      </c>
      <c r="X677" s="1" t="e">
        <f>ABS(NETWORKDAYS.INTL("06/07/24", "06/12/24", 1, {"01/01/2024","01/15/2024","02/19/2024","05/27/2024","07/04/2024","09/02/2024","10/14/2024","11/11/2024","11/28/2024","12/25/2024","12/25/2024","12/26/2024","12/27/2024","12/28/2024","12/29/2024","12/30/2024","31/25/2024","01/01/2024","01/02/2024","01/03/2024","01/04/2024","01/05/2024"})+NETWORKDAYS.INTL("06/14/24", "06/14/24", 1, {"01/01/2024","01/15/2024","02/19/2024","05/27/2024","07/04/2024","09/02/2024","10/14/2024","11/11/2024","11/28/2024","12/25/2024","12/25/2024","12/26/2024","12/27/2024","12/28/2024","12/29/2024","12/30/2024","31/25/2024","01/01/2024","01/02/2024","01/03/2024","01/04/2024","01/05/2024"}))</f>
        <v>#VALUE!</v>
      </c>
      <c r="Y677" s="1" t="e">
        <f>ABS(NETWORKDAYS.INTL("06/14/24", "06/14/24", 1, {"01/01/2024","01/15/2024","02/19/2024","05/27/2024","07/04/2024","09/02/2024","10/14/2024","11/11/2024","11/28/2024","12/25/2024","12/25/2024","12/26/2024","12/27/2024","12/28/2024","12/29/2024","12/30/2024","31/25/2024","01/01/2024","01/02/2024","01/03/2024","01/04/2024","01/05/2024"}))</f>
        <v>#VALUE!</v>
      </c>
      <c r="Z677" s="1">
        <f>0</f>
        <v>0</v>
      </c>
      <c r="AA677" s="1"/>
      <c r="AB677" s="5">
        <v>45457</v>
      </c>
      <c r="AC677" s="5">
        <v>45503</v>
      </c>
      <c r="AD677" s="1" t="e">
        <f>ABS(NETWORKDAYS.INTL("05/28/24", "05/23/24", 1, {"01/01/2024","01/15/2024","02/19/2024","05/27/2024","07/04/2024","09/02/2024","10/14/2024","11/11/2024","11/28/2024","12/25/2024","12/25/2024","12/26/2024","12/27/2024","12/28/2024","12/29/2024","12/30/2024","31/25/2024","01/01/2024","01/02/2024","01/03/2024","01/04/2024","01/05/2024"}))</f>
        <v>#VALUE!</v>
      </c>
      <c r="AE677" s="1">
        <f>0</f>
        <v>0</v>
      </c>
      <c r="AF677" s="1">
        <f>0</f>
        <v>0</v>
      </c>
      <c r="AG677" s="1" t="e">
        <f>ABS(NETWORKDAYS.INTL("06/07/24", "08/05/24", 1, {"01/01/2024","01/15/2024","02/19/2024","05/27/2024","07/04/2024","09/02/2024","10/14/2024","11/11/2024","11/28/2024","12/25/2024","12/25/2024","12/26/2024","12/27/2024","12/28/2024","12/29/2024","12/30/2024","31/25/2024","01/01/2024","01/02/2024","01/03/2024","01/04/2024","01/05/2024"}))</f>
        <v>#VALUE!</v>
      </c>
      <c r="AH677" s="1" t="e">
        <f>ABS(NETWORKDAYS.INTL("06/07/24", "06/07/24", 1, {"01/01/2024","01/15/2024","02/19/2024","05/27/2024","07/04/2024","09/02/2024","10/14/2024","11/11/2024","11/28/2024","12/25/2024","12/25/2024","12/26/2024","12/27/2024","12/28/2024","12/29/2024","12/30/2024","31/25/2024","01/01/2024","01/02/2024","01/03/2024","01/04/2024","01/05/2024"}))</f>
        <v>#VALUE!</v>
      </c>
      <c r="AI677" s="1" t="e">
        <f>ABS(NETWORKDAYS.INTL("7/30/2024", "06/14/24", 1, {"01/01/2024","01/15/2024","02/19/2024","05/27/2024","07/04/2024","09/02/2024","10/14/2024","11/11/2024","11/28/2024","12/25/2024","12/25/2024","12/26/2024","12/27/2024","12/28/2024","12/29/2024","12/30/2024","31/25/2024","01/01/2024","01/02/2024","01/03/2024","01/04/2024","01/05/2024"}))</f>
        <v>#VALUE!</v>
      </c>
      <c r="AJ677" s="1" t="b">
        <v>1</v>
      </c>
      <c r="AK677" s="1"/>
      <c r="AL677" s="1"/>
      <c r="AM677" s="1"/>
      <c r="AN677" s="1"/>
      <c r="AO677" s="1"/>
      <c r="AP677" s="1" t="b">
        <v>1</v>
      </c>
      <c r="AQ677" s="1"/>
      <c r="AR677" s="1"/>
      <c r="AS677" s="1"/>
      <c r="AT677" s="1"/>
      <c r="AU677" s="1"/>
      <c r="AV677" s="1"/>
      <c r="AW677" s="1"/>
      <c r="AX677" s="1"/>
      <c r="AY677" s="1"/>
      <c r="AZ677" s="1" t="b">
        <v>1</v>
      </c>
    </row>
    <row r="678" spans="1:52" ht="15" customHeight="1" x14ac:dyDescent="0.35">
      <c r="A678" s="1" t="s">
        <v>2202</v>
      </c>
      <c r="B678" s="1" t="s">
        <v>2203</v>
      </c>
      <c r="C678" s="1" t="s">
        <v>816</v>
      </c>
      <c r="D678" s="1" t="s">
        <v>2204</v>
      </c>
      <c r="E678" s="1" t="s">
        <v>1336</v>
      </c>
      <c r="F678" s="9" t="s">
        <v>2205</v>
      </c>
      <c r="G678" s="1" t="s">
        <v>38</v>
      </c>
      <c r="H6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8" s="11" t="e">
        <f>ABS(NETWORKDAYS.INTL("05/21/24", "05/30/24", 1, {"01/01/2024","01/15/2024","02/19/2024","05/27/2024","07/04/2024","09/02/2024","10/14/2024","11/11/2024","11/28/2024","12/25/2024","12/25/2024","12/26/2024","12/27/2024","12/28/2024","12/29/2024","12/30/2024","31/25/2024","01/01/2024","01/02/2024","01/03/2024","01/04/2024","01/05/2024"}))</f>
        <v>#VALUE!</v>
      </c>
      <c r="J678">
        <f>0</f>
        <v>0</v>
      </c>
      <c r="K678" s="1"/>
      <c r="L678" s="1">
        <v>0</v>
      </c>
      <c r="M678" s="1">
        <f>0</f>
        <v>0</v>
      </c>
      <c r="N678" s="1">
        <f>0</f>
        <v>0</v>
      </c>
      <c r="O678" s="1">
        <f>0</f>
        <v>0</v>
      </c>
      <c r="P678" s="1"/>
      <c r="Q678" s="1">
        <v>0</v>
      </c>
      <c r="R678" s="1">
        <v>0</v>
      </c>
      <c r="S678" s="1">
        <f>0</f>
        <v>0</v>
      </c>
      <c r="T678" s="1">
        <f>0</f>
        <v>0</v>
      </c>
      <c r="U678" s="1"/>
      <c r="V678" s="1">
        <v>0</v>
      </c>
      <c r="W678" s="1">
        <v>0</v>
      </c>
      <c r="X678" s="1">
        <f>0</f>
        <v>0</v>
      </c>
      <c r="Y678" s="1">
        <f>0</f>
        <v>0</v>
      </c>
      <c r="Z678" s="1">
        <f>0</f>
        <v>0</v>
      </c>
      <c r="AA678" s="1"/>
      <c r="AB678" s="5"/>
      <c r="AC678" s="1"/>
      <c r="AD678" s="1">
        <f>0</f>
        <v>0</v>
      </c>
      <c r="AE678" s="1">
        <f>0</f>
        <v>0</v>
      </c>
      <c r="AF678" s="1">
        <f>0</f>
        <v>0</v>
      </c>
      <c r="AG678" s="1">
        <f>0</f>
        <v>0</v>
      </c>
      <c r="AH678" s="1">
        <f>0</f>
        <v>0</v>
      </c>
      <c r="AI678" s="1">
        <f>0</f>
        <v>0</v>
      </c>
      <c r="AJ678" s="1" t="b">
        <v>1</v>
      </c>
      <c r="AK678" s="1"/>
      <c r="AL678" s="1"/>
      <c r="AM678" s="1"/>
      <c r="AN678" s="1"/>
      <c r="AO678" s="1"/>
      <c r="AP678" s="1" t="b">
        <v>1</v>
      </c>
      <c r="AQ678" s="1"/>
      <c r="AR678" s="1"/>
      <c r="AS678" s="1"/>
      <c r="AT678" s="1"/>
      <c r="AU678" s="1"/>
      <c r="AV678" s="1"/>
      <c r="AW678" s="1"/>
      <c r="AX678" s="1"/>
      <c r="AY678" s="1" t="b">
        <v>1</v>
      </c>
      <c r="AZ678" s="1"/>
    </row>
    <row r="679" spans="1:52" ht="15" customHeight="1" x14ac:dyDescent="0.35">
      <c r="A679" s="1" t="s">
        <v>2206</v>
      </c>
      <c r="B679" s="1" t="s">
        <v>2207</v>
      </c>
      <c r="C679" s="1" t="s">
        <v>1329</v>
      </c>
      <c r="D679" s="1" t="s">
        <v>1354</v>
      </c>
      <c r="E679" s="1" t="s">
        <v>1336</v>
      </c>
      <c r="F679" s="9" t="s">
        <v>2208</v>
      </c>
      <c r="G679" s="1" t="s">
        <v>38</v>
      </c>
      <c r="H6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79" s="11" t="e">
        <f>ABS(NETWORKDAYS.INTL("06/03/24", "06/07/24", 1, {"01/01/2024","01/15/2024","02/19/2024","05/27/2024","07/04/2024","09/02/2024","10/14/2024","11/11/2024","11/28/2024","12/25/2024","12/25/2024","12/26/2024","12/27/2024","12/28/2024","12/29/2024","12/30/2024","31/25/2024","01/01/2024","01/02/2024","01/03/2024","01/04/2024","01/05/2024"}))</f>
        <v>#VALUE!</v>
      </c>
      <c r="J679">
        <f>0</f>
        <v>0</v>
      </c>
      <c r="K679" s="1"/>
      <c r="L679" s="1">
        <v>0</v>
      </c>
      <c r="M679" s="1">
        <f>0</f>
        <v>0</v>
      </c>
      <c r="N679" s="1">
        <f>0</f>
        <v>0</v>
      </c>
      <c r="O679" s="1">
        <f>0</f>
        <v>0</v>
      </c>
      <c r="P679" s="1"/>
      <c r="Q679" s="1">
        <v>0</v>
      </c>
      <c r="R679" s="1">
        <v>0</v>
      </c>
      <c r="S679" s="1">
        <f>0</f>
        <v>0</v>
      </c>
      <c r="T679" s="1">
        <f>0</f>
        <v>0</v>
      </c>
      <c r="U679" s="1"/>
      <c r="V679" s="1">
        <v>0</v>
      </c>
      <c r="W679" s="1">
        <v>0</v>
      </c>
      <c r="X679" s="1">
        <f>0</f>
        <v>0</v>
      </c>
      <c r="Y679" s="1">
        <f>0</f>
        <v>0</v>
      </c>
      <c r="Z679" s="1">
        <f>0</f>
        <v>0</v>
      </c>
      <c r="AA679" s="1"/>
      <c r="AB679" s="5"/>
      <c r="AC679" s="1"/>
      <c r="AD679" s="1">
        <f>0</f>
        <v>0</v>
      </c>
      <c r="AE679" s="1">
        <f>0</f>
        <v>0</v>
      </c>
      <c r="AF679" s="1">
        <f>0</f>
        <v>0</v>
      </c>
      <c r="AG679" s="1">
        <f>0</f>
        <v>0</v>
      </c>
      <c r="AH679" s="1">
        <f>0</f>
        <v>0</v>
      </c>
      <c r="AI679" s="1">
        <f>0</f>
        <v>0</v>
      </c>
      <c r="AJ679" s="1" t="b">
        <v>1</v>
      </c>
      <c r="AK679" s="1"/>
      <c r="AL679" s="1"/>
      <c r="AM679" s="1"/>
      <c r="AN679" s="1"/>
      <c r="AO679" s="1"/>
      <c r="AP679" s="1" t="b">
        <v>1</v>
      </c>
      <c r="AQ679" s="1"/>
      <c r="AR679" s="1"/>
      <c r="AS679" s="1"/>
      <c r="AT679" s="1"/>
      <c r="AU679" s="1"/>
      <c r="AV679" s="1"/>
      <c r="AW679" s="1"/>
      <c r="AX679" s="1"/>
      <c r="AY679" s="1" t="b">
        <v>1</v>
      </c>
      <c r="AZ679" s="1"/>
    </row>
    <row r="680" spans="1:52" ht="15" customHeight="1" x14ac:dyDescent="0.35">
      <c r="A680" s="1" t="s">
        <v>2209</v>
      </c>
      <c r="B680" s="1" t="s">
        <v>2210</v>
      </c>
      <c r="C680" s="1" t="s">
        <v>988</v>
      </c>
      <c r="D680" s="1" t="s">
        <v>2002</v>
      </c>
      <c r="E680" s="1" t="s">
        <v>2003</v>
      </c>
      <c r="F680" s="9" t="s">
        <v>2211</v>
      </c>
      <c r="G680" s="1" t="s">
        <v>38</v>
      </c>
      <c r="H6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0" s="11" t="e">
        <f>ABS(NETWORKDAYS.INTL("05/29/24", "05/31/24", 1, {"01/01/2024","01/15/2024","02/19/2024","05/27/2024","07/04/2024","09/02/2024","10/14/2024","11/11/2024","11/28/2024","12/25/2024","12/25/2024","12/26/2024","12/27/2024","12/28/2024","12/29/2024","12/30/2024","31/25/2024","01/01/2024","01/02/2024","01/03/2024","01/04/2024","01/05/2024"}))</f>
        <v>#VALUE!</v>
      </c>
      <c r="J680">
        <f>0</f>
        <v>0</v>
      </c>
      <c r="K680" s="1"/>
      <c r="L680" s="1">
        <v>1</v>
      </c>
      <c r="M680" s="1" t="e">
        <f>ABS(NETWORKDAYS.INTL("06/17/24", "06/17/24", 1, {"01/01/2024","01/15/2024","02/19/2024","05/27/2024","07/04/2024","09/02/2024","10/14/2024","11/11/2024","11/28/2024","12/25/2024","12/25/2024","12/26/2024","12/27/2024","12/28/2024","12/29/2024","12/30/2024","31/25/2024","01/01/2024","01/02/2024","01/03/2024","01/04/2024","01/05/2024"}))</f>
        <v>#VALUE!</v>
      </c>
      <c r="N680" s="1" t="e">
        <f>ABS(NETWORKDAYS.INTL("06/17/24", "06/18/24", 1, {"01/01/2024","01/15/2024","02/19/2024","05/27/2024","07/04/2024","09/02/2024","10/14/2024","11/11/2024","11/28/2024","12/25/2024","12/25/2024","12/26/2024","12/27/2024","12/28/2024","12/29/2024","12/30/2024","31/25/2024","01/01/2024","01/02/2024","01/03/2024","01/04/2024","01/05/2024"}))</f>
        <v>#VALUE!</v>
      </c>
      <c r="O680" s="1">
        <f>0</f>
        <v>0</v>
      </c>
      <c r="P680" s="1"/>
      <c r="Q680" s="1">
        <v>0</v>
      </c>
      <c r="R680" s="1">
        <v>0</v>
      </c>
      <c r="S680" s="1">
        <f>0</f>
        <v>0</v>
      </c>
      <c r="T680" s="1">
        <f>0</f>
        <v>0</v>
      </c>
      <c r="U680" s="1"/>
      <c r="V680" s="1">
        <v>1</v>
      </c>
      <c r="W680" s="1">
        <v>1</v>
      </c>
      <c r="X680" s="1" t="e">
        <f>ABS(NETWORKDAYS.INTL("07/01/24", "07/01/24", 1, {"01/01/2024","01/15/2024","02/19/2024","05/27/2024","07/04/2024","09/02/2024","10/14/2024","11/11/2024","11/28/2024","12/25/2024","12/25/2024","12/26/2024","12/27/2024","12/28/2024","12/29/2024","12/30/2024","31/25/2024","01/01/2024","01/02/2024","01/03/2024","01/04/2024","01/05/2024"}))</f>
        <v>#VALUE!</v>
      </c>
      <c r="Y680" s="1">
        <f>0</f>
        <v>0</v>
      </c>
      <c r="Z680" s="1">
        <f>0</f>
        <v>0</v>
      </c>
      <c r="AA680" s="1"/>
      <c r="AB680" s="5">
        <v>45474</v>
      </c>
      <c r="AC680" s="1"/>
      <c r="AD680" s="1" t="e">
        <f>ABS(NETWORKDAYS.INTL("06/17/24", "05/31/24", 1, {"01/01/2024","01/15/2024","02/19/2024","05/27/2024","07/04/2024","09/02/2024","10/14/2024","11/11/2024","11/28/2024","12/25/2024","12/25/2024","12/26/2024","12/27/2024","12/28/2024","12/29/2024","12/30/2024","31/25/2024","01/01/2024","01/02/2024","01/03/2024","01/04/2024","01/05/2024"}))</f>
        <v>#VALUE!</v>
      </c>
      <c r="AE680" s="1" t="e">
        <f>ABS(NETWORKDAYS.INTL("06/17/24", "06/17/24", 1, {"01/01/2024","01/15/2024","02/19/2024","05/27/2024","07/04/2024","09/02/2024","10/14/2024","11/11/2024","11/28/2024","12/25/2024","12/25/2024","12/26/2024","12/27/2024","12/28/2024","12/29/2024","12/30/2024","31/25/2024","01/01/2024","01/02/2024","01/03/2024","01/04/2024","01/05/2024"}))</f>
        <v>#VALUE!</v>
      </c>
      <c r="AF680" s="1">
        <f>0</f>
        <v>0</v>
      </c>
      <c r="AG680" s="1" t="e">
        <f>ABS(NETWORKDAYS.INTL("06/18/24", "08/05/24", 1, {"01/01/2024","01/15/2024","02/19/2024","05/27/2024","07/04/2024","09/02/2024","10/14/2024","11/11/2024","11/28/2024","12/25/2024","12/25/2024","12/26/2024","12/27/2024","12/28/2024","12/29/2024","12/30/2024","31/25/2024","01/01/2024","01/02/2024","01/03/2024","01/04/2024","01/05/2024"}))</f>
        <v>#VALUE!</v>
      </c>
      <c r="AH680" s="1" t="e">
        <f>ABS(NETWORKDAYS.INTL("07/01/24", "06/18/24", 1, {"01/01/2024","01/15/2024","02/19/2024","05/27/2024","07/04/2024","09/02/2024","10/14/2024","11/11/2024","11/28/2024","12/25/2024","12/25/2024","12/26/2024","12/27/2024","12/28/2024","12/29/2024","12/30/2024","31/25/2024","01/01/2024","01/02/2024","01/03/2024","01/04/2024","01/05/2024"}))</f>
        <v>#VALUE!</v>
      </c>
      <c r="AI680" s="1">
        <f>0</f>
        <v>0</v>
      </c>
      <c r="AJ680" s="1" t="b">
        <v>1</v>
      </c>
      <c r="AK680" s="1"/>
      <c r="AL680" s="1"/>
      <c r="AM680" s="1"/>
      <c r="AN680" s="1"/>
      <c r="AO680" s="1"/>
      <c r="AP680" s="1" t="b">
        <v>1</v>
      </c>
      <c r="AQ680" s="1"/>
      <c r="AR680" s="1"/>
      <c r="AS680" s="1"/>
      <c r="AT680" s="1"/>
      <c r="AU680" s="1"/>
      <c r="AV680" s="1"/>
      <c r="AW680" s="1"/>
      <c r="AX680" s="1"/>
      <c r="AY680" s="1"/>
      <c r="AZ680" s="1" t="b">
        <v>1</v>
      </c>
    </row>
    <row r="681" spans="1:52" ht="15" customHeight="1" x14ac:dyDescent="0.35">
      <c r="A681" s="1" t="s">
        <v>2212</v>
      </c>
      <c r="B681" s="1" t="s">
        <v>2213</v>
      </c>
      <c r="C681" s="1" t="s">
        <v>988</v>
      </c>
      <c r="D681" s="1" t="s">
        <v>1367</v>
      </c>
      <c r="E681" s="1" t="s">
        <v>2052</v>
      </c>
      <c r="F681" s="9" t="s">
        <v>2214</v>
      </c>
      <c r="G681" s="1" t="s">
        <v>38</v>
      </c>
      <c r="H6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1" s="11" t="e">
        <f>ABS(NETWORKDAYS.INTL("05/30/24", "05/30/24", 1, {"01/01/2024","01/15/2024","02/19/2024","05/27/2024","07/04/2024","09/02/2024","10/14/2024","11/11/2024","11/28/2024","12/25/2024","12/25/2024","12/26/2024","12/27/2024","12/28/2024","12/29/2024","12/30/2024","31/25/2024","01/01/2024","01/02/2024","01/03/2024","01/04/2024","01/05/2024"}))</f>
        <v>#VALUE!</v>
      </c>
      <c r="J681">
        <f>0</f>
        <v>0</v>
      </c>
      <c r="K681" s="1"/>
      <c r="L681" s="1">
        <v>1</v>
      </c>
      <c r="M681" s="1" t="e">
        <f>ABS(NETWORKDAYS.INTL("06/20/24", "06/20/24", 1, {"01/01/2024","01/15/2024","02/19/2024","05/27/2024","07/04/2024","09/02/2024","10/14/2024","11/11/2024","11/28/2024","12/25/2024","12/25/2024","12/26/2024","12/27/2024","12/28/2024","12/29/2024","12/30/2024","31/25/2024","01/01/2024","01/02/2024","01/03/2024","01/04/2024","01/05/2024"}))</f>
        <v>#VALUE!</v>
      </c>
      <c r="N681" s="1">
        <f>0</f>
        <v>0</v>
      </c>
      <c r="O681" s="1">
        <f>0</f>
        <v>0</v>
      </c>
      <c r="P681" s="1"/>
      <c r="Q681" s="1">
        <v>0</v>
      </c>
      <c r="R681" s="1">
        <v>0</v>
      </c>
      <c r="S681" s="1">
        <f>0</f>
        <v>0</v>
      </c>
      <c r="T681" s="1">
        <f>0</f>
        <v>0</v>
      </c>
      <c r="U681" s="1"/>
      <c r="V681" s="1">
        <v>1</v>
      </c>
      <c r="W681" s="1">
        <v>1</v>
      </c>
      <c r="X681" s="1" t="e">
        <f>ABS(NETWORKDAYS.INTL("06/20/24", "06/21/24", 1, {"01/01/2024","01/15/2024","02/19/2024","05/27/2024","07/04/2024","09/02/2024","10/14/2024","11/11/2024","11/28/2024","12/25/2024","12/25/2024","12/26/2024","12/27/2024","12/28/2024","12/29/2024","12/30/2024","31/25/2024","01/01/2024","01/02/2024","01/03/2024","01/04/2024","01/05/2024"}))</f>
        <v>#VALUE!</v>
      </c>
      <c r="Y681" s="1">
        <f>0</f>
        <v>0</v>
      </c>
      <c r="Z681" s="1">
        <f>0</f>
        <v>0</v>
      </c>
      <c r="AA681" s="1"/>
      <c r="AB681" s="5">
        <v>45470</v>
      </c>
      <c r="AC681" s="5">
        <v>45504</v>
      </c>
      <c r="AD681" s="1" t="e">
        <f>ABS(NETWORKDAYS.INTL("06/20/24", "05/30/24", 1, {"01/01/2024","01/15/2024","02/19/2024","05/27/2024","07/04/2024","09/02/2024","10/14/2024","11/11/2024","11/28/2024","12/25/2024","12/25/2024","12/26/2024","12/27/2024","12/28/2024","12/29/2024","12/30/2024","31/25/2024","01/01/2024","01/02/2024","01/03/2024","01/04/2024","01/05/2024"}))</f>
        <v>#VALUE!</v>
      </c>
      <c r="AE681" s="1">
        <f>0</f>
        <v>0</v>
      </c>
      <c r="AF681" s="1">
        <f>0</f>
        <v>0</v>
      </c>
      <c r="AG681" s="1" t="e">
        <f>ABS(NETWORKDAYS.INTL("06/20/24", "08/05/24", 1, {"01/01/2024","01/15/2024","02/19/2024","05/27/2024","07/04/2024","09/02/2024","10/14/2024","11/11/2024","11/28/2024","12/25/2024","12/25/2024","12/26/2024","12/27/2024","12/28/2024","12/29/2024","12/30/2024","31/25/2024","01/01/2024","01/02/2024","01/03/2024","01/04/2024","01/05/2024"}))</f>
        <v>#VALUE!</v>
      </c>
      <c r="AH681" s="1" t="e">
        <f>ABS(NETWORKDAYS.INTL("06/20/24", "06/20/24", 1, {"01/01/2024","01/15/2024","02/19/2024","05/27/2024","07/04/2024","09/02/2024","10/14/2024","11/11/2024","11/28/2024","12/25/2024","12/25/2024","12/26/2024","12/27/2024","12/28/2024","12/29/2024","12/30/2024","31/25/2024","01/01/2024","01/02/2024","01/03/2024","01/04/2024","01/05/2024"}))</f>
        <v>#VALUE!</v>
      </c>
      <c r="AI681" s="1" t="e">
        <f>ABS(NETWORKDAYS.INTL("07/31/2024", "06/27/24", 1, {"01/01/2024","01/15/2024","02/19/2024","05/27/2024","07/04/2024","09/02/2024","10/14/2024","11/11/2024","11/28/2024","12/25/2024","12/25/2024","12/26/2024","12/27/2024","12/28/2024","12/29/2024","12/30/2024","31/25/2024","01/01/2024","01/02/2024","01/03/2024","01/04/2024","01/05/2024"}))</f>
        <v>#VALUE!</v>
      </c>
      <c r="AJ681" s="1" t="b">
        <v>1</v>
      </c>
      <c r="AK681" s="1"/>
      <c r="AL681" s="1"/>
      <c r="AM681" s="1"/>
      <c r="AN681" s="1"/>
      <c r="AO681" s="1"/>
      <c r="AP681" s="1"/>
      <c r="AQ681" s="1"/>
      <c r="AR681" s="1"/>
      <c r="AS681" s="1"/>
      <c r="AT681" s="1"/>
      <c r="AU681" s="1"/>
      <c r="AV681" s="1"/>
      <c r="AW681" s="1"/>
      <c r="AX681" s="1"/>
      <c r="AY681" s="1"/>
      <c r="AZ681" s="1" t="b">
        <v>1</v>
      </c>
    </row>
    <row r="682" spans="1:52" ht="15" customHeight="1" x14ac:dyDescent="0.35">
      <c r="A682" s="1" t="s">
        <v>2215</v>
      </c>
      <c r="B682" s="1" t="s">
        <v>2216</v>
      </c>
      <c r="C682" s="1" t="s">
        <v>988</v>
      </c>
      <c r="D682" s="1" t="s">
        <v>1367</v>
      </c>
      <c r="E682" s="1" t="s">
        <v>1983</v>
      </c>
      <c r="F682" s="9" t="s">
        <v>2217</v>
      </c>
      <c r="G682" s="1" t="s">
        <v>38</v>
      </c>
      <c r="H6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2" s="11" t="e">
        <f>ABS(NETWORKDAYS.INTL("05/29/24", "05/29/24", 1, {"01/01/2024","01/15/2024","02/19/2024","05/27/2024","07/04/2024","09/02/2024","10/14/2024","11/11/2024","11/28/2024","12/25/2024","12/25/2024","12/26/2024","12/27/2024","12/28/2024","12/29/2024","12/30/2024","31/25/2024","01/01/2024","01/02/2024","01/03/2024","01/04/2024","01/05/2024"}))</f>
        <v>#VALUE!</v>
      </c>
      <c r="J682">
        <f>0</f>
        <v>0</v>
      </c>
      <c r="K682" s="1"/>
      <c r="L682" s="1">
        <v>1</v>
      </c>
      <c r="M682" s="1" t="e">
        <f>ABS(NETWORKDAYS.INTL("06/20/24", "06/20/24", 1, {"01/01/2024","01/15/2024","02/19/2024","05/27/2024","07/04/2024","09/02/2024","10/14/2024","11/11/2024","11/28/2024","12/25/2024","12/25/2024","12/26/2024","12/27/2024","12/28/2024","12/29/2024","12/30/2024","31/25/2024","01/01/2024","01/02/2024","01/03/2024","01/04/2024","01/05/2024"}))</f>
        <v>#VALUE!</v>
      </c>
      <c r="N682" s="1">
        <f>0</f>
        <v>0</v>
      </c>
      <c r="O682" s="1">
        <f>0</f>
        <v>0</v>
      </c>
      <c r="P682" s="1"/>
      <c r="Q682" s="1">
        <v>0</v>
      </c>
      <c r="R682" s="1">
        <v>0</v>
      </c>
      <c r="S682" s="1">
        <f>0</f>
        <v>0</v>
      </c>
      <c r="T682" s="1">
        <f>0</f>
        <v>0</v>
      </c>
      <c r="U682" s="1"/>
      <c r="V682" s="1">
        <v>1</v>
      </c>
      <c r="W682" s="1">
        <v>1</v>
      </c>
      <c r="X682" s="1" t="e">
        <f>ABS(NETWORKDAYS.INTL("06/20/24", "06/21/24", 1, {"01/01/2024","01/15/2024","02/19/2024","05/27/2024","07/04/2024","09/02/2024","10/14/2024","11/11/2024","11/28/2024","12/25/2024","12/25/2024","12/26/2024","12/27/2024","12/28/2024","12/29/2024","12/30/2024","31/25/2024","01/01/2024","01/02/2024","01/03/2024","01/04/2024","01/05/2024"}))</f>
        <v>#VALUE!</v>
      </c>
      <c r="Y682" s="1">
        <f>0</f>
        <v>0</v>
      </c>
      <c r="Z682" s="1">
        <f>0</f>
        <v>0</v>
      </c>
      <c r="AA682" s="1"/>
      <c r="AB682" s="5">
        <v>45473</v>
      </c>
      <c r="AC682" s="5">
        <v>45504</v>
      </c>
      <c r="AD682" s="1" t="e">
        <f>ABS(NETWORKDAYS.INTL("06/20/24", "05/29/24", 1, {"01/01/2024","01/15/2024","02/19/2024","05/27/2024","07/04/2024","09/02/2024","10/14/2024","11/11/2024","11/28/2024","12/25/2024","12/25/2024","12/26/2024","12/27/2024","12/28/2024","12/29/2024","12/30/2024","31/25/2024","01/01/2024","01/02/2024","01/03/2024","01/04/2024","01/05/2024"}))</f>
        <v>#VALUE!</v>
      </c>
      <c r="AE682" s="1">
        <f>0</f>
        <v>0</v>
      </c>
      <c r="AF682" s="1">
        <f>0</f>
        <v>0</v>
      </c>
      <c r="AG682" s="1" t="e">
        <f>ABS(NETWORKDAYS.INTL("06/20/24", "08/05/24", 1, {"01/01/2024","01/15/2024","02/19/2024","05/27/2024","07/04/2024","09/02/2024","10/14/2024","11/11/2024","11/28/2024","12/25/2024","12/25/2024","12/26/2024","12/27/2024","12/28/2024","12/29/2024","12/30/2024","31/25/2024","01/01/2024","01/02/2024","01/03/2024","01/04/2024","01/05/2024"}))</f>
        <v>#VALUE!</v>
      </c>
      <c r="AH682" s="1" t="e">
        <f>ABS(NETWORKDAYS.INTL("06/20/24", "06/20/24", 1, {"01/01/2024","01/15/2024","02/19/2024","05/27/2024","07/04/2024","09/02/2024","10/14/2024","11/11/2024","11/28/2024","12/25/2024","12/25/2024","12/26/2024","12/27/2024","12/28/2024","12/29/2024","12/30/2024","31/25/2024","01/01/2024","01/02/2024","01/03/2024","01/04/2024","01/05/2024"}))</f>
        <v>#VALUE!</v>
      </c>
      <c r="AI682" s="1" t="e">
        <f>ABS(NETWORKDAYS.INTL("07/31/2024", "06/30/24", 1, {"01/01/2024","01/15/2024","02/19/2024","05/27/2024","07/04/2024","09/02/2024","10/14/2024","11/11/2024","11/28/2024","12/25/2024","12/25/2024","12/26/2024","12/27/2024","12/28/2024","12/29/2024","12/30/2024","31/25/2024","01/01/2024","01/02/2024","01/03/2024","01/04/2024","01/05/2024"}))</f>
        <v>#VALUE!</v>
      </c>
      <c r="AJ682" s="1" t="b">
        <v>1</v>
      </c>
      <c r="AK682" s="1"/>
      <c r="AL682" s="1"/>
      <c r="AM682" s="1"/>
      <c r="AN682" s="1"/>
      <c r="AO682" s="1"/>
      <c r="AP682" s="1" t="b">
        <v>1</v>
      </c>
      <c r="AQ682" s="1"/>
      <c r="AR682" s="1"/>
      <c r="AS682" s="1"/>
      <c r="AT682" s="1"/>
      <c r="AU682" s="1"/>
      <c r="AV682" s="1"/>
      <c r="AW682" s="1"/>
      <c r="AX682" s="1"/>
      <c r="AY682" s="1"/>
      <c r="AZ682" s="1" t="b">
        <v>1</v>
      </c>
    </row>
    <row r="683" spans="1:52" ht="15" customHeight="1" x14ac:dyDescent="0.35">
      <c r="A683" s="1" t="s">
        <v>2218</v>
      </c>
      <c r="B683" s="1" t="s">
        <v>2219</v>
      </c>
      <c r="C683" s="1" t="s">
        <v>640</v>
      </c>
      <c r="D683" s="1"/>
      <c r="E683" s="1" t="s">
        <v>2220</v>
      </c>
      <c r="F683" s="9" t="s">
        <v>2221</v>
      </c>
      <c r="G683" s="1" t="s">
        <v>38</v>
      </c>
      <c r="H6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3" s="11">
        <f>0</f>
        <v>0</v>
      </c>
      <c r="J683">
        <f>0</f>
        <v>0</v>
      </c>
      <c r="K683" s="1"/>
      <c r="L683" s="1">
        <v>0</v>
      </c>
      <c r="M683" s="1">
        <f>0</f>
        <v>0</v>
      </c>
      <c r="N683" s="1">
        <f>0</f>
        <v>0</v>
      </c>
      <c r="O683" s="1">
        <f>0</f>
        <v>0</v>
      </c>
      <c r="P683" s="1"/>
      <c r="Q683" s="1">
        <v>0</v>
      </c>
      <c r="R683" s="1">
        <v>0</v>
      </c>
      <c r="S683" s="1">
        <f>0</f>
        <v>0</v>
      </c>
      <c r="T683" s="1">
        <f>0</f>
        <v>0</v>
      </c>
      <c r="U683" s="1"/>
      <c r="V683" s="1">
        <v>0</v>
      </c>
      <c r="W683" s="1">
        <v>0</v>
      </c>
      <c r="X683" s="1">
        <f>0</f>
        <v>0</v>
      </c>
      <c r="Y683" s="1">
        <f>0</f>
        <v>0</v>
      </c>
      <c r="Z683" s="1">
        <f>0</f>
        <v>0</v>
      </c>
      <c r="AA683" s="1"/>
      <c r="AB683" s="5"/>
      <c r="AC683" s="1"/>
      <c r="AD683" s="1">
        <f>0</f>
        <v>0</v>
      </c>
      <c r="AE683" s="1">
        <f>0</f>
        <v>0</v>
      </c>
      <c r="AF683" s="1">
        <f>0</f>
        <v>0</v>
      </c>
      <c r="AG683" s="1">
        <f>0</f>
        <v>0</v>
      </c>
      <c r="AH683" s="1">
        <f>0</f>
        <v>0</v>
      </c>
      <c r="AI683" s="1">
        <f>0</f>
        <v>0</v>
      </c>
      <c r="AJ683" s="1" t="b">
        <v>1</v>
      </c>
      <c r="AK683" s="1"/>
      <c r="AL683" s="1"/>
      <c r="AM683" s="1"/>
      <c r="AN683" s="1"/>
      <c r="AO683" s="1"/>
      <c r="AP683" s="1"/>
      <c r="AQ683" s="1"/>
      <c r="AR683" s="1"/>
      <c r="AS683" s="1"/>
      <c r="AT683" s="1"/>
      <c r="AU683" s="1" t="b">
        <v>1</v>
      </c>
      <c r="AV683" s="1" t="b">
        <v>1</v>
      </c>
      <c r="AW683" s="1"/>
      <c r="AX683" s="1"/>
      <c r="AY683" s="1" t="b">
        <v>1</v>
      </c>
      <c r="AZ683" s="1"/>
    </row>
    <row r="684" spans="1:52" ht="15" customHeight="1" x14ac:dyDescent="0.35">
      <c r="A684" s="1" t="s">
        <v>2222</v>
      </c>
      <c r="B684" s="1" t="s">
        <v>2223</v>
      </c>
      <c r="C684" s="1" t="s">
        <v>988</v>
      </c>
      <c r="D684" s="1" t="s">
        <v>2224</v>
      </c>
      <c r="E684" s="1" t="s">
        <v>1983</v>
      </c>
      <c r="F684" s="9" t="s">
        <v>2225</v>
      </c>
      <c r="G684" s="1" t="s">
        <v>38</v>
      </c>
      <c r="H6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4" s="11" t="e">
        <f>ABS(NETWORKDAYS.INTL("05/29/24", "05/29/24", 1, {"01/01/2024","01/15/2024","02/19/2024","05/27/2024","07/04/2024","09/02/2024","10/14/2024","11/11/2024","11/28/2024","12/25/2024","12/25/2024","12/26/2024","12/27/2024","12/28/2024","12/29/2024","12/30/2024","31/25/2024","01/01/2024","01/02/2024","01/03/2024","01/04/2024","01/05/2024"}))</f>
        <v>#VALUE!</v>
      </c>
      <c r="J684">
        <f>0</f>
        <v>0</v>
      </c>
      <c r="K684" s="1"/>
      <c r="L684" s="1">
        <v>1</v>
      </c>
      <c r="M684" s="1" t="e">
        <f>ABS(NETWORKDAYS.INTL("06/20/24", "06/20/24", 1, {"01/01/2024","01/15/2024","02/19/2024","05/27/2024","07/04/2024","09/02/2024","10/14/2024","11/11/2024","11/28/2024","12/25/2024","12/25/2024","12/26/2024","12/27/2024","12/28/2024","12/29/2024","12/30/2024","31/25/2024","01/01/2024","01/02/2024","01/03/2024","01/04/2024","01/05/2024"}))</f>
        <v>#VALUE!</v>
      </c>
      <c r="N684" s="1">
        <f>0</f>
        <v>0</v>
      </c>
      <c r="O684" s="1">
        <f>0</f>
        <v>0</v>
      </c>
      <c r="P684" s="1"/>
      <c r="Q684" s="1">
        <v>0</v>
      </c>
      <c r="R684" s="1">
        <v>0</v>
      </c>
      <c r="S684" s="1">
        <f>0</f>
        <v>0</v>
      </c>
      <c r="T684" s="1">
        <f>0</f>
        <v>0</v>
      </c>
      <c r="U684" s="1"/>
      <c r="V684" s="1">
        <v>2</v>
      </c>
      <c r="W684" s="1">
        <v>1</v>
      </c>
      <c r="X684" s="1" t="e">
        <f>ABS(NETWORKDAYS.INTL("06/20/24", "06/21/24", 1, {"01/01/2024","01/15/2024","02/19/2024","05/27/2024","07/04/2024","09/02/2024","10/14/2024","11/11/2024","11/28/2024","12/25/2024","12/25/2024","12/26/2024","12/27/2024","12/28/2024","12/29/2024","12/30/2024","31/25/2024","01/01/2024","01/02/2024","01/03/2024","01/04/2024","01/05/2024"}))</f>
        <v>#VALUE!</v>
      </c>
      <c r="Y684" s="1" t="e">
        <f>ABS(NETWORKDAYS.INTL("07/02/24", "07/02/24", 1, {"01/01/2024","01/15/2024","02/19/2024","05/27/2024","07/04/2024","09/02/2024","10/14/2024","11/11/2024","11/28/2024","12/25/2024","12/25/2024","12/26/2024","12/27/2024","12/28/2024","12/29/2024","12/30/2024","31/25/2024","01/01/2024","01/02/2024","01/03/2024","01/04/2024","01/05/2024"}))</f>
        <v>#VALUE!</v>
      </c>
      <c r="Z684" s="1" t="e">
        <f>ABS(NETWORKDAYS.INTL("06/21/24", "07/01/24", 1, {"01/01/2024","01/15/2024","02/19/2024","05/27/2024","07/04/2024","09/02/2024","10/14/2024","11/11/2024","11/28/2024","12/25/2024","12/25/2024","12/26/2024","12/27/2024","12/28/2024","12/29/2024","12/30/2024","31/25/2024","01/01/2024","01/02/2024","01/03/2024","01/04/2024","01/05/2024"}))</f>
        <v>#VALUE!</v>
      </c>
      <c r="AA684" s="1"/>
      <c r="AB684" s="5">
        <v>45483</v>
      </c>
      <c r="AC684" s="5">
        <v>45504</v>
      </c>
      <c r="AD684" s="1" t="e">
        <f>ABS(NETWORKDAYS.INTL("06/20/24", "05/29/24", 1, {"01/01/2024","01/15/2024","02/19/2024","05/27/2024","07/04/2024","09/02/2024","10/14/2024","11/11/2024","11/28/2024","12/25/2024","12/25/2024","12/26/2024","12/27/2024","12/28/2024","12/29/2024","12/30/2024","31/25/2024","01/01/2024","01/02/2024","01/03/2024","01/04/2024","01/05/2024"}))</f>
        <v>#VALUE!</v>
      </c>
      <c r="AE684" s="1">
        <f>0</f>
        <v>0</v>
      </c>
      <c r="AF684" s="1">
        <f>0</f>
        <v>0</v>
      </c>
      <c r="AG684" s="1" t="e">
        <f>ABS(NETWORKDAYS.INTL("06/20/24", "08/05/24", 1, {"01/01/2024","01/15/2024","02/19/2024","05/27/2024","07/04/2024","09/02/2024","10/14/2024","11/11/2024","11/28/2024","12/25/2024","12/25/2024","12/26/2024","12/27/2024","12/28/2024","12/29/2024","12/30/2024","31/25/2024","01/01/2024","01/02/2024","01/03/2024","01/04/2024","01/05/2024"}))</f>
        <v>#VALUE!</v>
      </c>
      <c r="AH684" s="1" t="e">
        <f>ABS(NETWORKDAYS.INTL("06/20/24", "06/20/24", 1, {"01/01/2024","01/15/2024","02/19/2024","05/27/2024","07/04/2024","09/02/2024","10/14/2024","11/11/2024","11/28/2024","12/25/2024","12/25/2024","12/26/2024","12/27/2024","12/28/2024","12/29/2024","12/30/2024","31/25/2024","01/01/2024","01/02/2024","01/03/2024","01/04/2024","01/05/2024"}))</f>
        <v>#VALUE!</v>
      </c>
      <c r="AI684" s="1" t="e">
        <f>ABS(NETWORKDAYS.INTL("07/31/2024", "07/10/2024", 1, {"01/01/2024","01/15/2024","02/19/2024","05/27/2024","07/04/2024","09/02/2024","10/14/2024","11/11/2024","11/28/2024","12/25/2024","12/25/2024","12/26/2024","12/27/2024","12/28/2024","12/29/2024","12/30/2024","31/25/2024","01/01/2024","01/02/2024","01/03/2024","01/04/2024","01/05/2024"}))</f>
        <v>#VALUE!</v>
      </c>
      <c r="AJ684" s="1" t="b">
        <v>1</v>
      </c>
      <c r="AK684" s="1"/>
      <c r="AL684" s="1"/>
      <c r="AM684" s="1"/>
      <c r="AN684" s="1"/>
      <c r="AO684" s="1"/>
      <c r="AP684" s="1" t="b">
        <v>1</v>
      </c>
      <c r="AQ684" s="1"/>
      <c r="AR684" s="1"/>
      <c r="AS684" s="1"/>
      <c r="AT684" s="1"/>
      <c r="AU684" s="1"/>
      <c r="AV684" s="1"/>
      <c r="AW684" s="1"/>
      <c r="AX684" s="1"/>
      <c r="AY684" s="1"/>
      <c r="AZ684" s="1" t="b">
        <v>1</v>
      </c>
    </row>
    <row r="685" spans="1:52" ht="15" customHeight="1" x14ac:dyDescent="0.35">
      <c r="A685" s="1" t="s">
        <v>2226</v>
      </c>
      <c r="B685" s="1" t="s">
        <v>2227</v>
      </c>
      <c r="C685" s="1" t="s">
        <v>1329</v>
      </c>
      <c r="D685" s="1" t="s">
        <v>1660</v>
      </c>
      <c r="E685" s="1" t="s">
        <v>2228</v>
      </c>
      <c r="F685" s="9" t="s">
        <v>2229</v>
      </c>
      <c r="G685" s="1" t="s">
        <v>38</v>
      </c>
      <c r="H6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5" s="11" t="e">
        <f>ABS(NETWORKDAYS.INTL("05/15/24", "06/21/24", 1, {"01/01/2024","01/15/2024","02/19/2024","05/27/2024","07/04/2024","09/02/2024","10/14/2024","11/11/2024","11/28/2024","12/25/2024","12/25/2024","12/26/2024","12/27/2024","12/28/2024","12/29/2024","12/30/2024","31/25/2024","01/01/2024","01/02/2024","01/03/2024","01/04/2024","01/05/2024"}))</f>
        <v>#VALUE!</v>
      </c>
      <c r="J685">
        <f>0</f>
        <v>0</v>
      </c>
      <c r="K685" s="1"/>
      <c r="L685" s="1">
        <v>0</v>
      </c>
      <c r="M685" s="1">
        <f>0</f>
        <v>0</v>
      </c>
      <c r="N685" s="1">
        <f>0</f>
        <v>0</v>
      </c>
      <c r="O685" s="1">
        <f>0</f>
        <v>0</v>
      </c>
      <c r="P685" s="1"/>
      <c r="Q685" s="1">
        <v>0</v>
      </c>
      <c r="R685" s="1">
        <v>0</v>
      </c>
      <c r="S685" s="1">
        <f>0</f>
        <v>0</v>
      </c>
      <c r="T685" s="1">
        <f>0</f>
        <v>0</v>
      </c>
      <c r="U685" s="1"/>
      <c r="V685" s="1">
        <v>0</v>
      </c>
      <c r="W685" s="1">
        <v>0</v>
      </c>
      <c r="X685" s="1">
        <f>0</f>
        <v>0</v>
      </c>
      <c r="Y685" s="1">
        <f>0</f>
        <v>0</v>
      </c>
      <c r="Z685" s="1">
        <f>0</f>
        <v>0</v>
      </c>
      <c r="AA685" s="1"/>
      <c r="AB685" s="5"/>
      <c r="AC685" s="1"/>
      <c r="AD685" s="1">
        <f>0</f>
        <v>0</v>
      </c>
      <c r="AE685" s="1">
        <f>0</f>
        <v>0</v>
      </c>
      <c r="AF685" s="1">
        <f>0</f>
        <v>0</v>
      </c>
      <c r="AG685" s="1">
        <f>0</f>
        <v>0</v>
      </c>
      <c r="AH685" s="1">
        <f>0</f>
        <v>0</v>
      </c>
      <c r="AI685" s="1">
        <f>0</f>
        <v>0</v>
      </c>
      <c r="AJ685" s="1" t="b">
        <v>1</v>
      </c>
      <c r="AK685" s="1"/>
      <c r="AL685" s="1"/>
      <c r="AM685" s="1"/>
      <c r="AN685" s="1"/>
      <c r="AO685" s="1"/>
      <c r="AP685" s="1"/>
      <c r="AQ685" s="1"/>
      <c r="AR685" s="1"/>
      <c r="AS685" s="1"/>
      <c r="AT685" s="1"/>
      <c r="AU685" s="1" t="b">
        <v>1</v>
      </c>
      <c r="AV685" s="1"/>
      <c r="AW685" s="1"/>
      <c r="AX685" s="1"/>
      <c r="AY685" s="1" t="b">
        <v>1</v>
      </c>
      <c r="AZ685" s="1"/>
    </row>
    <row r="686" spans="1:52" ht="15" customHeight="1" x14ac:dyDescent="0.35">
      <c r="A686" s="1" t="s">
        <v>2230</v>
      </c>
      <c r="B686" s="1" t="s">
        <v>2231</v>
      </c>
      <c r="C686" s="1" t="s">
        <v>988</v>
      </c>
      <c r="D686" s="1" t="s">
        <v>1706</v>
      </c>
      <c r="E686" s="1" t="s">
        <v>1983</v>
      </c>
      <c r="F686" s="9" t="s">
        <v>2232</v>
      </c>
      <c r="G686" s="1" t="s">
        <v>38</v>
      </c>
      <c r="H6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6" s="11" t="e">
        <f>ABS(NETWORKDAYS.INTL("05/27/24", "05/31/24", 1, {"01/01/2024","01/15/2024","02/19/2024","05/27/2024","07/04/2024","09/02/2024","10/14/2024","11/11/2024","11/28/2024","12/25/2024","12/25/2024","12/26/2024","12/27/2024","12/28/2024","12/29/2024","12/30/2024","31/25/2024","01/01/2024","01/02/2024","01/03/2024","01/04/2024","01/05/2024"}))</f>
        <v>#VALUE!</v>
      </c>
      <c r="J686">
        <f>0</f>
        <v>0</v>
      </c>
      <c r="K686" s="1"/>
      <c r="L686" s="1">
        <v>1</v>
      </c>
      <c r="M686" s="1" t="e">
        <f>ABS(NETWORKDAYS.INTL("06/19/24", "06/19/24", 1, {"01/01/2024","01/15/2024","02/19/2024","05/27/2024","07/04/2024","09/02/2024","10/14/2024","11/11/2024","11/28/2024","12/25/2024","12/25/2024","12/26/2024","12/27/2024","12/28/2024","12/29/2024","12/30/2024","31/25/2024","01/01/2024","01/02/2024","01/03/2024","01/04/2024","01/05/2024"}))</f>
        <v>#VALUE!</v>
      </c>
      <c r="N686" s="1">
        <f>0</f>
        <v>0</v>
      </c>
      <c r="O686" s="1">
        <f>0</f>
        <v>0</v>
      </c>
      <c r="P686" s="1"/>
      <c r="Q686" s="1">
        <v>0</v>
      </c>
      <c r="R686" s="1">
        <v>0</v>
      </c>
      <c r="S686" s="1">
        <f>0</f>
        <v>0</v>
      </c>
      <c r="T686" s="1">
        <f>0</f>
        <v>0</v>
      </c>
      <c r="U686" s="1"/>
      <c r="V686" s="1">
        <v>2</v>
      </c>
      <c r="W686" s="1">
        <v>2</v>
      </c>
      <c r="X686" s="1" t="e">
        <f>ABS(NETWORKDAYS.INTL("06/19/24", "06/20/24",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86" s="1" t="e">
        <f>ABS(NETWORKDAYS.INTL("06/27/24", "06/27/24", 1, {"01/01/2024","01/15/2024","02/19/2024","05/27/2024","07/04/2024","09/02/2024","10/14/2024","11/11/2024","11/28/2024","12/25/2024","12/25/2024","12/26/2024","12/27/2024","12/28/2024","12/29/2024","12/30/2024","31/25/2024","01/01/2024","01/02/2024","01/03/2024","01/04/2024","01/05/2024"}))</f>
        <v>#VALUE!</v>
      </c>
      <c r="Z686" s="1">
        <f>0</f>
        <v>0</v>
      </c>
      <c r="AA686" s="1"/>
      <c r="AB686" s="5">
        <v>45470</v>
      </c>
      <c r="AC686" s="5">
        <v>45503</v>
      </c>
      <c r="AD686" s="1" t="e">
        <f>ABS(NETWORKDAYS.INTL("06/19/24", "05/31/24", 1, {"01/01/2024","01/15/2024","02/19/2024","05/27/2024","07/04/2024","09/02/2024","10/14/2024","11/11/2024","11/28/2024","12/25/2024","12/25/2024","12/26/2024","12/27/2024","12/28/2024","12/29/2024","12/30/2024","31/25/2024","01/01/2024","01/02/2024","01/03/2024","01/04/2024","01/05/2024"}))</f>
        <v>#VALUE!</v>
      </c>
      <c r="AE686" s="1">
        <f>0</f>
        <v>0</v>
      </c>
      <c r="AF686" s="1">
        <f>0</f>
        <v>0</v>
      </c>
      <c r="AG686" s="1" t="e">
        <f>ABS(NETWORKDAYS.INTL("06/19/24", "08/05/24", 1, {"01/01/2024","01/15/2024","02/19/2024","05/27/2024","07/04/2024","09/02/2024","10/14/2024","11/11/2024","11/28/2024","12/25/2024","12/25/2024","12/26/2024","12/27/2024","12/28/2024","12/29/2024","12/30/2024","31/25/2024","01/01/2024","01/02/2024","01/03/2024","01/04/2024","01/05/2024"}))</f>
        <v>#VALUE!</v>
      </c>
      <c r="AH686" s="1" t="e">
        <f>ABS(NETWORKDAYS.INTL("06/19/24", "06/19/24", 1, {"01/01/2024","01/15/2024","02/19/2024","05/27/2024","07/04/2024","09/02/2024","10/14/2024","11/11/2024","11/28/2024","12/25/2024","12/25/2024","12/26/2024","12/27/2024","12/28/2024","12/29/2024","12/30/2024","31/25/2024","01/01/2024","01/02/2024","01/03/2024","01/04/2024","01/05/2024"}))</f>
        <v>#VALUE!</v>
      </c>
      <c r="AI686" s="1" t="e">
        <f>ABS(NETWORKDAYS.INTL("07/30/2024", "06/27/24", 1, {"01/01/2024","01/15/2024","02/19/2024","05/27/2024","07/04/2024","09/02/2024","10/14/2024","11/11/2024","11/28/2024","12/25/2024","12/25/2024","12/26/2024","12/27/2024","12/28/2024","12/29/2024","12/30/2024","31/25/2024","01/01/2024","01/02/2024","01/03/2024","01/04/2024","01/05/2024"}))</f>
        <v>#VALUE!</v>
      </c>
      <c r="AJ686" s="1" t="b">
        <v>1</v>
      </c>
      <c r="AK686" s="1"/>
      <c r="AL686" s="1"/>
      <c r="AM686" s="1"/>
      <c r="AN686" s="1"/>
      <c r="AO686" s="1"/>
      <c r="AP686" s="1" t="b">
        <v>1</v>
      </c>
      <c r="AQ686" s="1"/>
      <c r="AR686" s="1"/>
      <c r="AS686" s="1"/>
      <c r="AT686" s="1"/>
      <c r="AU686" s="1"/>
      <c r="AV686" s="1"/>
      <c r="AW686" s="1"/>
      <c r="AX686" s="1"/>
      <c r="AY686" s="1"/>
      <c r="AZ686" s="1" t="b">
        <v>1</v>
      </c>
    </row>
    <row r="687" spans="1:52" ht="15" customHeight="1" x14ac:dyDescent="0.35">
      <c r="A687" s="1" t="s">
        <v>2233</v>
      </c>
      <c r="B687" s="1" t="s">
        <v>2234</v>
      </c>
      <c r="C687" s="1" t="s">
        <v>1329</v>
      </c>
      <c r="D687" s="1" t="s">
        <v>1523</v>
      </c>
      <c r="E687" s="1" t="s">
        <v>2228</v>
      </c>
      <c r="F687" s="9" t="s">
        <v>2235</v>
      </c>
      <c r="G687" s="1" t="s">
        <v>38</v>
      </c>
      <c r="H6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687" s="11" t="e">
        <f>ABS(NETWORKDAYS.INTL("04/05/24", "05/30/24", 1, {"01/01/2024","01/15/2024","02/19/2024","05/27/2024","07/04/2024","09/02/2024","10/14/2024","11/11/2024","11/28/2024","12/25/2024","12/25/2024","12/26/2024","12/27/2024","12/28/2024","12/29/2024","12/30/2024","31/25/2024","01/01/2024","01/02/2024","01/03/2024","01/04/2024","01/05/2024"}))</f>
        <v>#VALUE!</v>
      </c>
      <c r="J687">
        <f>0</f>
        <v>0</v>
      </c>
      <c r="K687" s="1"/>
      <c r="L687" s="1">
        <v>1</v>
      </c>
      <c r="M687" s="1" t="e">
        <f>ABS(NETWORKDAYS.INTL("05/30/24", "05/30/24", 1, {"01/01/2024","01/15/2024","02/19/2024","05/27/2024","07/04/2024","09/02/2024","10/14/2024","11/11/2024","11/28/2024","12/25/2024","12/25/2024","12/26/2024","12/27/2024","12/28/2024","12/29/2024","12/30/2024","31/25/2024","01/01/2024","01/02/2024","01/03/2024","01/04/2024","01/05/2024"}))</f>
        <v>#VALUE!</v>
      </c>
      <c r="N687" s="1">
        <f>0</f>
        <v>0</v>
      </c>
      <c r="O687" s="1">
        <f>0</f>
        <v>0</v>
      </c>
      <c r="P687" s="1"/>
      <c r="Q687" s="1">
        <v>1</v>
      </c>
      <c r="R687" s="1">
        <v>1</v>
      </c>
      <c r="S687" s="1">
        <f>0</f>
        <v>0</v>
      </c>
      <c r="T687" s="1">
        <f>0</f>
        <v>0</v>
      </c>
      <c r="U687" s="1"/>
      <c r="V687" s="1">
        <v>0</v>
      </c>
      <c r="W687" s="1">
        <v>0</v>
      </c>
      <c r="X687" s="1">
        <f>0</f>
        <v>0</v>
      </c>
      <c r="Y687" s="1">
        <f>0</f>
        <v>0</v>
      </c>
      <c r="Z687" s="1">
        <f>0</f>
        <v>0</v>
      </c>
      <c r="AA687" s="1"/>
      <c r="AB687" s="5"/>
      <c r="AC687" s="1"/>
      <c r="AD687" s="1" t="e">
        <f>ABS(NETWORKDAYS.INTL("05/30/24", "05/30/24", 1, {"01/01/2024","01/15/2024","02/19/2024","05/27/2024","07/04/2024","09/02/2024","10/14/2024","11/11/2024","11/28/2024","12/25/2024","12/25/2024","12/26/2024","12/27/2024","12/28/2024","12/29/2024","12/30/2024","31/25/2024","01/01/2024","01/02/2024","01/03/2024","01/04/2024","01/05/2024"}))</f>
        <v>#VALUE!</v>
      </c>
      <c r="AE687" s="1">
        <f>0</f>
        <v>0</v>
      </c>
      <c r="AF687" s="1" t="e">
        <f>ABS(NETWORKDAYS.INTL("05/31/24", "05/30/24", 1, {"01/01/2024","01/15/2024","02/19/2024","05/27/2024","07/04/2024","09/02/2024","10/14/2024","11/11/2024","11/28/2024","12/25/2024","12/25/2024","12/26/2024","12/27/2024","12/28/2024","12/29/2024","12/30/2024","31/25/2024","01/01/2024","01/02/2024","01/03/2024","01/04/2024","01/05/2024"}))</f>
        <v>#VALUE!</v>
      </c>
      <c r="AG687" s="1">
        <f>0</f>
        <v>0</v>
      </c>
      <c r="AH687" s="1">
        <f>0</f>
        <v>0</v>
      </c>
      <c r="AI687" s="1">
        <f>0</f>
        <v>0</v>
      </c>
      <c r="AJ687" s="1" t="b">
        <v>1</v>
      </c>
      <c r="AK687" s="1"/>
      <c r="AL687" s="1"/>
      <c r="AM687" s="1"/>
      <c r="AN687" s="1"/>
      <c r="AO687" s="1"/>
      <c r="AP687" s="1"/>
      <c r="AQ687" s="1"/>
      <c r="AR687" s="1"/>
      <c r="AS687" s="1"/>
      <c r="AT687" s="1"/>
      <c r="AU687" s="1" t="b">
        <v>1</v>
      </c>
      <c r="AV687" s="1"/>
      <c r="AW687" s="1"/>
      <c r="AX687" s="1"/>
      <c r="AY687" s="1" t="b">
        <v>1</v>
      </c>
      <c r="AZ687" s="1"/>
    </row>
    <row r="688" spans="1:52" ht="15" customHeight="1" x14ac:dyDescent="0.35">
      <c r="A688" s="1" t="s">
        <v>2236</v>
      </c>
      <c r="B688" s="1" t="s">
        <v>2237</v>
      </c>
      <c r="C688" s="1" t="s">
        <v>640</v>
      </c>
      <c r="D688" s="1"/>
      <c r="E688" s="1" t="s">
        <v>2148</v>
      </c>
      <c r="F688" s="9" t="s">
        <v>2221</v>
      </c>
      <c r="G688" s="1" t="s">
        <v>38</v>
      </c>
      <c r="H6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88" s="11">
        <f>0</f>
        <v>0</v>
      </c>
      <c r="J688">
        <f>0</f>
        <v>0</v>
      </c>
      <c r="K688" s="1"/>
      <c r="L688" s="1">
        <v>0</v>
      </c>
      <c r="M688" s="1">
        <f>0</f>
        <v>0</v>
      </c>
      <c r="N688" s="1">
        <f>0</f>
        <v>0</v>
      </c>
      <c r="O688" s="1">
        <f>0</f>
        <v>0</v>
      </c>
      <c r="P688" s="1"/>
      <c r="Q688" s="1">
        <v>0</v>
      </c>
      <c r="R688" s="1">
        <v>0</v>
      </c>
      <c r="S688" s="1">
        <f>0</f>
        <v>0</v>
      </c>
      <c r="T688" s="1">
        <f>0</f>
        <v>0</v>
      </c>
      <c r="U688" s="1"/>
      <c r="V688" s="1">
        <v>0</v>
      </c>
      <c r="W688" s="1">
        <v>0</v>
      </c>
      <c r="X688" s="1">
        <f>0</f>
        <v>0</v>
      </c>
      <c r="Y688" s="1">
        <f>0</f>
        <v>0</v>
      </c>
      <c r="Z688" s="1">
        <f>0</f>
        <v>0</v>
      </c>
      <c r="AA688" s="1"/>
      <c r="AB688" s="5"/>
      <c r="AC688" s="1"/>
      <c r="AD688" s="1">
        <f>0</f>
        <v>0</v>
      </c>
      <c r="AE688" s="1">
        <f>0</f>
        <v>0</v>
      </c>
      <c r="AF688" s="1">
        <f>0</f>
        <v>0</v>
      </c>
      <c r="AG688" s="1">
        <f>0</f>
        <v>0</v>
      </c>
      <c r="AH688" s="1">
        <f>0</f>
        <v>0</v>
      </c>
      <c r="AI688" s="1">
        <f>0</f>
        <v>0</v>
      </c>
      <c r="AJ688" s="1" t="b">
        <v>1</v>
      </c>
      <c r="AK688" s="1"/>
      <c r="AL688" s="1"/>
      <c r="AM688" s="1"/>
      <c r="AN688" s="1"/>
      <c r="AO688" s="1"/>
      <c r="AP688" s="1" t="b">
        <v>1</v>
      </c>
      <c r="AQ688" s="1"/>
      <c r="AR688" s="1"/>
      <c r="AS688" s="1"/>
      <c r="AT688" s="1"/>
      <c r="AU688" s="1"/>
      <c r="AV688" s="1" t="b">
        <v>1</v>
      </c>
      <c r="AW688" s="1"/>
      <c r="AX688" s="1"/>
      <c r="AY688" s="1" t="b">
        <v>1</v>
      </c>
      <c r="AZ688" s="1"/>
    </row>
    <row r="689" spans="1:52" ht="15" customHeight="1" x14ac:dyDescent="0.35">
      <c r="A689" s="1" t="s">
        <v>2238</v>
      </c>
      <c r="B689" s="1" t="s">
        <v>2239</v>
      </c>
      <c r="C689" s="1" t="s">
        <v>988</v>
      </c>
      <c r="D689" s="1" t="s">
        <v>1374</v>
      </c>
      <c r="E689" s="1" t="s">
        <v>2003</v>
      </c>
      <c r="F689" s="9" t="s">
        <v>2240</v>
      </c>
      <c r="G689" s="1" t="s">
        <v>38</v>
      </c>
      <c r="H6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89" s="11" t="e">
        <f>ABS(NETWORKDAYS.INTL("05/30/24", "05/31/24", 1, {"01/01/2024","01/15/2024","02/19/2024","05/27/2024","07/04/2024","09/02/2024","10/14/2024","11/11/2024","11/28/2024","12/25/2024","12/25/2024","12/26/2024","12/27/2024","12/28/2024","12/29/2024","12/30/2024","31/25/2024","01/01/2024","01/02/2024","01/03/2024","01/04/2024","01/05/2024"}))</f>
        <v>#VALUE!</v>
      </c>
      <c r="J689">
        <f>0</f>
        <v>0</v>
      </c>
      <c r="K689" s="1"/>
      <c r="L689" s="1">
        <v>1</v>
      </c>
      <c r="M689" s="1" t="e">
        <f>ABS(NETWORKDAYS.INTL("06/12/24", "06/12/24", 1, {"01/01/2024","01/15/2024","02/19/2024","05/27/2024","07/04/2024","09/02/2024","10/14/2024","11/11/2024","11/28/2024","12/25/2024","12/25/2024","12/26/2024","12/27/2024","12/28/2024","12/29/2024","12/30/2024","31/25/2024","01/01/2024","01/02/2024","01/03/2024","01/04/2024","01/05/2024"}))</f>
        <v>#VALUE!</v>
      </c>
      <c r="N689" s="1">
        <f>0</f>
        <v>0</v>
      </c>
      <c r="O689" s="1">
        <f>0</f>
        <v>0</v>
      </c>
      <c r="P689" s="1"/>
      <c r="Q689" s="1">
        <v>0</v>
      </c>
      <c r="R689" s="1">
        <v>0</v>
      </c>
      <c r="S689" s="1">
        <f>0</f>
        <v>0</v>
      </c>
      <c r="T689" s="1">
        <f>0</f>
        <v>0</v>
      </c>
      <c r="U689" s="1"/>
      <c r="V689" s="1">
        <v>1</v>
      </c>
      <c r="W689" s="1">
        <v>1</v>
      </c>
      <c r="X689" s="1" t="e">
        <f>ABS(NETWORKDAYS.INTL("06/12/24", "06/13/24", 1, {"01/01/2024","01/15/2024","02/19/2024","05/27/2024","07/04/2024","09/02/2024","10/14/2024","11/11/2024","11/28/2024","12/25/2024","12/25/2024","12/26/2024","12/27/2024","12/28/2024","12/29/2024","12/30/2024","31/25/2024","01/01/2024","01/02/2024","01/03/2024","01/04/2024","01/05/2024"}))</f>
        <v>#VALUE!</v>
      </c>
      <c r="Y689" s="1">
        <f>0</f>
        <v>0</v>
      </c>
      <c r="Z689" s="1">
        <f>0</f>
        <v>0</v>
      </c>
      <c r="AA689" s="1"/>
      <c r="AB689" s="5">
        <v>45456</v>
      </c>
      <c r="AC689" s="5">
        <v>45502</v>
      </c>
      <c r="AD689" s="1" t="e">
        <f>ABS(NETWORKDAYS.INTL("06/12/24", "05/31/24", 1, {"01/01/2024","01/15/2024","02/19/2024","05/27/2024","07/04/2024","09/02/2024","10/14/2024","11/11/2024","11/28/2024","12/25/2024","12/25/2024","12/26/2024","12/27/2024","12/28/2024","12/29/2024","12/30/2024","31/25/2024","01/01/2024","01/02/2024","01/03/2024","01/04/2024","01/05/2024"}))</f>
        <v>#VALUE!</v>
      </c>
      <c r="AE689" s="1">
        <f>0</f>
        <v>0</v>
      </c>
      <c r="AF689" s="1">
        <f>0</f>
        <v>0</v>
      </c>
      <c r="AG689" s="1" t="e">
        <f>ABS(NETWORKDAYS.INTL("06/12/24", "08/05/24", 1, {"01/01/2024","01/15/2024","02/19/2024","05/27/2024","07/04/2024","09/02/2024","10/14/2024","11/11/2024","11/28/2024","12/25/2024","12/25/2024","12/26/2024","12/27/2024","12/28/2024","12/29/2024","12/30/2024","31/25/2024","01/01/2024","01/02/2024","01/03/2024","01/04/2024","01/05/2024"}))</f>
        <v>#VALUE!</v>
      </c>
      <c r="AH689" s="1" t="e">
        <f>ABS(NETWORKDAYS.INTL("06/12/24", "06/12/24", 1, {"01/01/2024","01/15/2024","02/19/2024","05/27/2024","07/04/2024","09/02/2024","10/14/2024","11/11/2024","11/28/2024","12/25/2024","12/25/2024","12/26/2024","12/27/2024","12/28/2024","12/29/2024","12/30/2024","31/25/2024","01/01/2024","01/02/2024","01/03/2024","01/04/2024","01/05/2024"}))</f>
        <v>#VALUE!</v>
      </c>
      <c r="AI689" s="1" t="e">
        <f>ABS(NETWORKDAYS.INTL("7/29/2024", "06/13/24", 1, {"01/01/2024","01/15/2024","02/19/2024","05/27/2024","07/04/2024","09/02/2024","10/14/2024","11/11/2024","11/28/2024","12/25/2024","12/25/2024","12/26/2024","12/27/2024","12/28/2024","12/29/2024","12/30/2024","31/25/2024","01/01/2024","01/02/2024","01/03/2024","01/04/2024","01/05/2024"}))</f>
        <v>#VALUE!</v>
      </c>
      <c r="AJ689" s="1" t="b">
        <v>1</v>
      </c>
      <c r="AK689" s="1"/>
      <c r="AL689" s="1"/>
      <c r="AM689" s="1"/>
      <c r="AN689" s="1"/>
      <c r="AO689" s="1"/>
      <c r="AP689" s="1" t="b">
        <v>1</v>
      </c>
      <c r="AQ689" s="1"/>
      <c r="AR689" s="1"/>
      <c r="AS689" s="1"/>
      <c r="AT689" s="1"/>
      <c r="AU689" s="1"/>
      <c r="AV689" s="1"/>
      <c r="AW689" s="1"/>
      <c r="AX689" s="1"/>
      <c r="AY689" s="1"/>
      <c r="AZ689" s="1" t="b">
        <v>1</v>
      </c>
    </row>
    <row r="690" spans="1:52" ht="15" customHeight="1" x14ac:dyDescent="0.35">
      <c r="A690" s="1" t="s">
        <v>2241</v>
      </c>
      <c r="B690" s="1" t="s">
        <v>2242</v>
      </c>
      <c r="C690" s="1" t="s">
        <v>1157</v>
      </c>
      <c r="D690" s="1" t="s">
        <v>2243</v>
      </c>
      <c r="E690" s="1" t="s">
        <v>1983</v>
      </c>
      <c r="F690" s="9" t="s">
        <v>2244</v>
      </c>
      <c r="G690" s="1" t="s">
        <v>38</v>
      </c>
      <c r="H6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690" s="11" t="e">
        <f>ABS(NETWORKDAYS.INTL("05/31/24", "05/31/24", 1, {"01/01/2024","01/15/2024","02/19/2024","05/27/2024","07/04/2024","09/02/2024","10/14/2024","11/11/2024","11/28/2024","12/25/2024","12/25/2024","12/26/2024","12/27/2024","12/28/2024","12/29/2024","12/30/2024","31/25/2024","01/01/2024","01/02/2024","01/03/2024","01/04/2024","01/05/2024"}))</f>
        <v>#VALUE!</v>
      </c>
      <c r="J690">
        <f>0</f>
        <v>0</v>
      </c>
      <c r="K690" s="1"/>
      <c r="L690" s="1">
        <v>1</v>
      </c>
      <c r="M690" s="1" t="e">
        <f>ABS(NETWORKDAYS.INTL("06/18/24", "06/18/24", 1, {"01/01/2024","01/15/2024","02/19/2024","05/27/2024","07/04/2024","09/02/2024","10/14/2024","11/11/2024","11/28/2024","12/25/2024","12/25/2024","12/26/2024","12/27/2024","12/28/2024","12/29/2024","12/30/2024","31/25/2024","01/01/2024","01/02/2024","01/03/2024","01/04/2024","01/05/2024"}))</f>
        <v>#VALUE!</v>
      </c>
      <c r="N690" s="1">
        <f>0</f>
        <v>0</v>
      </c>
      <c r="O690" s="1">
        <f>0</f>
        <v>0</v>
      </c>
      <c r="P690" s="1"/>
      <c r="Q690" s="1">
        <v>0</v>
      </c>
      <c r="R690" s="1">
        <v>0</v>
      </c>
      <c r="S690" s="1">
        <f>0</f>
        <v>0</v>
      </c>
      <c r="T690" s="1">
        <f>0</f>
        <v>0</v>
      </c>
      <c r="U690" s="1"/>
      <c r="V690" s="1">
        <v>1</v>
      </c>
      <c r="W690" s="1">
        <v>1</v>
      </c>
      <c r="X690" s="1" t="e">
        <f>ABS(NETWORKDAYS.INTL("06/18/24", "06/19/24", 1, {"01/01/2024","01/15/2024","02/19/2024","05/27/2024","07/04/2024","09/02/2024","10/14/2024","11/11/2024","11/28/2024","12/25/2024","12/25/2024","12/26/2024","12/27/2024","12/28/2024","12/29/2024","12/30/2024","31/25/2024","01/01/2024","01/02/2024","01/03/2024","01/04/2024","01/05/2024"}))</f>
        <v>#VALUE!</v>
      </c>
      <c r="Y690" s="1" t="e">
        <f>ABS(NETWORKDAYS.INTL("07/02/24", "07/08/24", 1, {"01/01/2024","01/15/2024","02/19/2024","05/27/2024","07/04/2024","09/02/2024","10/14/2024","11/11/2024","11/28/2024","12/25/2024","12/25/2024","12/26/2024","12/27/2024","12/28/2024","12/29/2024","12/30/2024","31/25/2024","01/01/2024","01/02/2024","01/03/2024","01/04/2024","01/05/2024"})+NETWORKDAYS.INTL("07/09/2024", "07/10/24", 1, {"01/01/2024","01/15/2024","02/19/2024","05/27/2024","07/04/2024","09/02/2024","10/14/2024","11/11/2024","11/28/2024","12/25/2024","12/25/2024","12/26/2024","12/27/2024","12/28/2024","12/29/2024","12/30/2024","31/25/2024","01/01/2024","01/02/2024","01/03/2024","01/04/2024","01/05/2024"}))</f>
        <v>#VALUE!</v>
      </c>
      <c r="Z690" s="1">
        <f>0</f>
        <v>0</v>
      </c>
      <c r="AA690" s="1"/>
      <c r="AB690" s="5">
        <v>45483</v>
      </c>
      <c r="AC690" s="1"/>
      <c r="AD690" s="1" t="e">
        <f>ABS(NETWORKDAYS.INTL("06/18/24", "05/31/24", 1, {"01/01/2024","01/15/2024","02/19/2024","05/27/2024","07/04/2024","09/02/2024","10/14/2024","11/11/2024","11/28/2024","12/25/2024","12/25/2024","12/26/2024","12/27/2024","12/28/2024","12/29/2024","12/30/2024","31/25/2024","01/01/2024","01/02/2024","01/03/2024","01/04/2024","01/05/2024"}))</f>
        <v>#VALUE!</v>
      </c>
      <c r="AE690" s="1">
        <f>0</f>
        <v>0</v>
      </c>
      <c r="AF690" s="1">
        <f>0</f>
        <v>0</v>
      </c>
      <c r="AG690" s="1" t="e">
        <f>ABS(NETWORKDAYS.INTL("06/18/24", "08/05/24", 1, {"01/01/2024","01/15/2024","02/19/2024","05/27/2024","07/04/2024","09/02/2024","10/14/2024","11/11/2024","11/28/2024","12/25/2024","12/25/2024","12/26/2024","12/27/2024","12/28/2024","12/29/2024","12/30/2024","31/25/2024","01/01/2024","01/02/2024","01/03/2024","01/04/2024","01/05/2024"}))</f>
        <v>#VALUE!</v>
      </c>
      <c r="AH690" s="1" t="e">
        <f>ABS(NETWORKDAYS.INTL("06/18/24", "06/18/24", 1, {"01/01/2024","01/15/2024","02/19/2024","05/27/2024","07/04/2024","09/02/2024","10/14/2024","11/11/2024","11/28/2024","12/25/2024","12/25/2024","12/26/2024","12/27/2024","12/28/2024","12/29/2024","12/30/2024","31/25/2024","01/01/2024","01/02/2024","01/03/2024","01/04/2024","01/05/2024"}))</f>
        <v>#VALUE!</v>
      </c>
      <c r="AI690" s="1">
        <f>0</f>
        <v>0</v>
      </c>
      <c r="AJ690" s="1" t="b">
        <v>1</v>
      </c>
      <c r="AK690" s="1"/>
      <c r="AL690" s="1"/>
      <c r="AM690" s="1"/>
      <c r="AN690" s="1"/>
      <c r="AO690" s="1"/>
      <c r="AP690" s="1" t="b">
        <v>1</v>
      </c>
      <c r="AQ690" s="1"/>
      <c r="AR690" s="1"/>
      <c r="AS690" s="1"/>
      <c r="AT690" s="1"/>
      <c r="AU690" s="1"/>
      <c r="AV690" s="1"/>
      <c r="AW690" s="1"/>
      <c r="AX690" s="1"/>
      <c r="AY690" s="1"/>
      <c r="AZ690" s="1" t="b">
        <v>1</v>
      </c>
    </row>
    <row r="691" spans="1:52" ht="15" customHeight="1" x14ac:dyDescent="0.35">
      <c r="A691" s="1" t="s">
        <v>2245</v>
      </c>
      <c r="B691" s="1" t="s">
        <v>2246</v>
      </c>
      <c r="C691" s="1" t="s">
        <v>988</v>
      </c>
      <c r="D691" s="1" t="s">
        <v>1738</v>
      </c>
      <c r="E691" s="1" t="s">
        <v>2003</v>
      </c>
      <c r="F691" s="9" t="s">
        <v>2247</v>
      </c>
      <c r="G691" s="1" t="s">
        <v>38</v>
      </c>
      <c r="H6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1" s="11" t="e">
        <f>ABS(NETWORKDAYS.INTL("05/08/24", "05/22/24", 1, {"01/01/2024","01/15/2024","02/19/2024","05/27/2024","07/04/2024","09/02/2024","10/14/2024","11/11/2024","11/28/2024","12/25/2024","12/25/2024","12/26/2024","12/27/2024","12/28/2024","12/29/2024","12/30/2024","31/25/2024","01/01/2024","01/02/2024","01/03/2024","01/04/2024","01/05/2024"}))</f>
        <v>#VALUE!</v>
      </c>
      <c r="J691">
        <f>0</f>
        <v>0</v>
      </c>
      <c r="K691" s="1"/>
      <c r="L691" s="1">
        <v>1</v>
      </c>
      <c r="M691" s="1" t="e">
        <f>ABS(NETWORKDAYS.INTL("06/12/24", "06/12/24", 1, {"01/01/2024","01/15/2024","02/19/2024","05/27/2024","07/04/2024","09/02/2024","10/14/2024","11/11/2024","11/28/2024","12/25/2024","12/25/2024","12/26/2024","12/27/2024","12/28/2024","12/29/2024","12/30/2024","31/25/2024","01/01/2024","01/02/2024","01/03/2024","01/04/2024","01/05/2024"}))</f>
        <v>#VALUE!</v>
      </c>
      <c r="N691" s="1">
        <f>0</f>
        <v>0</v>
      </c>
      <c r="O691" s="1">
        <f>0</f>
        <v>0</v>
      </c>
      <c r="P691" s="1"/>
      <c r="Q691" s="1">
        <v>0</v>
      </c>
      <c r="R691" s="1">
        <v>0</v>
      </c>
      <c r="S691" s="1">
        <f>0</f>
        <v>0</v>
      </c>
      <c r="T691" s="1">
        <f>0</f>
        <v>0</v>
      </c>
      <c r="U691" s="1"/>
      <c r="V691" s="1">
        <v>2</v>
      </c>
      <c r="W691" s="1">
        <v>2</v>
      </c>
      <c r="X691" s="1" t="e">
        <f>ABS(NETWORKDAYS.INTL("06/12/24", "06/13/24",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91" s="1" t="e">
        <f>ABS(NETWORKDAYS.INTL("06/14/24", "06/14/24", 1, {"01/01/2024","01/15/2024","02/19/2024","05/27/2024","07/04/2024","09/02/2024","10/14/2024","11/11/2024","11/28/2024","12/25/2024","12/25/2024","12/26/2024","12/27/2024","12/28/2024","12/29/2024","12/30/2024","31/25/2024","01/01/2024","01/02/2024","01/03/2024","01/04/2024","01/05/2024"}))</f>
        <v>#VALUE!</v>
      </c>
      <c r="Z691" s="1">
        <f>0</f>
        <v>0</v>
      </c>
      <c r="AA691" s="1"/>
      <c r="AB691" s="5">
        <v>45470</v>
      </c>
      <c r="AC691" s="5">
        <v>45503</v>
      </c>
      <c r="AD691" s="1" t="e">
        <f>ABS(NETWORKDAYS.INTL("06/12/24", "05/22/24", 1, {"01/01/2024","01/15/2024","02/19/2024","05/27/2024","07/04/2024","09/02/2024","10/14/2024","11/11/2024","11/28/2024","12/25/2024","12/25/2024","12/26/2024","12/27/2024","12/28/2024","12/29/2024","12/30/2024","31/25/2024","01/01/2024","01/02/2024","01/03/2024","01/04/2024","01/05/2024"}))</f>
        <v>#VALUE!</v>
      </c>
      <c r="AE691" s="1">
        <f>0</f>
        <v>0</v>
      </c>
      <c r="AF691" s="1">
        <f>0</f>
        <v>0</v>
      </c>
      <c r="AG691" s="1" t="e">
        <f>ABS(NETWORKDAYS.INTL("06/12/24", "08/05/24", 1, {"01/01/2024","01/15/2024","02/19/2024","05/27/2024","07/04/2024","09/02/2024","10/14/2024","11/11/2024","11/28/2024","12/25/2024","12/25/2024","12/26/2024","12/27/2024","12/28/2024","12/29/2024","12/30/2024","31/25/2024","01/01/2024","01/02/2024","01/03/2024","01/04/2024","01/05/2024"}))</f>
        <v>#VALUE!</v>
      </c>
      <c r="AH691" s="1" t="e">
        <f>ABS(NETWORKDAYS.INTL("06/12/24", "06/12/24", 1, {"01/01/2024","01/15/2024","02/19/2024","05/27/2024","07/04/2024","09/02/2024","10/14/2024","11/11/2024","11/28/2024","12/25/2024","12/25/2024","12/26/2024","12/27/2024","12/28/2024","12/29/2024","12/30/2024","31/25/2024","01/01/2024","01/02/2024","01/03/2024","01/04/2024","01/05/2024"}))</f>
        <v>#VALUE!</v>
      </c>
      <c r="AI691" s="1" t="e">
        <f>ABS(NETWORKDAYS.INTL("07/30/2024", "06/27/24", 1, {"01/01/2024","01/15/2024","02/19/2024","05/27/2024","07/04/2024","09/02/2024","10/14/2024","11/11/2024","11/28/2024","12/25/2024","12/25/2024","12/26/2024","12/27/2024","12/28/2024","12/29/2024","12/30/2024","31/25/2024","01/01/2024","01/02/2024","01/03/2024","01/04/2024","01/05/2024"}))</f>
        <v>#VALUE!</v>
      </c>
      <c r="AJ691" s="1" t="b">
        <v>1</v>
      </c>
      <c r="AK691" s="1"/>
      <c r="AL691" s="1"/>
      <c r="AM691" s="1"/>
      <c r="AN691" s="1"/>
      <c r="AO691" s="1"/>
      <c r="AP691" s="1" t="b">
        <v>1</v>
      </c>
      <c r="AQ691" s="1"/>
      <c r="AR691" s="1"/>
      <c r="AS691" s="1"/>
      <c r="AT691" s="1"/>
      <c r="AU691" s="1"/>
      <c r="AV691" s="1"/>
      <c r="AW691" s="1"/>
      <c r="AX691" s="1"/>
      <c r="AY691" s="1"/>
      <c r="AZ691" s="1" t="b">
        <v>1</v>
      </c>
    </row>
    <row r="692" spans="1:52" ht="15" customHeight="1" x14ac:dyDescent="0.35">
      <c r="A692" s="1" t="s">
        <v>2248</v>
      </c>
      <c r="B692" s="1" t="s">
        <v>2249</v>
      </c>
      <c r="C692" s="1" t="s">
        <v>988</v>
      </c>
      <c r="D692" s="1" t="s">
        <v>1738</v>
      </c>
      <c r="E692" s="1" t="s">
        <v>2003</v>
      </c>
      <c r="F692" s="9" t="s">
        <v>2250</v>
      </c>
      <c r="G692" s="1" t="s">
        <v>38</v>
      </c>
      <c r="H6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2" s="11" t="e">
        <f>ABS(NETWORKDAYS.INTL("05/20/24", "05/22/24", 1, {"01/01/2024","01/15/2024","02/19/2024","05/27/2024","07/04/2024","09/02/2024","10/14/2024","11/11/2024","11/28/2024","12/25/2024","12/25/2024","12/26/2024","12/27/2024","12/28/2024","12/29/2024","12/30/2024","31/25/2024","01/01/2024","01/02/2024","01/03/2024","01/04/2024","01/05/2024"}))</f>
        <v>#VALUE!</v>
      </c>
      <c r="J692">
        <f>0</f>
        <v>0</v>
      </c>
      <c r="K692" s="1"/>
      <c r="L692" s="1">
        <v>1</v>
      </c>
      <c r="M692" s="1" t="e">
        <f>ABS(NETWORKDAYS.INTL("06/13/24", "06/13/24", 1, {"01/01/2024","01/15/2024","02/19/2024","05/27/2024","07/04/2024","09/02/2024","10/14/2024","11/11/2024","11/28/2024","12/25/2024","12/25/2024","12/26/2024","12/27/2024","12/28/2024","12/29/2024","12/30/2024","31/25/2024","01/01/2024","01/02/2024","01/03/2024","01/04/2024","01/05/2024"}))</f>
        <v>#VALUE!</v>
      </c>
      <c r="N692" s="1">
        <f>0</f>
        <v>0</v>
      </c>
      <c r="O692" s="1">
        <f>0</f>
        <v>0</v>
      </c>
      <c r="P692" s="1"/>
      <c r="Q692" s="1">
        <v>0</v>
      </c>
      <c r="R692" s="1">
        <v>0</v>
      </c>
      <c r="S692" s="1">
        <f>0</f>
        <v>0</v>
      </c>
      <c r="T692" s="1">
        <f>0</f>
        <v>0</v>
      </c>
      <c r="U692" s="1"/>
      <c r="V692" s="1">
        <v>1</v>
      </c>
      <c r="W692" s="1">
        <v>1</v>
      </c>
      <c r="X692" s="1" t="e">
        <f>ABS(NETWORKDAYS.INTL("06/13/24", "06/13/24", 1, {"01/01/2024","01/15/2024","02/19/2024","05/27/2024","07/04/2024","09/02/2024","10/14/2024","11/11/2024","11/28/2024","12/25/2024","12/25/2024","12/26/2024","12/27/2024","12/28/2024","12/29/2024","12/30/2024","31/25/2024","01/01/2024","01/02/2024","01/03/2024","01/04/2024","01/05/2024"}))</f>
        <v>#VALUE!</v>
      </c>
      <c r="Y692" s="1" t="e">
        <f>ABS(NETWORKDAYS.INTL("06/14/24", "06/14/24", 1, {"01/01/2024","01/15/2024","02/19/2024","05/27/2024","07/04/2024","09/02/2024","10/14/2024","11/11/2024","11/28/2024","12/25/2024","12/25/2024","12/26/2024","12/27/2024","12/28/2024","12/29/2024","12/30/2024","31/25/2024","01/01/2024","01/02/2024","01/03/2024","01/04/2024","01/05/2024"}))</f>
        <v>#VALUE!</v>
      </c>
      <c r="Z692" s="1">
        <f>0</f>
        <v>0</v>
      </c>
      <c r="AA692" s="1"/>
      <c r="AB692" s="5">
        <v>45457</v>
      </c>
      <c r="AC692" s="5">
        <v>45503</v>
      </c>
      <c r="AD692" s="1" t="e">
        <f>ABS(NETWORKDAYS.INTL("06/13/24", "05/22/24", 1, {"01/01/2024","01/15/2024","02/19/2024","05/27/2024","07/04/2024","09/02/2024","10/14/2024","11/11/2024","11/28/2024","12/25/2024","12/25/2024","12/26/2024","12/27/2024","12/28/2024","12/29/2024","12/30/2024","31/25/2024","01/01/2024","01/02/2024","01/03/2024","01/04/2024","01/05/2024"}))</f>
        <v>#VALUE!</v>
      </c>
      <c r="AE692" s="1">
        <f>0</f>
        <v>0</v>
      </c>
      <c r="AF692" s="1">
        <f>0</f>
        <v>0</v>
      </c>
      <c r="AG692" s="1" t="e">
        <f>ABS(NETWORKDAYS.INTL("06/13/24", "08/05/24", 1, {"01/01/2024","01/15/2024","02/19/2024","05/27/2024","07/04/2024","09/02/2024","10/14/2024","11/11/2024","11/28/2024","12/25/2024","12/25/2024","12/26/2024","12/27/2024","12/28/2024","12/29/2024","12/30/2024","31/25/2024","01/01/2024","01/02/2024","01/03/2024","01/04/2024","01/05/2024"}))</f>
        <v>#VALUE!</v>
      </c>
      <c r="AH692" s="1" t="e">
        <f>ABS(NETWORKDAYS.INTL("06/13/24", "06/13/24", 1, {"01/01/2024","01/15/2024","02/19/2024","05/27/2024","07/04/2024","09/02/2024","10/14/2024","11/11/2024","11/28/2024","12/25/2024","12/25/2024","12/26/2024","12/27/2024","12/28/2024","12/29/2024","12/30/2024","31/25/2024","01/01/2024","01/02/2024","01/03/2024","01/04/2024","01/05/2024"}))</f>
        <v>#VALUE!</v>
      </c>
      <c r="AI692" s="1" t="e">
        <f>ABS(NETWORKDAYS.INTL("7/30/2024", "06/14/24", 1, {"01/01/2024","01/15/2024","02/19/2024","05/27/2024","07/04/2024","09/02/2024","10/14/2024","11/11/2024","11/28/2024","12/25/2024","12/25/2024","12/26/2024","12/27/2024","12/28/2024","12/29/2024","12/30/2024","31/25/2024","01/01/2024","01/02/2024","01/03/2024","01/04/2024","01/05/2024"}))</f>
        <v>#VALUE!</v>
      </c>
      <c r="AJ692" s="1" t="b">
        <v>1</v>
      </c>
      <c r="AK692" s="1"/>
      <c r="AL692" s="1"/>
      <c r="AM692" s="1"/>
      <c r="AN692" s="1"/>
      <c r="AO692" s="1"/>
      <c r="AP692" s="1" t="b">
        <v>1</v>
      </c>
      <c r="AQ692" s="1"/>
      <c r="AR692" s="1"/>
      <c r="AS692" s="1"/>
      <c r="AT692" s="1"/>
      <c r="AU692" s="1"/>
      <c r="AV692" s="1"/>
      <c r="AW692" s="1"/>
      <c r="AX692" s="1"/>
      <c r="AY692" s="1"/>
      <c r="AZ692" s="1" t="b">
        <v>1</v>
      </c>
    </row>
    <row r="693" spans="1:52" ht="15" customHeight="1" x14ac:dyDescent="0.35">
      <c r="A693" s="1" t="s">
        <v>2251</v>
      </c>
      <c r="B693" s="1" t="s">
        <v>2252</v>
      </c>
      <c r="C693" s="1" t="s">
        <v>640</v>
      </c>
      <c r="D693" s="1"/>
      <c r="E693" s="1" t="s">
        <v>2148</v>
      </c>
      <c r="F693" s="9" t="s">
        <v>2253</v>
      </c>
      <c r="G693" s="1" t="s">
        <v>38</v>
      </c>
      <c r="H6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693" s="11">
        <f>0</f>
        <v>0</v>
      </c>
      <c r="J693">
        <f>0</f>
        <v>0</v>
      </c>
      <c r="K693" s="1"/>
      <c r="L693" s="1">
        <v>0</v>
      </c>
      <c r="M693" s="1">
        <f>0</f>
        <v>0</v>
      </c>
      <c r="N693" s="1">
        <f>0</f>
        <v>0</v>
      </c>
      <c r="O693" s="1">
        <f>0</f>
        <v>0</v>
      </c>
      <c r="P693" s="1"/>
      <c r="Q693" s="1">
        <v>0</v>
      </c>
      <c r="R693" s="1">
        <v>0</v>
      </c>
      <c r="S693" s="1">
        <f>0</f>
        <v>0</v>
      </c>
      <c r="T693" s="1">
        <f>0</f>
        <v>0</v>
      </c>
      <c r="U693" s="1"/>
      <c r="V693" s="1">
        <v>0</v>
      </c>
      <c r="W693" s="1">
        <v>0</v>
      </c>
      <c r="X693" s="1">
        <f>0</f>
        <v>0</v>
      </c>
      <c r="Y693" s="1">
        <f>0</f>
        <v>0</v>
      </c>
      <c r="Z693" s="1">
        <f>0</f>
        <v>0</v>
      </c>
      <c r="AA693" s="1"/>
      <c r="AB693" s="5"/>
      <c r="AC693" s="1"/>
      <c r="AD693" s="1">
        <f>0</f>
        <v>0</v>
      </c>
      <c r="AE693" s="1">
        <f>0</f>
        <v>0</v>
      </c>
      <c r="AF693" s="1">
        <f>0</f>
        <v>0</v>
      </c>
      <c r="AG693" s="1">
        <f>0</f>
        <v>0</v>
      </c>
      <c r="AH693" s="1">
        <f>0</f>
        <v>0</v>
      </c>
      <c r="AI693" s="1">
        <f>0</f>
        <v>0</v>
      </c>
      <c r="AJ693" s="1" t="b">
        <v>1</v>
      </c>
      <c r="AK693" s="1"/>
      <c r="AL693" s="1"/>
      <c r="AM693" s="1"/>
      <c r="AN693" s="1"/>
      <c r="AO693" s="1"/>
      <c r="AP693" s="1" t="b">
        <v>1</v>
      </c>
      <c r="AQ693" s="1"/>
      <c r="AR693" s="1"/>
      <c r="AS693" s="1"/>
      <c r="AT693" s="1"/>
      <c r="AU693" s="1"/>
      <c r="AV693" s="1" t="b">
        <v>1</v>
      </c>
      <c r="AW693" s="1"/>
      <c r="AX693" s="1"/>
      <c r="AY693" s="1" t="b">
        <v>1</v>
      </c>
      <c r="AZ693" s="1"/>
    </row>
    <row r="694" spans="1:52" ht="15" customHeight="1" x14ac:dyDescent="0.35">
      <c r="A694" s="1" t="s">
        <v>2254</v>
      </c>
      <c r="B694" s="1" t="s">
        <v>2255</v>
      </c>
      <c r="C694" s="1" t="s">
        <v>988</v>
      </c>
      <c r="D694" s="1" t="s">
        <v>1986</v>
      </c>
      <c r="E694" s="1" t="s">
        <v>1983</v>
      </c>
      <c r="F694" s="9" t="s">
        <v>2256</v>
      </c>
      <c r="G694" s="1" t="s">
        <v>38</v>
      </c>
      <c r="H6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4" s="11" t="e">
        <f>ABS(NETWORKDAYS.INTL("05/31/24", "05/31/24", 1, {"01/01/2024","01/15/2024","02/19/2024","05/27/2024","07/04/2024","09/02/2024","10/14/2024","11/11/2024","11/28/2024","12/25/2024","12/25/2024","12/26/2024","12/27/2024","12/28/2024","12/29/2024","12/30/2024","31/25/2024","01/01/2024","01/02/2024","01/03/2024","01/04/2024","01/05/2024"}))</f>
        <v>#VALUE!</v>
      </c>
      <c r="J694">
        <f>0</f>
        <v>0</v>
      </c>
      <c r="K694" s="1"/>
      <c r="L694" s="1">
        <v>1</v>
      </c>
      <c r="M694" s="1" t="e">
        <f>ABS(NETWORKDAYS.INTL("06/14/24", "06/14/24", 1, {"01/01/2024","01/15/2024","02/19/2024","05/27/2024","07/04/2024","09/02/2024","10/14/2024","11/11/2024","11/28/2024","12/25/2024","12/25/2024","12/26/2024","12/27/2024","12/28/2024","12/29/2024","12/30/2024","31/25/2024","01/01/2024","01/02/2024","01/03/2024","01/04/2024","01/05/2024"}))</f>
        <v>#VALUE!</v>
      </c>
      <c r="N694" s="1">
        <f>0</f>
        <v>0</v>
      </c>
      <c r="O694" s="1">
        <f>0</f>
        <v>0</v>
      </c>
      <c r="P694" s="1"/>
      <c r="Q694" s="1">
        <v>0</v>
      </c>
      <c r="R694" s="1">
        <v>0</v>
      </c>
      <c r="S694" s="1">
        <f>0</f>
        <v>0</v>
      </c>
      <c r="T694" s="1">
        <f>0</f>
        <v>0</v>
      </c>
      <c r="U694" s="1"/>
      <c r="V694" s="1">
        <v>1</v>
      </c>
      <c r="W694" s="1">
        <v>1</v>
      </c>
      <c r="X694" s="1" t="e">
        <f>ABS(NETWORKDAYS.INTL("06/17/24", "06/17/24", 1, {"01/01/2024","01/15/2024","02/19/2024","05/27/2024","07/04/2024","09/02/2024","10/14/2024","11/11/2024","11/28/2024","12/25/2024","12/25/2024","12/26/2024","12/27/2024","12/28/2024","12/29/2024","12/30/2024","31/25/2024","01/01/2024","01/02/2024","01/03/2024","01/04/2024","01/05/2024"}))</f>
        <v>#VALUE!</v>
      </c>
      <c r="Y694" s="1" t="e">
        <f>ABS(NETWORKDAYS.INTL("06/17/24", "06/18/24", 1, {"01/01/2024","01/15/2024","02/19/2024","05/27/2024","07/04/2024","09/02/2024","10/14/2024","11/11/2024","11/28/2024","12/25/2024","12/25/2024","12/26/2024","12/27/2024","12/28/2024","12/29/2024","12/30/2024","31/25/2024","01/01/2024","01/02/2024","01/03/2024","01/04/2024","01/05/2024"}))</f>
        <v>#VALUE!</v>
      </c>
      <c r="Z694" s="1">
        <f>0</f>
        <v>0</v>
      </c>
      <c r="AA694" s="1"/>
      <c r="AB694" s="5">
        <v>45470</v>
      </c>
      <c r="AC694" s="5">
        <v>45502</v>
      </c>
      <c r="AD694" s="1" t="e">
        <f>ABS(NETWORKDAYS.INTL("06/14/24", "05/31/24", 1, {"01/01/2024","01/15/2024","02/19/2024","05/27/2024","07/04/2024","09/02/2024","10/14/2024","11/11/2024","11/28/2024","12/25/2024","12/25/2024","12/26/2024","12/27/2024","12/28/2024","12/29/2024","12/30/2024","31/25/2024","01/01/2024","01/02/2024","01/03/2024","01/04/2024","01/05/2024"}))</f>
        <v>#VALUE!</v>
      </c>
      <c r="AE694" s="1">
        <f>0</f>
        <v>0</v>
      </c>
      <c r="AF694" s="1">
        <f>0</f>
        <v>0</v>
      </c>
      <c r="AG694" s="1" t="e">
        <f>ABS(NETWORKDAYS.INTL("06/14/24", "08/05/24", 1, {"01/01/2024","01/15/2024","02/19/2024","05/27/2024","07/04/2024","09/02/2024","10/14/2024","11/11/2024","11/28/2024","12/25/2024","12/25/2024","12/26/2024","12/27/2024","12/28/2024","12/29/2024","12/30/2024","31/25/2024","01/01/2024","01/02/2024","01/03/2024","01/04/2024","01/05/2024"}))</f>
        <v>#VALUE!</v>
      </c>
      <c r="AH694" s="1" t="e">
        <f>ABS(NETWORKDAYS.INTL("06/17/24", "06/14/24", 1, {"01/01/2024","01/15/2024","02/19/2024","05/27/2024","07/04/2024","09/02/2024","10/14/2024","11/11/2024","11/28/2024","12/25/2024","12/25/2024","12/26/2024","12/27/2024","12/28/2024","12/29/2024","12/30/2024","31/25/2024","01/01/2024","01/02/2024","01/03/2024","01/04/2024","01/05/2024"}))</f>
        <v>#VALUE!</v>
      </c>
      <c r="AI694" s="1" t="e">
        <f>ABS(NETWORKDAYS.INTL("7/29/2024", "06/27/24", 1, {"01/01/2024","01/15/2024","02/19/2024","05/27/2024","07/04/2024","09/02/2024","10/14/2024","11/11/2024","11/28/2024","12/25/2024","12/25/2024","12/26/2024","12/27/2024","12/28/2024","12/29/2024","12/30/2024","31/25/2024","01/01/2024","01/02/2024","01/03/2024","01/04/2024","01/05/2024"}))</f>
        <v>#VALUE!</v>
      </c>
      <c r="AJ694" s="1" t="b">
        <v>1</v>
      </c>
      <c r="AK694" s="1"/>
      <c r="AL694" s="1"/>
      <c r="AM694" s="1"/>
      <c r="AN694" s="1"/>
      <c r="AO694" s="1"/>
      <c r="AP694" s="1" t="b">
        <v>1</v>
      </c>
      <c r="AQ694" s="1"/>
      <c r="AR694" s="1"/>
      <c r="AS694" s="1"/>
      <c r="AT694" s="1"/>
      <c r="AU694" s="1"/>
      <c r="AV694" s="1"/>
      <c r="AW694" s="1"/>
      <c r="AX694" s="1"/>
      <c r="AY694" s="1"/>
      <c r="AZ694" s="1" t="b">
        <v>1</v>
      </c>
    </row>
    <row r="695" spans="1:52" ht="15" customHeight="1" x14ac:dyDescent="0.35">
      <c r="A695" s="1" t="s">
        <v>2257</v>
      </c>
      <c r="B695" s="1" t="s">
        <v>2258</v>
      </c>
      <c r="C695" s="1" t="s">
        <v>988</v>
      </c>
      <c r="D695" s="1" t="s">
        <v>2259</v>
      </c>
      <c r="E695" s="1" t="s">
        <v>1983</v>
      </c>
      <c r="F695" s="9" t="s">
        <v>2260</v>
      </c>
      <c r="G695" s="1" t="s">
        <v>38</v>
      </c>
      <c r="H6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5" s="11" t="e">
        <f>ABS(NETWORKDAYS.INTL("05/30/24", "05/30/24", 1, {"01/01/2024","01/15/2024","02/19/2024","05/27/2024","07/04/2024","09/02/2024","10/14/2024","11/11/2024","11/28/2024","12/25/2024","12/25/2024","12/26/2024","12/27/2024","12/28/2024","12/29/2024","12/30/2024","31/25/2024","01/01/2024","01/02/2024","01/03/2024","01/04/2024","01/05/2024"}))</f>
        <v>#VALUE!</v>
      </c>
      <c r="J695">
        <f>0</f>
        <v>0</v>
      </c>
      <c r="K695" s="1"/>
      <c r="L695" s="1">
        <v>1</v>
      </c>
      <c r="M695" s="1" t="e">
        <f>ABS(NETWORKDAYS.INTL("06/19/24", "06/19/24", 1, {"01/01/2024","01/15/2024","02/19/2024","05/27/2024","07/04/2024","09/02/2024","10/14/2024","11/11/2024","11/28/2024","12/25/2024","12/25/2024","12/26/2024","12/27/2024","12/28/2024","12/29/2024","12/30/2024","31/25/2024","01/01/2024","01/02/2024","01/03/2024","01/04/2024","01/05/2024"}))</f>
        <v>#VALUE!</v>
      </c>
      <c r="N695" s="1">
        <f>0</f>
        <v>0</v>
      </c>
      <c r="O695" s="1">
        <f>0</f>
        <v>0</v>
      </c>
      <c r="P695" s="1"/>
      <c r="Q695" s="1">
        <v>0</v>
      </c>
      <c r="R695" s="1">
        <v>0</v>
      </c>
      <c r="S695" s="1">
        <f>0</f>
        <v>0</v>
      </c>
      <c r="T695" s="1">
        <f>0</f>
        <v>0</v>
      </c>
      <c r="U695" s="1"/>
      <c r="V695" s="1">
        <v>1</v>
      </c>
      <c r="W695" s="1">
        <v>1</v>
      </c>
      <c r="X695" s="1" t="e">
        <f>ABS(NETWORKDAYS.INTL("06/19/24", "06/20/24", 1, {"01/01/2024","01/15/2024","02/19/2024","05/27/2024","07/04/2024","09/02/2024","10/14/2024","11/11/2024","11/28/2024","12/25/2024","12/25/2024","12/26/2024","12/27/2024","12/28/2024","12/29/2024","12/30/2024","31/25/2024","01/01/2024","01/02/2024","01/03/2024","01/04/2024","01/05/2024"}))</f>
        <v>#VALUE!</v>
      </c>
      <c r="Y695" s="1">
        <f>0</f>
        <v>0</v>
      </c>
      <c r="Z695" s="1">
        <f>0</f>
        <v>0</v>
      </c>
      <c r="AA695" s="1"/>
      <c r="AB695" s="5">
        <v>45470</v>
      </c>
      <c r="AC695" s="5">
        <v>45504</v>
      </c>
      <c r="AD695" s="1" t="e">
        <f>ABS(NETWORKDAYS.INTL("06/19/24", "05/30/24", 1, {"01/01/2024","01/15/2024","02/19/2024","05/27/2024","07/04/2024","09/02/2024","10/14/2024","11/11/2024","11/28/2024","12/25/2024","12/25/2024","12/26/2024","12/27/2024","12/28/2024","12/29/2024","12/30/2024","31/25/2024","01/01/2024","01/02/2024","01/03/2024","01/04/2024","01/05/2024"}))</f>
        <v>#VALUE!</v>
      </c>
      <c r="AE695" s="1">
        <f>0</f>
        <v>0</v>
      </c>
      <c r="AF695" s="1">
        <f>0</f>
        <v>0</v>
      </c>
      <c r="AG695" s="1" t="e">
        <f>ABS(NETWORKDAYS.INTL("06/19/24", "08/05/24", 1, {"01/01/2024","01/15/2024","02/19/2024","05/27/2024","07/04/2024","09/02/2024","10/14/2024","11/11/2024","11/28/2024","12/25/2024","12/25/2024","12/26/2024","12/27/2024","12/28/2024","12/29/2024","12/30/2024","31/25/2024","01/01/2024","01/02/2024","01/03/2024","01/04/2024","01/05/2024"}))</f>
        <v>#VALUE!</v>
      </c>
      <c r="AH695" s="1" t="e">
        <f>ABS(NETWORKDAYS.INTL("06/19/24", "06/19/24", 1, {"01/01/2024","01/15/2024","02/19/2024","05/27/2024","07/04/2024","09/02/2024","10/14/2024","11/11/2024","11/28/2024","12/25/2024","12/25/2024","12/26/2024","12/27/2024","12/28/2024","12/29/2024","12/30/2024","31/25/2024","01/01/2024","01/02/2024","01/03/2024","01/04/2024","01/05/2024"}))</f>
        <v>#VALUE!</v>
      </c>
      <c r="AI695" s="1" t="e">
        <f>ABS(NETWORKDAYS.INTL("07/31/2024", "06/27/24", 1, {"01/01/2024","01/15/2024","02/19/2024","05/27/2024","07/04/2024","09/02/2024","10/14/2024","11/11/2024","11/28/2024","12/25/2024","12/25/2024","12/26/2024","12/27/2024","12/28/2024","12/29/2024","12/30/2024","31/25/2024","01/01/2024","01/02/2024","01/03/2024","01/04/2024","01/05/2024"}))</f>
        <v>#VALUE!</v>
      </c>
      <c r="AJ695" s="1" t="b">
        <v>1</v>
      </c>
      <c r="AK695" s="1"/>
      <c r="AL695" s="1"/>
      <c r="AM695" s="1"/>
      <c r="AN695" s="1"/>
      <c r="AO695" s="1"/>
      <c r="AP695" s="1" t="b">
        <v>1</v>
      </c>
      <c r="AQ695" s="1"/>
      <c r="AR695" s="1"/>
      <c r="AS695" s="1"/>
      <c r="AT695" s="1"/>
      <c r="AU695" s="1"/>
      <c r="AV695" s="1"/>
      <c r="AW695" s="1"/>
      <c r="AX695" s="1"/>
      <c r="AY695" s="1"/>
      <c r="AZ695" s="1" t="b">
        <v>1</v>
      </c>
    </row>
    <row r="696" spans="1:52" ht="15" customHeight="1" x14ac:dyDescent="0.35">
      <c r="A696" s="1" t="s">
        <v>2261</v>
      </c>
      <c r="B696" s="1" t="s">
        <v>2262</v>
      </c>
      <c r="C696" s="1" t="s">
        <v>988</v>
      </c>
      <c r="D696" s="1" t="s">
        <v>1986</v>
      </c>
      <c r="E696" s="1" t="s">
        <v>2200</v>
      </c>
      <c r="F696" s="9" t="s">
        <v>2263</v>
      </c>
      <c r="G696" s="1" t="s">
        <v>38</v>
      </c>
      <c r="H6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6" s="11" t="e">
        <f>ABS(NETWORKDAYS.INTL("05/31/24", "05/31/24", 1, {"01/01/2024","01/15/2024","02/19/2024","05/27/2024","07/04/2024","09/02/2024","10/14/2024","11/11/2024","11/28/2024","12/25/2024","12/25/2024","12/26/2024","12/27/2024","12/28/2024","12/29/2024","12/30/2024","31/25/2024","01/01/2024","01/02/2024","01/03/2024","01/04/2024","01/05/2024"}))</f>
        <v>#VALUE!</v>
      </c>
      <c r="J696">
        <f>0</f>
        <v>0</v>
      </c>
      <c r="K696" s="1"/>
      <c r="L696" s="1">
        <v>1</v>
      </c>
      <c r="M696" s="1" t="e">
        <f>ABS(NETWORKDAYS.INTL("06/14/24", "06/14/24", 1, {"01/01/2024","01/15/2024","02/19/2024","05/27/2024","07/04/2024","09/02/2024","10/14/2024","11/11/2024","11/28/2024","12/25/2024","12/25/2024","12/26/2024","12/27/2024","12/28/2024","12/29/2024","12/30/2024","31/25/2024","01/01/2024","01/02/2024","01/03/2024","01/04/2024","01/05/2024"}))</f>
        <v>#VALUE!</v>
      </c>
      <c r="N696" s="1">
        <f>0</f>
        <v>0</v>
      </c>
      <c r="O696" s="1">
        <f>0</f>
        <v>0</v>
      </c>
      <c r="P696" s="1"/>
      <c r="Q696" s="1">
        <v>0</v>
      </c>
      <c r="R696" s="1">
        <v>0</v>
      </c>
      <c r="S696" s="1">
        <f>0</f>
        <v>0</v>
      </c>
      <c r="T696" s="1">
        <f>0</f>
        <v>0</v>
      </c>
      <c r="U696" s="1"/>
      <c r="V696" s="1">
        <v>2</v>
      </c>
      <c r="W696" s="1">
        <v>2</v>
      </c>
      <c r="X696" s="1" t="e">
        <f>ABS(NETWORKDAYS.INTL("06/17/24", "06/17/24",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96" s="1" t="e">
        <f>ABS(NETWORKDAYS.INTL("06/18/24", "06/18/24",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Z696" s="1">
        <f>0</f>
        <v>0</v>
      </c>
      <c r="AA696" s="1"/>
      <c r="AB696" s="5">
        <v>45470</v>
      </c>
      <c r="AC696" s="5">
        <v>45502</v>
      </c>
      <c r="AD696" s="1" t="e">
        <f>ABS(NETWORKDAYS.INTL("06/14/24", "05/31/24", 1, {"01/01/2024","01/15/2024","02/19/2024","05/27/2024","07/04/2024","09/02/2024","10/14/2024","11/11/2024","11/28/2024","12/25/2024","12/25/2024","12/26/2024","12/27/2024","12/28/2024","12/29/2024","12/30/2024","31/25/2024","01/01/2024","01/02/2024","01/03/2024","01/04/2024","01/05/2024"}))</f>
        <v>#VALUE!</v>
      </c>
      <c r="AE696" s="1">
        <f>0</f>
        <v>0</v>
      </c>
      <c r="AF696" s="1">
        <f>0</f>
        <v>0</v>
      </c>
      <c r="AG696" s="1" t="e">
        <f>ABS(NETWORKDAYS.INTL("06/14/24", "08/05/24", 1, {"01/01/2024","01/15/2024","02/19/2024","05/27/2024","07/04/2024","09/02/2024","10/14/2024","11/11/2024","11/28/2024","12/25/2024","12/25/2024","12/26/2024","12/27/2024","12/28/2024","12/29/2024","12/30/2024","31/25/2024","01/01/2024","01/02/2024","01/03/2024","01/04/2024","01/05/2024"}))</f>
        <v>#VALUE!</v>
      </c>
      <c r="AH696" s="1" t="e">
        <f>ABS(NETWORKDAYS.INTL("06/17/24", "06/14/24", 1, {"01/01/2024","01/15/2024","02/19/2024","05/27/2024","07/04/2024","09/02/2024","10/14/2024","11/11/2024","11/28/2024","12/25/2024","12/25/2024","12/26/2024","12/27/2024","12/28/2024","12/29/2024","12/30/2024","31/25/2024","01/01/2024","01/02/2024","01/03/2024","01/04/2024","01/05/2024"}))</f>
        <v>#VALUE!</v>
      </c>
      <c r="AI696" s="1" t="e">
        <f>ABS(NETWORKDAYS.INTL("7/29/2024", "06/27/24", 1, {"01/01/2024","01/15/2024","02/19/2024","05/27/2024","07/04/2024","09/02/2024","10/14/2024","11/11/2024","11/28/2024","12/25/2024","12/25/2024","12/26/2024","12/27/2024","12/28/2024","12/29/2024","12/30/2024","31/25/2024","01/01/2024","01/02/2024","01/03/2024","01/04/2024","01/05/2024"}))</f>
        <v>#VALUE!</v>
      </c>
      <c r="AJ696" s="1" t="b">
        <v>1</v>
      </c>
      <c r="AK696" s="1"/>
      <c r="AL696" s="1"/>
      <c r="AM696" s="1"/>
      <c r="AN696" s="1"/>
      <c r="AO696" s="1"/>
      <c r="AP696" s="1" t="b">
        <v>1</v>
      </c>
      <c r="AQ696" s="1"/>
      <c r="AR696" s="1"/>
      <c r="AS696" s="1"/>
      <c r="AT696" s="1"/>
      <c r="AU696" s="1"/>
      <c r="AV696" s="1"/>
      <c r="AW696" s="1"/>
      <c r="AX696" s="1"/>
      <c r="AY696" s="1"/>
      <c r="AZ696" s="1" t="b">
        <v>1</v>
      </c>
    </row>
    <row r="697" spans="1:52" ht="15" customHeight="1" x14ac:dyDescent="0.35">
      <c r="A697" s="1" t="s">
        <v>2264</v>
      </c>
      <c r="B697" s="1" t="s">
        <v>2265</v>
      </c>
      <c r="C697" s="1" t="s">
        <v>988</v>
      </c>
      <c r="D697" s="1" t="s">
        <v>1367</v>
      </c>
      <c r="E697" s="1" t="s">
        <v>1983</v>
      </c>
      <c r="F697" s="9" t="s">
        <v>2266</v>
      </c>
      <c r="G697" s="1" t="s">
        <v>38</v>
      </c>
      <c r="H6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7" s="11" t="e">
        <f>ABS(NETWORKDAYS.INTL("05/29/24", "05/29/24", 1, {"01/01/2024","01/15/2024","02/19/2024","05/27/2024","07/04/2024","09/02/2024","10/14/2024","11/11/2024","11/28/2024","12/25/2024","12/25/2024","12/26/2024","12/27/2024","12/28/2024","12/29/2024","12/30/2024","31/25/2024","01/01/2024","01/02/2024","01/03/2024","01/04/2024","01/05/2024"}))</f>
        <v>#VALUE!</v>
      </c>
      <c r="J697">
        <f>0</f>
        <v>0</v>
      </c>
      <c r="K697" s="1"/>
      <c r="L697" s="1">
        <v>1</v>
      </c>
      <c r="M697" s="1" t="e">
        <f>ABS(NETWORKDAYS.INTL("06/20/24", "06/20/24", 1, {"01/01/2024","01/15/2024","02/19/2024","05/27/2024","07/04/2024","09/02/2024","10/14/2024","11/11/2024","11/28/2024","12/25/2024","12/25/2024","12/26/2024","12/27/2024","12/28/2024","12/29/2024","12/30/2024","31/25/2024","01/01/2024","01/02/2024","01/03/2024","01/04/2024","01/05/2024"}))</f>
        <v>#VALUE!</v>
      </c>
      <c r="N697" s="1">
        <f>0</f>
        <v>0</v>
      </c>
      <c r="O697" s="1">
        <f>0</f>
        <v>0</v>
      </c>
      <c r="P697" s="1"/>
      <c r="Q697" s="1">
        <v>0</v>
      </c>
      <c r="R697" s="1">
        <v>0</v>
      </c>
      <c r="S697" s="1">
        <f>0</f>
        <v>0</v>
      </c>
      <c r="T697" s="1">
        <f>0</f>
        <v>0</v>
      </c>
      <c r="U697" s="1"/>
      <c r="V697" s="1">
        <v>1</v>
      </c>
      <c r="W697" s="1">
        <v>1</v>
      </c>
      <c r="X697" s="1" t="e">
        <f>ABS(NETWORKDAYS.INTL("06/20/24", "06/21/24", 1, {"01/01/2024","01/15/2024","02/19/2024","05/27/2024","07/04/2024","09/02/2024","10/14/2024","11/11/2024","11/28/2024","12/25/2024","12/25/2024","12/26/2024","12/27/2024","12/28/2024","12/29/2024","12/30/2024","31/25/2024","01/01/2024","01/02/2024","01/03/2024","01/04/2024","01/05/2024"}))</f>
        <v>#VALUE!</v>
      </c>
      <c r="Y697" s="1">
        <f>0</f>
        <v>0</v>
      </c>
      <c r="Z697" s="1">
        <f>0</f>
        <v>0</v>
      </c>
      <c r="AA697" s="1"/>
      <c r="AB697" s="5">
        <v>45473</v>
      </c>
      <c r="AC697" s="5">
        <v>45504</v>
      </c>
      <c r="AD697" s="1" t="e">
        <f>ABS(NETWORKDAYS.INTL("06/20/24", "05/29/24", 1, {"01/01/2024","01/15/2024","02/19/2024","05/27/2024","07/04/2024","09/02/2024","10/14/2024","11/11/2024","11/28/2024","12/25/2024","12/25/2024","12/26/2024","12/27/2024","12/28/2024","12/29/2024","12/30/2024","31/25/2024","01/01/2024","01/02/2024","01/03/2024","01/04/2024","01/05/2024"}))</f>
        <v>#VALUE!</v>
      </c>
      <c r="AE697" s="1">
        <f>0</f>
        <v>0</v>
      </c>
      <c r="AF697" s="1">
        <f>0</f>
        <v>0</v>
      </c>
      <c r="AG697" s="1" t="e">
        <f>ABS(NETWORKDAYS.INTL("06/20/24", "08/05/24", 1, {"01/01/2024","01/15/2024","02/19/2024","05/27/2024","07/04/2024","09/02/2024","10/14/2024","11/11/2024","11/28/2024","12/25/2024","12/25/2024","12/26/2024","12/27/2024","12/28/2024","12/29/2024","12/30/2024","31/25/2024","01/01/2024","01/02/2024","01/03/2024","01/04/2024","01/05/2024"}))</f>
        <v>#VALUE!</v>
      </c>
      <c r="AH697" s="1" t="e">
        <f>ABS(NETWORKDAYS.INTL("06/20/24", "06/20/24", 1, {"01/01/2024","01/15/2024","02/19/2024","05/27/2024","07/04/2024","09/02/2024","10/14/2024","11/11/2024","11/28/2024","12/25/2024","12/25/2024","12/26/2024","12/27/2024","12/28/2024","12/29/2024","12/30/2024","31/25/2024","01/01/2024","01/02/2024","01/03/2024","01/04/2024","01/05/2024"}))</f>
        <v>#VALUE!</v>
      </c>
      <c r="AI697" s="1" t="e">
        <f>ABS(NETWORKDAYS.INTL("07/31/2024", "06/30/24", 1, {"01/01/2024","01/15/2024","02/19/2024","05/27/2024","07/04/2024","09/02/2024","10/14/2024","11/11/2024","11/28/2024","12/25/2024","12/25/2024","12/26/2024","12/27/2024","12/28/2024","12/29/2024","12/30/2024","31/25/2024","01/01/2024","01/02/2024","01/03/2024","01/04/2024","01/05/2024"}))</f>
        <v>#VALUE!</v>
      </c>
      <c r="AJ697" s="1" t="b">
        <v>1</v>
      </c>
      <c r="AK697" s="1"/>
      <c r="AL697" s="1"/>
      <c r="AM697" s="1"/>
      <c r="AN697" s="1"/>
      <c r="AO697" s="1"/>
      <c r="AP697" s="1" t="b">
        <v>1</v>
      </c>
      <c r="AQ697" s="1"/>
      <c r="AR697" s="1"/>
      <c r="AS697" s="1"/>
      <c r="AT697" s="1"/>
      <c r="AU697" s="1"/>
      <c r="AV697" s="1"/>
      <c r="AW697" s="1"/>
      <c r="AX697" s="1"/>
      <c r="AY697" s="1"/>
      <c r="AZ697" s="1" t="b">
        <v>1</v>
      </c>
    </row>
    <row r="698" spans="1:52" ht="15" customHeight="1" x14ac:dyDescent="0.35">
      <c r="A698" s="1" t="s">
        <v>2267</v>
      </c>
      <c r="B698" s="1" t="s">
        <v>2268</v>
      </c>
      <c r="C698" s="1" t="s">
        <v>988</v>
      </c>
      <c r="D698" s="1" t="s">
        <v>1741</v>
      </c>
      <c r="E698" s="1" t="s">
        <v>1983</v>
      </c>
      <c r="F698" s="9" t="s">
        <v>2269</v>
      </c>
      <c r="G698" s="1" t="s">
        <v>38</v>
      </c>
      <c r="H6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8" s="11" t="e">
        <f>ABS(NETWORKDAYS.INTL("05/28/24", "05/28/24", 1, {"01/01/2024","01/15/2024","02/19/2024","05/27/2024","07/04/2024","09/02/2024","10/14/2024","11/11/2024","11/28/2024","12/25/2024","12/25/2024","12/26/2024","12/27/2024","12/28/2024","12/29/2024","12/30/2024","31/25/2024","01/01/2024","01/02/2024","01/03/2024","01/04/2024","01/05/2024"}))</f>
        <v>#VALUE!</v>
      </c>
      <c r="J698">
        <f>0</f>
        <v>0</v>
      </c>
      <c r="K698" s="1"/>
      <c r="L698" s="1">
        <v>1</v>
      </c>
      <c r="M698" s="1" t="e">
        <f>ABS(NETWORKDAYS.INTL("06/18/24", "06/18/24", 1, {"01/01/2024","01/15/2024","02/19/2024","05/27/2024","07/04/2024","09/02/2024","10/14/2024","11/11/2024","11/28/2024","12/25/2024","12/25/2024","12/26/2024","12/27/2024","12/28/2024","12/29/2024","12/30/2024","31/25/2024","01/01/2024","01/02/2024","01/03/2024","01/04/2024","01/05/2024"}))</f>
        <v>#VALUE!</v>
      </c>
      <c r="N698" s="1">
        <f>0</f>
        <v>0</v>
      </c>
      <c r="O698" s="1">
        <f>0</f>
        <v>0</v>
      </c>
      <c r="P698" s="1"/>
      <c r="Q698" s="1">
        <v>0</v>
      </c>
      <c r="R698" s="1">
        <v>0</v>
      </c>
      <c r="S698" s="1">
        <f>0</f>
        <v>0</v>
      </c>
      <c r="T698" s="1">
        <f>0</f>
        <v>0</v>
      </c>
      <c r="U698" s="1"/>
      <c r="V698" s="1">
        <v>1</v>
      </c>
      <c r="W698" s="1">
        <v>2</v>
      </c>
      <c r="X698" s="1" t="e">
        <f>ABS(NETWORKDAYS.INTL("06/18/24", "06/19/24",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698" s="1" t="e">
        <f>ABS(NETWORKDAYS.INTL("06/24/24", "06/27/24", 1, {"01/01/2024","01/15/2024","02/19/2024","05/27/2024","07/04/2024","09/02/2024","10/14/2024","11/11/2024","11/28/2024","12/25/2024","12/25/2024","12/26/2024","12/27/2024","12/28/2024","12/29/2024","12/30/2024","31/25/2024","01/01/2024","01/02/2024","01/03/2024","01/04/2024","01/05/2024"}))</f>
        <v>#VALUE!</v>
      </c>
      <c r="Z698" s="1">
        <f>0</f>
        <v>0</v>
      </c>
      <c r="AA698" s="1"/>
      <c r="AB698" s="5">
        <v>45470</v>
      </c>
      <c r="AC698" s="5">
        <v>45504</v>
      </c>
      <c r="AD698" s="1" t="e">
        <f>ABS(NETWORKDAYS.INTL("06/18/24", "05/28/24", 1, {"01/01/2024","01/15/2024","02/19/2024","05/27/2024","07/04/2024","09/02/2024","10/14/2024","11/11/2024","11/28/2024","12/25/2024","12/25/2024","12/26/2024","12/27/2024","12/28/2024","12/29/2024","12/30/2024","31/25/2024","01/01/2024","01/02/2024","01/03/2024","01/04/2024","01/05/2024"}))</f>
        <v>#VALUE!</v>
      </c>
      <c r="AE698" s="1">
        <f>0</f>
        <v>0</v>
      </c>
      <c r="AF698" s="1">
        <f>0</f>
        <v>0</v>
      </c>
      <c r="AG698" s="1" t="e">
        <f>ABS(NETWORKDAYS.INTL("06/18/24", "08/05/24", 1, {"01/01/2024","01/15/2024","02/19/2024","05/27/2024","07/04/2024","09/02/2024","10/14/2024","11/11/2024","11/28/2024","12/25/2024","12/25/2024","12/26/2024","12/27/2024","12/28/2024","12/29/2024","12/30/2024","31/25/2024","01/01/2024","01/02/2024","01/03/2024","01/04/2024","01/05/2024"}))</f>
        <v>#VALUE!</v>
      </c>
      <c r="AH698" s="1" t="e">
        <f>ABS(NETWORKDAYS.INTL("06/18/24", "06/18/24", 1, {"01/01/2024","01/15/2024","02/19/2024","05/27/2024","07/04/2024","09/02/2024","10/14/2024","11/11/2024","11/28/2024","12/25/2024","12/25/2024","12/26/2024","12/27/2024","12/28/2024","12/29/2024","12/30/2024","31/25/2024","01/01/2024","01/02/2024","01/03/2024","01/04/2024","01/05/2024"}))</f>
        <v>#VALUE!</v>
      </c>
      <c r="AI698" s="1" t="e">
        <f>ABS(NETWORKDAYS.INTL("07/31/2024", "06/27/24", 1, {"01/01/2024","01/15/2024","02/19/2024","05/27/2024","07/04/2024","09/02/2024","10/14/2024","11/11/2024","11/28/2024","12/25/2024","12/25/2024","12/26/2024","12/27/2024","12/28/2024","12/29/2024","12/30/2024","31/25/2024","01/01/2024","01/02/2024","01/03/2024","01/04/2024","01/05/2024"}))</f>
        <v>#VALUE!</v>
      </c>
      <c r="AJ698" s="1" t="b">
        <v>1</v>
      </c>
      <c r="AK698" s="1"/>
      <c r="AL698" s="1"/>
      <c r="AM698" s="1"/>
      <c r="AN698" s="1"/>
      <c r="AO698" s="1"/>
      <c r="AP698" s="1" t="b">
        <v>1</v>
      </c>
      <c r="AQ698" s="1"/>
      <c r="AR698" s="1"/>
      <c r="AS698" s="1"/>
      <c r="AT698" s="1"/>
      <c r="AU698" s="1"/>
      <c r="AV698" s="1"/>
      <c r="AW698" s="1"/>
      <c r="AX698" s="1"/>
      <c r="AY698" s="1"/>
      <c r="AZ698" s="1" t="b">
        <v>1</v>
      </c>
    </row>
    <row r="699" spans="1:52" ht="15" customHeight="1" x14ac:dyDescent="0.35">
      <c r="A699" s="1" t="s">
        <v>2270</v>
      </c>
      <c r="B699" s="1" t="s">
        <v>2271</v>
      </c>
      <c r="C699" s="1" t="s">
        <v>988</v>
      </c>
      <c r="D699" s="1" t="s">
        <v>2272</v>
      </c>
      <c r="E699" s="1" t="s">
        <v>1983</v>
      </c>
      <c r="F699" s="9" t="s">
        <v>2273</v>
      </c>
      <c r="G699" s="1" t="s">
        <v>38</v>
      </c>
      <c r="H6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699" s="11" t="e">
        <f>ABS(NETWORKDAYS.INTL("06/03/24", "06/11/24", 1, {"01/01/2024","01/15/2024","02/19/2024","05/27/2024","07/04/2024","09/02/2024","10/14/2024","11/11/2024","11/28/2024","12/25/2024","12/25/2024","12/26/2024","12/27/2024","12/28/2024","12/29/2024","12/30/2024","31/25/2024","01/01/2024","01/02/2024","01/03/2024","01/04/2024","01/05/2024"}))</f>
        <v>#VALUE!</v>
      </c>
      <c r="J699">
        <f>0</f>
        <v>0</v>
      </c>
      <c r="K699" s="1"/>
      <c r="L699" s="1">
        <v>1</v>
      </c>
      <c r="M699" s="1" t="e">
        <f>ABS(NETWORKDAYS.INTL("06/12/24", "06/12/24", 1, {"01/01/2024","01/15/2024","02/19/2024","05/27/2024","07/04/2024","09/02/2024","10/14/2024","11/11/2024","11/28/2024","12/25/2024","12/25/2024","12/26/2024","12/27/2024","12/28/2024","12/29/2024","12/30/2024","31/25/2024","01/01/2024","01/02/2024","01/03/2024","01/04/2024","01/05/2024"}))</f>
        <v>#VALUE!</v>
      </c>
      <c r="N699" s="1">
        <f>0</f>
        <v>0</v>
      </c>
      <c r="O699" s="1">
        <f>0</f>
        <v>0</v>
      </c>
      <c r="P699" s="1"/>
      <c r="Q699" s="1">
        <v>0</v>
      </c>
      <c r="R699" s="1">
        <v>0</v>
      </c>
      <c r="S699" s="1">
        <f>0</f>
        <v>0</v>
      </c>
      <c r="T699" s="1">
        <f>0</f>
        <v>0</v>
      </c>
      <c r="U699" s="1"/>
      <c r="V699" s="1">
        <v>1</v>
      </c>
      <c r="W699" s="1">
        <v>1</v>
      </c>
      <c r="X699" s="1" t="e">
        <f>ABS(NETWORKDAYS.INTL("06/13/24", "06/14/24", 1, {"01/01/2024","01/15/2024","02/19/2024","05/27/2024","07/04/2024","09/02/2024","10/14/2024","11/11/2024","11/28/2024","12/25/2024","12/25/2024","12/26/2024","12/27/2024","12/28/2024","12/29/2024","12/30/2024","31/25/2024","01/01/2024","01/02/2024","01/03/2024","01/04/2024","01/05/2024"}))</f>
        <v>#VALUE!</v>
      </c>
      <c r="Y699" s="1">
        <f>0</f>
        <v>0</v>
      </c>
      <c r="Z699" s="1">
        <f>0</f>
        <v>0</v>
      </c>
      <c r="AA699" s="1"/>
      <c r="AB699" s="5">
        <v>45457</v>
      </c>
      <c r="AC699" s="5">
        <v>45502</v>
      </c>
      <c r="AD699" s="1" t="e">
        <f>ABS(NETWORKDAYS.INTL("06/12/24", "06/11/24", 1, {"01/01/2024","01/15/2024","02/19/2024","05/27/2024","07/04/2024","09/02/2024","10/14/2024","11/11/2024","11/28/2024","12/25/2024","12/25/2024","12/26/2024","12/27/2024","12/28/2024","12/29/2024","12/30/2024","31/25/2024","01/01/2024","01/02/2024","01/03/2024","01/04/2024","01/05/2024"}))</f>
        <v>#VALUE!</v>
      </c>
      <c r="AE699" s="1">
        <f>0</f>
        <v>0</v>
      </c>
      <c r="AF699" s="1">
        <f>0</f>
        <v>0</v>
      </c>
      <c r="AG699" s="1" t="e">
        <f>ABS(NETWORKDAYS.INTL("06/13/24", "08/05/24", 1, {"01/01/2024","01/15/2024","02/19/2024","05/27/2024","07/04/2024","09/02/2024","10/14/2024","11/11/2024","11/28/2024","12/25/2024","12/25/2024","12/26/2024","12/27/2024","12/28/2024","12/29/2024","12/30/2024","31/25/2024","01/01/2024","01/02/2024","01/03/2024","01/04/2024","01/05/2024"}))</f>
        <v>#VALUE!</v>
      </c>
      <c r="AH699" s="1" t="e">
        <f>ABS(NETWORKDAYS.INTL("06/13/24", "06/13/24", 1, {"01/01/2024","01/15/2024","02/19/2024","05/27/2024","07/04/2024","09/02/2024","10/14/2024","11/11/2024","11/28/2024","12/25/2024","12/25/2024","12/26/2024","12/27/2024","12/28/2024","12/29/2024","12/30/2024","31/25/2024","01/01/2024","01/02/2024","01/03/2024","01/04/2024","01/05/2024"}))</f>
        <v>#VALUE!</v>
      </c>
      <c r="AI699" s="1" t="e">
        <f>ABS(NETWORKDAYS.INTL("7/29/2024", "06/14/24", 1, {"01/01/2024","01/15/2024","02/19/2024","05/27/2024","07/04/2024","09/02/2024","10/14/2024","11/11/2024","11/28/2024","12/25/2024","12/25/2024","12/26/2024","12/27/2024","12/28/2024","12/29/2024","12/30/2024","31/25/2024","01/01/2024","01/02/2024","01/03/2024","01/04/2024","01/05/2024"}))</f>
        <v>#VALUE!</v>
      </c>
      <c r="AJ699" s="1" t="b">
        <v>1</v>
      </c>
      <c r="AK699" s="1"/>
      <c r="AL699" s="1"/>
      <c r="AM699" s="1"/>
      <c r="AN699" s="1"/>
      <c r="AO699" s="1"/>
      <c r="AP699" s="1" t="b">
        <v>1</v>
      </c>
      <c r="AQ699" s="1"/>
      <c r="AR699" s="1"/>
      <c r="AS699" s="1"/>
      <c r="AT699" s="1"/>
      <c r="AU699" s="1"/>
      <c r="AV699" s="1"/>
      <c r="AW699" s="1"/>
      <c r="AX699" s="1"/>
      <c r="AY699" s="1"/>
      <c r="AZ699" s="1" t="b">
        <v>1</v>
      </c>
    </row>
    <row r="700" spans="1:52" ht="15" customHeight="1" x14ac:dyDescent="0.35">
      <c r="A700" s="1" t="s">
        <v>2274</v>
      </c>
      <c r="B700" s="1" t="s">
        <v>2275</v>
      </c>
      <c r="C700" s="1" t="s">
        <v>988</v>
      </c>
      <c r="D700" s="1" t="s">
        <v>1725</v>
      </c>
      <c r="E700" s="1" t="s">
        <v>1983</v>
      </c>
      <c r="F700" s="9" t="s">
        <v>2276</v>
      </c>
      <c r="G700" s="1" t="s">
        <v>38</v>
      </c>
      <c r="H7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0" s="11" t="e">
        <f>ABS(NETWORKDAYS.INTL("05/29/24", "05/30/24", 1, {"01/01/2024","01/15/2024","02/19/2024","05/27/2024","07/04/2024","09/02/2024","10/14/2024","11/11/2024","11/28/2024","12/25/2024","12/25/2024","12/26/2024","12/27/2024","12/28/2024","12/29/2024","12/30/2024","31/25/2024","01/01/2024","01/02/2024","01/03/2024","01/04/2024","01/05/2024"}))</f>
        <v>#VALUE!</v>
      </c>
      <c r="J700">
        <f>0</f>
        <v>0</v>
      </c>
      <c r="K700" s="1"/>
      <c r="L700" s="1">
        <v>1</v>
      </c>
      <c r="M700" s="1" t="e">
        <f>ABS(NETWORKDAYS.INTL("06/19/24", "06/19/24", 1, {"01/01/2024","01/15/2024","02/19/2024","05/27/2024","07/04/2024","09/02/2024","10/14/2024","11/11/2024","11/28/2024","12/25/2024","12/25/2024","12/26/2024","12/27/2024","12/28/2024","12/29/2024","12/30/2024","31/25/2024","01/01/2024","01/02/2024","01/03/2024","01/04/2024","01/05/2024"}))</f>
        <v>#VALUE!</v>
      </c>
      <c r="N700" s="1">
        <f>0</f>
        <v>0</v>
      </c>
      <c r="O700" s="1">
        <f>0</f>
        <v>0</v>
      </c>
      <c r="P700" s="1"/>
      <c r="Q700" s="1">
        <v>0</v>
      </c>
      <c r="R700" s="1">
        <v>0</v>
      </c>
      <c r="S700" s="1">
        <f>0</f>
        <v>0</v>
      </c>
      <c r="T700" s="1">
        <f>0</f>
        <v>0</v>
      </c>
      <c r="U700" s="1"/>
      <c r="V700" s="1">
        <v>1</v>
      </c>
      <c r="W700" s="1">
        <v>1</v>
      </c>
      <c r="X700" s="1" t="e">
        <f>ABS(NETWORKDAYS.INTL("06/19/2024", "06/21/2024", 1, {"01/01/2024","01/15/2024","02/19/2024","05/27/2024","07/04/2024","09/02/2024","10/14/2024","11/11/2024","11/28/2024","12/25/2024","12/25/2024","12/26/2024","12/27/2024","12/28/2024","12/29/2024","12/30/2024","31/25/2024","01/01/2024","01/02/2024","01/03/2024","01/04/2024","01/05/2024"}))</f>
        <v>#VALUE!</v>
      </c>
      <c r="Y700" s="1">
        <f>0</f>
        <v>0</v>
      </c>
      <c r="Z700" s="1">
        <f>0</f>
        <v>0</v>
      </c>
      <c r="AA700" s="1"/>
      <c r="AB700" s="5">
        <v>45482</v>
      </c>
      <c r="AC700" s="5">
        <v>45503</v>
      </c>
      <c r="AD700" s="1" t="e">
        <f>ABS(NETWORKDAYS.INTL("06/19/24", "05/30/24", 1, {"01/01/2024","01/15/2024","02/19/2024","05/27/2024","07/04/2024","09/02/2024","10/14/2024","11/11/2024","11/28/2024","12/25/2024","12/25/2024","12/26/2024","12/27/2024","12/28/2024","12/29/2024","12/30/2024","31/25/2024","01/01/2024","01/02/2024","01/03/2024","01/04/2024","01/05/2024"}))</f>
        <v>#VALUE!</v>
      </c>
      <c r="AE700" s="1">
        <f>0</f>
        <v>0</v>
      </c>
      <c r="AF700" s="1">
        <f>0</f>
        <v>0</v>
      </c>
      <c r="AG700" s="1" t="e">
        <f>ABS(NETWORKDAYS.INTL("06/19/24", "08/05/24", 1, {"01/01/2024","01/15/2024","02/19/2024","05/27/2024","07/04/2024","09/02/2024","10/14/2024","11/11/2024","11/28/2024","12/25/2024","12/25/2024","12/26/2024","12/27/2024","12/28/2024","12/29/2024","12/30/2024","31/25/2024","01/01/2024","01/02/2024","01/03/2024","01/04/2024","01/05/2024"}))</f>
        <v>#VALUE!</v>
      </c>
      <c r="AH700" s="1" t="e">
        <f>ABS(NETWORKDAYS.INTL("06/19/2024", "06/19/24", 1, {"01/01/2024","01/15/2024","02/19/2024","05/27/2024","07/04/2024","09/02/2024","10/14/2024","11/11/2024","11/28/2024","12/25/2024","12/25/2024","12/26/2024","12/27/2024","12/28/2024","12/29/2024","12/30/2024","31/25/2024","01/01/2024","01/02/2024","01/03/2024","01/04/2024","01/05/2024"}))</f>
        <v>#VALUE!</v>
      </c>
      <c r="AI700" s="1" t="e">
        <f>ABS(NETWORKDAYS.INTL("07/30/2024", "07/09/2024", 1, {"01/01/2024","01/15/2024","02/19/2024","05/27/2024","07/04/2024","09/02/2024","10/14/2024","11/11/2024","11/28/2024","12/25/2024","12/25/2024","12/26/2024","12/27/2024","12/28/2024","12/29/2024","12/30/2024","31/25/2024","01/01/2024","01/02/2024","01/03/2024","01/04/2024","01/05/2024"}))</f>
        <v>#VALUE!</v>
      </c>
      <c r="AJ700" s="1" t="b">
        <v>1</v>
      </c>
      <c r="AK700" s="1"/>
      <c r="AL700" s="1"/>
      <c r="AM700" s="1"/>
      <c r="AN700" s="1"/>
      <c r="AO700" s="1"/>
      <c r="AP700" s="1" t="b">
        <v>1</v>
      </c>
      <c r="AQ700" s="1"/>
      <c r="AR700" s="1"/>
      <c r="AS700" s="1"/>
      <c r="AT700" s="1"/>
      <c r="AU700" s="1"/>
      <c r="AV700" s="1"/>
      <c r="AW700" s="1"/>
      <c r="AX700" s="1"/>
      <c r="AY700" s="1"/>
      <c r="AZ700" s="1" t="b">
        <v>1</v>
      </c>
    </row>
    <row r="701" spans="1:52" ht="15" customHeight="1" x14ac:dyDescent="0.35">
      <c r="A701" s="1" t="s">
        <v>2277</v>
      </c>
      <c r="B701" s="1" t="s">
        <v>2278</v>
      </c>
      <c r="C701" s="1" t="s">
        <v>988</v>
      </c>
      <c r="D701" s="1" t="s">
        <v>1725</v>
      </c>
      <c r="E701" s="1" t="s">
        <v>1983</v>
      </c>
      <c r="F701" s="9" t="s">
        <v>2279</v>
      </c>
      <c r="G701" s="1" t="s">
        <v>38</v>
      </c>
      <c r="H7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1" s="11" t="e">
        <f>ABS(NETWORKDAYS.INTL("05/22/24", "05/23/24", 1, {"01/01/2024","01/15/2024","02/19/2024","05/27/2024","07/04/2024","09/02/2024","10/14/2024","11/11/2024","11/28/2024","12/25/2024","12/25/2024","12/26/2024","12/27/2024","12/28/2024","12/29/2024","12/30/2024","31/25/2024","01/01/2024","01/02/2024","01/03/2024","01/04/2024","01/05/2024"}))</f>
        <v>#VALUE!</v>
      </c>
      <c r="J701">
        <f>0</f>
        <v>0</v>
      </c>
      <c r="K701" s="1"/>
      <c r="L701" s="1">
        <v>1</v>
      </c>
      <c r="M701" s="1" t="e">
        <f>ABS(NETWORKDAYS.INTL("06/19/24", "06/19/24", 1, {"01/01/2024","01/15/2024","02/19/2024","05/27/2024","07/04/2024","09/02/2024","10/14/2024","11/11/2024","11/28/2024","12/25/2024","12/25/2024","12/26/2024","12/27/2024","12/28/2024","12/29/2024","12/30/2024","31/25/2024","01/01/2024","01/02/2024","01/03/2024","01/04/2024","01/05/2024"}))</f>
        <v>#VALUE!</v>
      </c>
      <c r="N701" s="1">
        <f>0</f>
        <v>0</v>
      </c>
      <c r="O701" s="1">
        <f>0</f>
        <v>0</v>
      </c>
      <c r="P701" s="1"/>
      <c r="Q701" s="1">
        <v>0</v>
      </c>
      <c r="R701" s="1">
        <v>0</v>
      </c>
      <c r="S701" s="1">
        <f>0</f>
        <v>0</v>
      </c>
      <c r="T701" s="1">
        <f>0</f>
        <v>0</v>
      </c>
      <c r="U701" s="1"/>
      <c r="V701" s="1">
        <v>1</v>
      </c>
      <c r="W701" s="1">
        <v>1</v>
      </c>
      <c r="X701" s="1" t="e">
        <f>ABS(NETWORKDAYS.INTL("06/19/24", "06/21/24", 1, {"01/01/2024","01/15/2024","02/19/2024","05/27/2024","07/04/2024","09/02/2024","10/14/2024","11/11/2024","11/28/2024","12/25/2024","12/25/2024","12/26/2024","12/27/2024","12/28/2024","12/29/2024","12/30/2024","31/25/2024","01/01/2024","01/02/2024","01/03/2024","01/04/2024","01/05/2024"}))</f>
        <v>#VALUE!</v>
      </c>
      <c r="Y701" s="1">
        <f>0</f>
        <v>0</v>
      </c>
      <c r="Z701" s="1">
        <f>0</f>
        <v>0</v>
      </c>
      <c r="AA701" s="1"/>
      <c r="AB701" s="5">
        <v>45474</v>
      </c>
      <c r="AC701" s="5">
        <v>45504</v>
      </c>
      <c r="AD701" s="1" t="e">
        <f>ABS(NETWORKDAYS.INTL("06/19/24", "05/23/24", 1, {"01/01/2024","01/15/2024","02/19/2024","05/27/2024","07/04/2024","09/02/2024","10/14/2024","11/11/2024","11/28/2024","12/25/2024","12/25/2024","12/26/2024","12/27/2024","12/28/2024","12/29/2024","12/30/2024","31/25/2024","01/01/2024","01/02/2024","01/03/2024","01/04/2024","01/05/2024"}))</f>
        <v>#VALUE!</v>
      </c>
      <c r="AE701" s="1">
        <f>0</f>
        <v>0</v>
      </c>
      <c r="AF701" s="1">
        <f>0</f>
        <v>0</v>
      </c>
      <c r="AG701" s="1" t="e">
        <f>ABS(NETWORKDAYS.INTL("06/19/24", "08/05/24", 1, {"01/01/2024","01/15/2024","02/19/2024","05/27/2024","07/04/2024","09/02/2024","10/14/2024","11/11/2024","11/28/2024","12/25/2024","12/25/2024","12/26/2024","12/27/2024","12/28/2024","12/29/2024","12/30/2024","31/25/2024","01/01/2024","01/02/2024","01/03/2024","01/04/2024","01/05/2024"}))</f>
        <v>#VALUE!</v>
      </c>
      <c r="AH701" s="1" t="e">
        <f>ABS(NETWORKDAYS.INTL("06/19/24", "06/19/24", 1, {"01/01/2024","01/15/2024","02/19/2024","05/27/2024","07/04/2024","09/02/2024","10/14/2024","11/11/2024","11/28/2024","12/25/2024","12/25/2024","12/26/2024","12/27/2024","12/28/2024","12/29/2024","12/30/2024","31/25/2024","01/01/2024","01/02/2024","01/03/2024","01/04/2024","01/05/2024"}))</f>
        <v>#VALUE!</v>
      </c>
      <c r="AI701" s="1" t="e">
        <f>ABS(NETWORKDAYS.INTL("07/31/2024", "07/01/24", 1, {"01/01/2024","01/15/2024","02/19/2024","05/27/2024","07/04/2024","09/02/2024","10/14/2024","11/11/2024","11/28/2024","12/25/2024","12/25/2024","12/26/2024","12/27/2024","12/28/2024","12/29/2024","12/30/2024","31/25/2024","01/01/2024","01/02/2024","01/03/2024","01/04/2024","01/05/2024"}))</f>
        <v>#VALUE!</v>
      </c>
      <c r="AJ701" s="1" t="b">
        <v>1</v>
      </c>
      <c r="AK701" s="1"/>
      <c r="AL701" s="1"/>
      <c r="AM701" s="1"/>
      <c r="AN701" s="1"/>
      <c r="AO701" s="1"/>
      <c r="AP701" s="1" t="b">
        <v>1</v>
      </c>
      <c r="AQ701" s="1"/>
      <c r="AR701" s="1"/>
      <c r="AS701" s="1"/>
      <c r="AT701" s="1"/>
      <c r="AU701" s="1"/>
      <c r="AV701" s="1"/>
      <c r="AW701" s="1"/>
      <c r="AX701" s="1"/>
      <c r="AY701" s="1"/>
      <c r="AZ701" s="1" t="b">
        <v>1</v>
      </c>
    </row>
    <row r="702" spans="1:52" ht="15" customHeight="1" x14ac:dyDescent="0.35">
      <c r="A702" s="1" t="s">
        <v>2280</v>
      </c>
      <c r="B702" s="1" t="s">
        <v>2281</v>
      </c>
      <c r="C702" s="1" t="s">
        <v>1329</v>
      </c>
      <c r="D702" s="1" t="s">
        <v>1680</v>
      </c>
      <c r="E702" s="1" t="s">
        <v>2228</v>
      </c>
      <c r="F702" s="9" t="s">
        <v>2282</v>
      </c>
      <c r="G702" s="1" t="s">
        <v>38</v>
      </c>
      <c r="H7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2" s="11" t="e">
        <f>ABS(NETWORKDAYS.INTL("05/17/24", "05/23/24", 1, {"01/01/2024","01/15/2024","02/19/2024","05/27/2024","07/04/2024","09/02/2024","10/14/2024","11/11/2024","11/28/2024","12/25/2024","12/25/2024","12/26/2024","12/27/2024","12/28/2024","12/29/2024","12/30/2024","31/25/2024","01/01/2024","01/02/2024","01/03/2024","01/04/2024","01/05/2024"}))</f>
        <v>#VALUE!</v>
      </c>
      <c r="J702">
        <f>0</f>
        <v>0</v>
      </c>
      <c r="K702" s="1"/>
      <c r="L702" s="1">
        <v>0</v>
      </c>
      <c r="M702" s="1">
        <f>0</f>
        <v>0</v>
      </c>
      <c r="N702" s="1">
        <f>0</f>
        <v>0</v>
      </c>
      <c r="O702" s="1">
        <f>0</f>
        <v>0</v>
      </c>
      <c r="P702" s="1"/>
      <c r="Q702" s="1">
        <v>0</v>
      </c>
      <c r="R702" s="1">
        <v>0</v>
      </c>
      <c r="S702" s="1">
        <f>0</f>
        <v>0</v>
      </c>
      <c r="T702" s="1">
        <f>0</f>
        <v>0</v>
      </c>
      <c r="U702" s="1"/>
      <c r="V702" s="1">
        <v>0</v>
      </c>
      <c r="W702" s="1">
        <v>0</v>
      </c>
      <c r="X702" s="1">
        <f>0</f>
        <v>0</v>
      </c>
      <c r="Y702" s="1">
        <f>0</f>
        <v>0</v>
      </c>
      <c r="Z702" s="1">
        <f>0</f>
        <v>0</v>
      </c>
      <c r="AA702" s="1"/>
      <c r="AB702" s="5"/>
      <c r="AC702" s="1"/>
      <c r="AD702" s="1">
        <f>0</f>
        <v>0</v>
      </c>
      <c r="AE702" s="1">
        <f>0</f>
        <v>0</v>
      </c>
      <c r="AF702" s="1">
        <f>0</f>
        <v>0</v>
      </c>
      <c r="AG702" s="1">
        <f>0</f>
        <v>0</v>
      </c>
      <c r="AH702" s="1">
        <f>0</f>
        <v>0</v>
      </c>
      <c r="AI702" s="1">
        <f>0</f>
        <v>0</v>
      </c>
      <c r="AJ702" s="1" t="b">
        <v>1</v>
      </c>
      <c r="AK702" s="1"/>
      <c r="AL702" s="1"/>
      <c r="AM702" s="1"/>
      <c r="AN702" s="1"/>
      <c r="AO702" s="1"/>
      <c r="AP702" s="1"/>
      <c r="AQ702" s="1"/>
      <c r="AR702" s="1"/>
      <c r="AS702" s="1"/>
      <c r="AT702" s="1"/>
      <c r="AU702" s="1" t="b">
        <v>1</v>
      </c>
      <c r="AV702" s="1"/>
      <c r="AW702" s="1"/>
      <c r="AX702" s="1"/>
      <c r="AY702" s="1" t="b">
        <v>1</v>
      </c>
      <c r="AZ702" s="1"/>
    </row>
    <row r="703" spans="1:52" ht="15" customHeight="1" x14ac:dyDescent="0.35">
      <c r="A703" s="1" t="s">
        <v>2283</v>
      </c>
      <c r="B703" s="1" t="s">
        <v>2284</v>
      </c>
      <c r="C703" s="1" t="s">
        <v>821</v>
      </c>
      <c r="D703" s="1" t="s">
        <v>1347</v>
      </c>
      <c r="E703" s="1" t="s">
        <v>2285</v>
      </c>
      <c r="F703" s="9" t="s">
        <v>2286</v>
      </c>
      <c r="G703" s="1" t="s">
        <v>38</v>
      </c>
      <c r="H7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03" s="11" t="e">
        <f>ABS(NETWORKDAYS.INTL("07/31/2024", "08/05/24", 1, {"01/01/2024","01/15/2024","02/19/2024","05/27/2024","07/04/2024","09/02/2024","10/14/2024","11/11/2024","11/28/2024","12/25/2024","12/25/2024","12/26/2024","12/27/2024","12/28/2024","12/29/2024","12/30/2024","31/25/2024","01/01/2024","01/02/2024","01/03/2024","01/04/2024","01/05/2024"}))</f>
        <v>#VALUE!</v>
      </c>
      <c r="J703">
        <f>0</f>
        <v>0</v>
      </c>
      <c r="K703" s="1"/>
      <c r="L703" s="1">
        <v>0</v>
      </c>
      <c r="M703" s="1">
        <f>0</f>
        <v>0</v>
      </c>
      <c r="N703" s="1">
        <f>0</f>
        <v>0</v>
      </c>
      <c r="O703" s="1">
        <f>0</f>
        <v>0</v>
      </c>
      <c r="P703" s="1"/>
      <c r="Q703" s="1">
        <v>0</v>
      </c>
      <c r="R703" s="1">
        <v>0</v>
      </c>
      <c r="S703" s="1">
        <f>0</f>
        <v>0</v>
      </c>
      <c r="T703" s="1">
        <f>0</f>
        <v>0</v>
      </c>
      <c r="U703" s="1"/>
      <c r="V703" s="1">
        <v>0</v>
      </c>
      <c r="W703" s="1">
        <v>0</v>
      </c>
      <c r="X703" s="1">
        <f>0</f>
        <v>0</v>
      </c>
      <c r="Y703" s="1">
        <f>0</f>
        <v>0</v>
      </c>
      <c r="Z703" s="1">
        <f>0</f>
        <v>0</v>
      </c>
      <c r="AA703" s="1"/>
      <c r="AB703" s="5"/>
      <c r="AC703" s="1"/>
      <c r="AD703" s="1">
        <f>0</f>
        <v>0</v>
      </c>
      <c r="AE703" s="1">
        <f>0</f>
        <v>0</v>
      </c>
      <c r="AF703" s="1">
        <f>0</f>
        <v>0</v>
      </c>
      <c r="AG703" s="1">
        <f>0</f>
        <v>0</v>
      </c>
      <c r="AH703" s="1">
        <f>0</f>
        <v>0</v>
      </c>
      <c r="AI703" s="1">
        <f>0</f>
        <v>0</v>
      </c>
      <c r="AJ703" s="1" t="b">
        <v>1</v>
      </c>
      <c r="AK703" s="1"/>
      <c r="AL703" s="1"/>
      <c r="AM703" s="1"/>
      <c r="AN703" s="1"/>
      <c r="AO703" s="1"/>
      <c r="AP703" s="1"/>
      <c r="AQ703" s="1"/>
      <c r="AR703" s="1"/>
      <c r="AS703" s="1"/>
      <c r="AT703" s="1" t="b">
        <v>1</v>
      </c>
      <c r="AU703" s="1"/>
      <c r="AV703" s="1"/>
      <c r="AW703" s="1"/>
      <c r="AX703" s="1"/>
      <c r="AY703" s="1" t="b">
        <v>1</v>
      </c>
      <c r="AZ703" s="1"/>
    </row>
    <row r="704" spans="1:52" ht="15" customHeight="1" x14ac:dyDescent="0.35">
      <c r="A704" s="1" t="s">
        <v>2287</v>
      </c>
      <c r="B704" s="1" t="s">
        <v>2288</v>
      </c>
      <c r="C704" s="1" t="s">
        <v>988</v>
      </c>
      <c r="D704" s="1" t="s">
        <v>2008</v>
      </c>
      <c r="E704" s="1" t="s">
        <v>1983</v>
      </c>
      <c r="F704" s="9" t="s">
        <v>2289</v>
      </c>
      <c r="G704" s="1" t="s">
        <v>38</v>
      </c>
      <c r="H7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4" s="11" t="e">
        <f>ABS(NETWORKDAYS.INTL("04/17/24", "05/22/24", 1, {"01/01/2024","01/15/2024","02/19/2024","05/27/2024","07/04/2024","09/02/2024","10/14/2024","11/11/2024","11/28/2024","12/25/2024","12/25/2024","12/26/2024","12/27/2024","12/28/2024","12/29/2024","12/30/2024","31/25/2024","01/01/2024","01/02/2024","01/03/2024","01/04/2024","01/05/2024"}))</f>
        <v>#VALUE!</v>
      </c>
      <c r="J704">
        <f>0</f>
        <v>0</v>
      </c>
      <c r="K704" s="1"/>
      <c r="L704" s="1">
        <v>1</v>
      </c>
      <c r="M704" s="1" t="e">
        <f>ABS(NETWORKDAYS.INTL("05/28/24", "05/28/24", 1, {"01/01/2024","01/15/2024","02/19/2024","05/27/2024","07/04/2024","09/02/2024","10/14/2024","11/11/2024","11/28/2024","12/25/2024","12/25/2024","12/26/2024","12/27/2024","12/28/2024","12/29/2024","12/30/2024","31/25/2024","01/01/2024","01/02/2024","01/03/2024","01/04/2024","01/05/2024"}))</f>
        <v>#VALUE!</v>
      </c>
      <c r="N704" s="1">
        <f>0</f>
        <v>0</v>
      </c>
      <c r="O704" s="1">
        <f>0</f>
        <v>0</v>
      </c>
      <c r="P704" s="1"/>
      <c r="Q704" s="1">
        <v>1</v>
      </c>
      <c r="R704" s="1">
        <v>1</v>
      </c>
      <c r="S704" s="1">
        <f>0</f>
        <v>0</v>
      </c>
      <c r="T704" s="1">
        <f>0</f>
        <v>0</v>
      </c>
      <c r="U704" s="1"/>
      <c r="V704" s="1">
        <v>1</v>
      </c>
      <c r="W704" s="1">
        <v>1</v>
      </c>
      <c r="X704" s="1" t="e">
        <f>ABS(NETWORKDAYS.INTL("06/06/24", "06/06/24", 1, {"01/01/2024","01/15/2024","02/19/2024","05/27/2024","07/04/2024","09/02/2024","10/14/2024","11/11/2024","11/28/2024","12/25/2024","12/25/2024","12/26/2024","12/27/2024","12/28/2024","12/29/2024","12/30/2024","31/25/2024","01/01/2024","01/02/2024","01/03/2024","01/04/2024","01/05/2024"}))</f>
        <v>#VALUE!</v>
      </c>
      <c r="Y704" s="1" t="e">
        <f>ABS(NETWORKDAYS.INTL("06/11/24", "06/12/24", 1, {"01/01/2024","01/15/2024","02/19/2024","05/27/2024","07/04/2024","09/02/2024","10/14/2024","11/11/2024","11/28/2024","12/25/2024","12/25/2024","12/26/2024","12/27/2024","12/28/2024","12/29/2024","12/30/2024","31/25/2024","01/01/2024","01/02/2024","01/03/2024","01/04/2024","01/05/2024"}))</f>
        <v>#VALUE!</v>
      </c>
      <c r="Z704" s="1" t="e">
        <f>ABS(NETWORKDAYS.INTL("06/06/24", "06/11/24", 1, {"01/01/2024","01/15/2024","02/19/2024","05/27/2024","07/04/2024","09/02/2024","10/14/2024","11/11/2024","11/28/2024","12/25/2024","12/25/2024","12/26/2024","12/27/2024","12/28/2024","12/29/2024","12/30/2024","31/25/2024","01/01/2024","01/02/2024","01/03/2024","01/04/2024","01/05/2024"}))</f>
        <v>#VALUE!</v>
      </c>
      <c r="AA704" s="1"/>
      <c r="AB704" s="5">
        <v>45455</v>
      </c>
      <c r="AC704" s="5">
        <v>45504</v>
      </c>
      <c r="AD704" s="1" t="e">
        <f>ABS(NETWORKDAYS.INTL("05/28/24", "05/22/24", 1, {"01/01/2024","01/15/2024","02/19/2024","05/27/2024","07/04/2024","09/02/2024","10/14/2024","11/11/2024","11/28/2024","12/25/2024","12/25/2024","12/26/2024","12/27/2024","12/28/2024","12/29/2024","12/30/2024","31/25/2024","01/01/2024","01/02/2024","01/03/2024","01/04/2024","01/05/2024"}))</f>
        <v>#VALUE!</v>
      </c>
      <c r="AE704" s="1">
        <f>0</f>
        <v>0</v>
      </c>
      <c r="AF704" s="1" t="e">
        <f>ABS(NETWORKDAYS.INTL("06/06/24", "06/06/24", 1, {"01/01/2024","01/15/2024","02/19/2024","05/27/2024","07/04/2024","09/02/2024","10/14/2024","11/11/2024","11/28/2024","12/25/2024","12/25/2024","12/26/2024","12/27/2024","12/28/2024","12/29/2024","12/30/2024","31/25/2024","01/01/2024","01/02/2024","01/03/2024","01/04/2024","01/05/2024"}))</f>
        <v>#VALUE!</v>
      </c>
      <c r="AG704" s="1" t="e">
        <f>ABS(NETWORKDAYS.INTL("06/06/24", "06/06/24", 1, {"01/01/2024","01/15/2024","02/19/2024","05/27/2024","07/04/2024","09/02/2024","10/14/2024","11/11/2024","11/28/2024","12/25/2024","12/25/2024","12/26/2024","12/27/2024","12/28/2024","12/29/2024","12/30/2024","31/25/2024","01/01/2024","01/02/2024","01/03/2024","01/04/2024","01/05/2024"}))</f>
        <v>#VALUE!</v>
      </c>
      <c r="AH704" s="1" t="e">
        <f>ABS(NETWORKDAYS.INTL("06/06/24", "06/06/24", 1, {"01/01/2024","01/15/2024","02/19/2024","05/27/2024","07/04/2024","09/02/2024","10/14/2024","11/11/2024","11/28/2024","12/25/2024","12/25/2024","12/26/2024","12/27/2024","12/28/2024","12/29/2024","12/30/2024","31/25/2024","01/01/2024","01/02/2024","01/03/2024","01/04/2024","01/05/2024"}))</f>
        <v>#VALUE!</v>
      </c>
      <c r="AI704" s="1" t="e">
        <f>ABS(NETWORKDAYS.INTL("07/31/2024", "06/12/24", 1, {"01/01/2024","01/15/2024","02/19/2024","05/27/2024","07/04/2024","09/02/2024","10/14/2024","11/11/2024","11/28/2024","12/25/2024","12/25/2024","12/26/2024","12/27/2024","12/28/2024","12/29/2024","12/30/2024","31/25/2024","01/01/2024","01/02/2024","01/03/2024","01/04/2024","01/05/2024"}))</f>
        <v>#VALUE!</v>
      </c>
      <c r="AJ704" s="1" t="b">
        <v>1</v>
      </c>
      <c r="AK704" s="1"/>
      <c r="AL704" s="1"/>
      <c r="AM704" s="1"/>
      <c r="AN704" s="1"/>
      <c r="AO704" s="1"/>
      <c r="AP704" s="1" t="b">
        <v>1</v>
      </c>
      <c r="AQ704" s="1"/>
      <c r="AR704" s="1"/>
      <c r="AS704" s="1"/>
      <c r="AT704" s="1"/>
      <c r="AU704" s="1"/>
      <c r="AV704" s="1"/>
      <c r="AW704" s="1"/>
      <c r="AX704" s="1"/>
      <c r="AY704" s="1"/>
      <c r="AZ704" s="1" t="b">
        <v>1</v>
      </c>
    </row>
    <row r="705" spans="1:52" ht="15" customHeight="1" x14ac:dyDescent="0.35">
      <c r="A705" s="1" t="s">
        <v>2290</v>
      </c>
      <c r="B705" s="1" t="s">
        <v>2291</v>
      </c>
      <c r="C705" s="1" t="s">
        <v>988</v>
      </c>
      <c r="D705" s="1" t="s">
        <v>1738</v>
      </c>
      <c r="E705" s="1" t="s">
        <v>1983</v>
      </c>
      <c r="F705" s="9" t="s">
        <v>2292</v>
      </c>
      <c r="G705" s="1" t="s">
        <v>38</v>
      </c>
      <c r="H7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5" s="11" t="e">
        <f>ABS(NETWORKDAYS.INTL("04/17/24", "05/23/24", 1, {"01/01/2024","01/15/2024","02/19/2024","05/27/2024","07/04/2024","09/02/2024","10/14/2024","11/11/2024","11/28/2024","12/25/2024","12/25/2024","12/26/2024","12/27/2024","12/28/2024","12/29/2024","12/30/2024","31/25/2024","01/01/2024","01/02/2024","01/03/2024","01/04/2024","01/05/2024"}))</f>
        <v>#VALUE!</v>
      </c>
      <c r="J705">
        <f>0</f>
        <v>0</v>
      </c>
      <c r="K705" s="1"/>
      <c r="L705" s="1">
        <v>1</v>
      </c>
      <c r="M705" s="1" t="e">
        <f>ABS(NETWORKDAYS.INTL("06/19/24", "06/19/24", 1, {"01/01/2024","01/15/2024","02/19/2024","05/27/2024","07/04/2024","09/02/2024","10/14/2024","11/11/2024","11/28/2024","12/25/2024","12/25/2024","12/26/2024","12/27/2024","12/28/2024","12/29/2024","12/30/2024","31/25/2024","01/01/2024","01/02/2024","01/03/2024","01/04/2024","01/05/2024"}))</f>
        <v>#VALUE!</v>
      </c>
      <c r="N705" s="1">
        <f>0</f>
        <v>0</v>
      </c>
      <c r="O705" s="1">
        <f>0</f>
        <v>0</v>
      </c>
      <c r="P705" s="1"/>
      <c r="Q705" s="1">
        <v>0</v>
      </c>
      <c r="R705" s="1">
        <v>0</v>
      </c>
      <c r="S705" s="1">
        <f>0</f>
        <v>0</v>
      </c>
      <c r="T705" s="1">
        <f>0</f>
        <v>0</v>
      </c>
      <c r="U705" s="1"/>
      <c r="V705" s="1">
        <v>1</v>
      </c>
      <c r="W705" s="1">
        <v>1</v>
      </c>
      <c r="X705" s="1" t="e">
        <f>ABS(NETWORKDAYS.INTL("06/19/24", "06/20/24", 1, {"01/01/2024","01/15/2024","02/19/2024","05/27/2024","07/04/2024","09/02/2024","10/14/2024","11/11/2024","11/28/2024","12/25/2024","12/25/2024","12/26/2024","12/27/2024","12/28/2024","12/29/2024","12/30/2024","31/25/2024","01/01/2024","01/02/2024","01/03/2024","01/04/2024","01/05/2024"}))</f>
        <v>#VALUE!</v>
      </c>
      <c r="Y705" s="1">
        <f>0</f>
        <v>0</v>
      </c>
      <c r="Z705" s="1">
        <f>0</f>
        <v>0</v>
      </c>
      <c r="AA705" s="1"/>
      <c r="AB705" s="5">
        <v>45463</v>
      </c>
      <c r="AC705" s="5">
        <v>45503</v>
      </c>
      <c r="AD705" s="1" t="e">
        <f>ABS(NETWORKDAYS.INTL("06/19/24", "05/23/24", 1, {"01/01/2024","01/15/2024","02/19/2024","05/27/2024","07/04/2024","09/02/2024","10/14/2024","11/11/2024","11/28/2024","12/25/2024","12/25/2024","12/26/2024","12/27/2024","12/28/2024","12/29/2024","12/30/2024","31/25/2024","01/01/2024","01/02/2024","01/03/2024","01/04/2024","01/05/2024"}))</f>
        <v>#VALUE!</v>
      </c>
      <c r="AE705" s="1">
        <f>0</f>
        <v>0</v>
      </c>
      <c r="AF705" s="1">
        <f>0</f>
        <v>0</v>
      </c>
      <c r="AG705" s="1" t="e">
        <f>ABS(NETWORKDAYS.INTL("06/19/24", "08/05/24", 1, {"01/01/2024","01/15/2024","02/19/2024","05/27/2024","07/04/2024","09/02/2024","10/14/2024","11/11/2024","11/28/2024","12/25/2024","12/25/2024","12/26/2024","12/27/2024","12/28/2024","12/29/2024","12/30/2024","31/25/2024","01/01/2024","01/02/2024","01/03/2024","01/04/2024","01/05/2024"}))</f>
        <v>#VALUE!</v>
      </c>
      <c r="AH705" s="1" t="e">
        <f>ABS(NETWORKDAYS.INTL("06/19/24", "06/19/24", 1, {"01/01/2024","01/15/2024","02/19/2024","05/27/2024","07/04/2024","09/02/2024","10/14/2024","11/11/2024","11/28/2024","12/25/2024","12/25/2024","12/26/2024","12/27/2024","12/28/2024","12/29/2024","12/30/2024","31/25/2024","01/01/2024","01/02/2024","01/03/2024","01/04/2024","01/05/2024"}))</f>
        <v>#VALUE!</v>
      </c>
      <c r="AI705" s="1" t="e">
        <f>ABS(NETWORKDAYS.INTL("07/30/2024", "06/20/24", 1, {"01/01/2024","01/15/2024","02/19/2024","05/27/2024","07/04/2024","09/02/2024","10/14/2024","11/11/2024","11/28/2024","12/25/2024","12/25/2024","12/26/2024","12/27/2024","12/28/2024","12/29/2024","12/30/2024","31/25/2024","01/01/2024","01/02/2024","01/03/2024","01/04/2024","01/05/2024"}))</f>
        <v>#VALUE!</v>
      </c>
      <c r="AJ705" s="1" t="b">
        <v>1</v>
      </c>
      <c r="AK705" s="1"/>
      <c r="AL705" s="1"/>
      <c r="AM705" s="1"/>
      <c r="AN705" s="1"/>
      <c r="AO705" s="1"/>
      <c r="AP705" s="1" t="b">
        <v>1</v>
      </c>
      <c r="AQ705" s="1"/>
      <c r="AR705" s="1"/>
      <c r="AS705" s="1"/>
      <c r="AT705" s="1"/>
      <c r="AU705" s="1"/>
      <c r="AV705" s="1"/>
      <c r="AW705" s="1"/>
      <c r="AX705" s="1"/>
      <c r="AY705" s="1"/>
      <c r="AZ705" s="1" t="b">
        <v>1</v>
      </c>
    </row>
    <row r="706" spans="1:52" ht="15" customHeight="1" x14ac:dyDescent="0.35">
      <c r="A706" s="1" t="s">
        <v>2293</v>
      </c>
      <c r="B706" s="1" t="s">
        <v>2294</v>
      </c>
      <c r="C706" s="1" t="s">
        <v>988</v>
      </c>
      <c r="D706" s="1" t="s">
        <v>2008</v>
      </c>
      <c r="E706" s="1" t="s">
        <v>1983</v>
      </c>
      <c r="F706" s="9" t="s">
        <v>2295</v>
      </c>
      <c r="G706" s="1" t="s">
        <v>38</v>
      </c>
      <c r="H7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6" s="11" t="e">
        <f>ABS(NETWORKDAYS.INTL("04/17/24", "04/17/24", 1, {"01/01/2024","01/15/2024","02/19/2024","05/27/2024","07/04/2024","09/02/2024","10/14/2024","11/11/2024","11/28/2024","12/25/2024","12/25/2024","12/26/2024","12/27/2024","12/28/2024","12/29/2024","12/30/2024","31/25/2024","01/01/2024","01/02/2024","01/03/2024","01/04/2024","01/05/2024"})+NETWORKDAYS.INTL("05/23/24", "05/23/24", 1, {"01/01/2024","01/15/2024","02/19/2024","05/27/2024","07/04/2024","09/02/2024","10/14/2024","11/11/2024","11/28/2024","12/25/2024","12/25/2024","12/26/2024","12/27/2024","12/28/2024","12/29/2024","12/30/2024","31/25/2024","01/01/2024","01/02/2024","01/03/2024","01/04/2024","01/05/2024"}))</f>
        <v>#VALUE!</v>
      </c>
      <c r="J706">
        <f>0</f>
        <v>0</v>
      </c>
      <c r="K706" s="1"/>
      <c r="L706" s="1">
        <v>1</v>
      </c>
      <c r="M706" s="1" t="e">
        <f>ABS(NETWORKDAYS.INTL("06/19/24", "06/19/24", 1, {"01/01/2024","01/15/2024","02/19/2024","05/27/2024","07/04/2024","09/02/2024","10/14/2024","11/11/2024","11/28/2024","12/25/2024","12/25/2024","12/26/2024","12/27/2024","12/28/2024","12/29/2024","12/30/2024","31/25/2024","01/01/2024","01/02/2024","01/03/2024","01/04/2024","01/05/2024"}))</f>
        <v>#VALUE!</v>
      </c>
      <c r="N706" s="1">
        <f>0</f>
        <v>0</v>
      </c>
      <c r="O706" s="1">
        <f>0</f>
        <v>0</v>
      </c>
      <c r="P706" s="1"/>
      <c r="Q706" s="1">
        <v>0</v>
      </c>
      <c r="R706" s="1">
        <v>0</v>
      </c>
      <c r="S706" s="1">
        <f>0</f>
        <v>0</v>
      </c>
      <c r="T706" s="1">
        <f>0</f>
        <v>0</v>
      </c>
      <c r="U706" s="1"/>
      <c r="V706" s="1">
        <v>1</v>
      </c>
      <c r="W706" s="1">
        <v>1</v>
      </c>
      <c r="X706" s="1" t="e">
        <f>ABS(NETWORKDAYS.INTL("06/19/24", "06/20/24", 1, {"01/01/2024","01/15/2024","02/19/2024","05/27/2024","07/04/2024","09/02/2024","10/14/2024","11/11/2024","11/28/2024","12/25/2024","12/25/2024","12/26/2024","12/27/2024","12/28/2024","12/29/2024","12/30/2024","31/25/2024","01/01/2024","01/02/2024","01/03/2024","01/04/2024","01/05/2024"}))</f>
        <v>#VALUE!</v>
      </c>
      <c r="Y706" s="1">
        <f>0</f>
        <v>0</v>
      </c>
      <c r="Z706" s="1">
        <f>0</f>
        <v>0</v>
      </c>
      <c r="AA706" s="1"/>
      <c r="AB706" s="5">
        <v>45470</v>
      </c>
      <c r="AC706" s="5">
        <v>45504</v>
      </c>
      <c r="AD706" s="1" t="e">
        <f>ABS(NETWORKDAYS.INTL("06/19/24", "04/17/24", 1, {"01/01/2024","01/15/2024","02/19/2024","05/27/2024","07/04/2024","09/02/2024","10/14/2024","11/11/2024","11/28/2024","12/25/2024","12/25/2024","12/26/2024","12/27/2024","12/28/2024","12/29/2024","12/30/2024","31/25/2024","01/01/2024","01/02/2024","01/03/2024","01/04/2024","01/05/2024"}))</f>
        <v>#VALUE!</v>
      </c>
      <c r="AE706" s="1">
        <f>0</f>
        <v>0</v>
      </c>
      <c r="AF706" s="1">
        <f>0</f>
        <v>0</v>
      </c>
      <c r="AG706" s="1" t="e">
        <f>ABS(NETWORKDAYS.INTL("06/19/24", "08/05/24", 1, {"01/01/2024","01/15/2024","02/19/2024","05/27/2024","07/04/2024","09/02/2024","10/14/2024","11/11/2024","11/28/2024","12/25/2024","12/25/2024","12/26/2024","12/27/2024","12/28/2024","12/29/2024","12/30/2024","31/25/2024","01/01/2024","01/02/2024","01/03/2024","01/04/2024","01/05/2024"}))</f>
        <v>#VALUE!</v>
      </c>
      <c r="AH706" s="1" t="e">
        <f>ABS(NETWORKDAYS.INTL("06/19/24", "06/19/24", 1, {"01/01/2024","01/15/2024","02/19/2024","05/27/2024","07/04/2024","09/02/2024","10/14/2024","11/11/2024","11/28/2024","12/25/2024","12/25/2024","12/26/2024","12/27/2024","12/28/2024","12/29/2024","12/30/2024","31/25/2024","01/01/2024","01/02/2024","01/03/2024","01/04/2024","01/05/2024"}))</f>
        <v>#VALUE!</v>
      </c>
      <c r="AI706" s="1" t="e">
        <f>ABS(NETWORKDAYS.INTL("07/31/2024", "06/27/24", 1, {"01/01/2024","01/15/2024","02/19/2024","05/27/2024","07/04/2024","09/02/2024","10/14/2024","11/11/2024","11/28/2024","12/25/2024","12/25/2024","12/26/2024","12/27/2024","12/28/2024","12/29/2024","12/30/2024","31/25/2024","01/01/2024","01/02/2024","01/03/2024","01/04/2024","01/05/2024"}))</f>
        <v>#VALUE!</v>
      </c>
      <c r="AJ706" s="1" t="b">
        <v>1</v>
      </c>
      <c r="AK706" s="1"/>
      <c r="AL706" s="1"/>
      <c r="AM706" s="1"/>
      <c r="AN706" s="1"/>
      <c r="AO706" s="1"/>
      <c r="AP706" s="1" t="b">
        <v>1</v>
      </c>
      <c r="AQ706" s="1"/>
      <c r="AR706" s="1"/>
      <c r="AS706" s="1"/>
      <c r="AT706" s="1"/>
      <c r="AU706" s="1"/>
      <c r="AV706" s="1"/>
      <c r="AW706" s="1"/>
      <c r="AX706" s="1"/>
      <c r="AY706" s="1"/>
      <c r="AZ706" s="1" t="b">
        <v>1</v>
      </c>
    </row>
    <row r="707" spans="1:52" ht="15" customHeight="1" x14ac:dyDescent="0.35">
      <c r="A707" s="1" t="s">
        <v>2296</v>
      </c>
      <c r="B707" s="1" t="s">
        <v>2297</v>
      </c>
      <c r="C707" s="1" t="s">
        <v>988</v>
      </c>
      <c r="D707" s="1" t="s">
        <v>2298</v>
      </c>
      <c r="E707" s="1" t="s">
        <v>1983</v>
      </c>
      <c r="F707" s="9" t="s">
        <v>2299</v>
      </c>
      <c r="G707" s="1" t="s">
        <v>38</v>
      </c>
      <c r="H70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7" s="11" t="e">
        <f>ABS(NETWORKDAYS.INTL("04/22/24", "06/04/24", 1, {"01/01/2024","01/15/2024","02/19/2024","05/27/2024","07/04/2024","09/02/2024","10/14/2024","11/11/2024","11/28/2024","12/25/2024","12/25/2024","12/26/2024","12/27/2024","12/28/2024","12/29/2024","12/30/2024","31/25/2024","01/01/2024","01/02/2024","01/03/2024","01/04/2024","01/05/2024"}))</f>
        <v>#VALUE!</v>
      </c>
      <c r="J707">
        <f>0</f>
        <v>0</v>
      </c>
      <c r="K707" s="1"/>
      <c r="L707" s="1">
        <v>1</v>
      </c>
      <c r="M707" s="1" t="e">
        <f>ABS(NETWORKDAYS.INTL("06/14/24", "06/14/24", 1, {"01/01/2024","01/15/2024","02/19/2024","05/27/2024","07/04/2024","09/02/2024","10/14/2024","11/11/2024","11/28/2024","12/25/2024","12/25/2024","12/26/2024","12/27/2024","12/28/2024","12/29/2024","12/30/2024","31/25/2024","01/01/2024","01/02/2024","01/03/2024","01/04/2024","01/05/2024"}))</f>
        <v>#VALUE!</v>
      </c>
      <c r="N707" s="1">
        <f>0</f>
        <v>0</v>
      </c>
      <c r="O707" s="1">
        <f>0</f>
        <v>0</v>
      </c>
      <c r="P707" s="1"/>
      <c r="Q707" s="1">
        <v>0</v>
      </c>
      <c r="R707" s="1">
        <v>0</v>
      </c>
      <c r="S707" s="1">
        <f>0</f>
        <v>0</v>
      </c>
      <c r="T707" s="1">
        <f>0</f>
        <v>0</v>
      </c>
      <c r="U707" s="1"/>
      <c r="V707" s="1">
        <v>1</v>
      </c>
      <c r="W707" s="1">
        <v>1</v>
      </c>
      <c r="X707" s="1" t="e">
        <f>ABS(NETWORKDAYS.INTL("06/14/24", "06/19/24", 1, {"01/01/2024","01/15/2024","02/19/2024","05/27/2024","07/04/2024","09/02/2024","10/14/2024","11/11/2024","11/28/2024","12/25/2024","12/25/2024","12/26/2024","12/27/2024","12/28/2024","12/29/2024","12/30/2024","31/25/2024","01/01/2024","01/02/2024","01/03/2024","01/04/2024","01/05/2024"}))</f>
        <v>#VALUE!</v>
      </c>
      <c r="Y707" s="1">
        <f>0</f>
        <v>0</v>
      </c>
      <c r="Z707" s="1">
        <f>0</f>
        <v>0</v>
      </c>
      <c r="AA707" s="1"/>
      <c r="AB707" s="5">
        <v>45467</v>
      </c>
      <c r="AC707" s="5">
        <v>45502</v>
      </c>
      <c r="AD707" s="1" t="e">
        <f>ABS(NETWORKDAYS.INTL("06/14/24", "06/04/24", 1, {"01/01/2024","01/15/2024","02/19/2024","05/27/2024","07/04/2024","09/02/2024","10/14/2024","11/11/2024","11/28/2024","12/25/2024","12/25/2024","12/26/2024","12/27/2024","12/28/2024","12/29/2024","12/30/2024","31/25/2024","01/01/2024","01/02/2024","01/03/2024","01/04/2024","01/05/2024"}))</f>
        <v>#VALUE!</v>
      </c>
      <c r="AE707" s="1">
        <f>0</f>
        <v>0</v>
      </c>
      <c r="AF707" s="1">
        <f>0</f>
        <v>0</v>
      </c>
      <c r="AG707" s="1" t="e">
        <f>ABS(NETWORKDAYS.INTL("06/14/24", "08/05/24", 1, {"01/01/2024","01/15/2024","02/19/2024","05/27/2024","07/04/2024","09/02/2024","10/14/2024","11/11/2024","11/28/2024","12/25/2024","12/25/2024","12/26/2024","12/27/2024","12/28/2024","12/29/2024","12/30/2024","31/25/2024","01/01/2024","01/02/2024","01/03/2024","01/04/2024","01/05/2024"}))</f>
        <v>#VALUE!</v>
      </c>
      <c r="AH707" s="1" t="e">
        <f>ABS(NETWORKDAYS.INTL("06/14/24", "06/14/24", 1, {"01/01/2024","01/15/2024","02/19/2024","05/27/2024","07/04/2024","09/02/2024","10/14/2024","11/11/2024","11/28/2024","12/25/2024","12/25/2024","12/26/2024","12/27/2024","12/28/2024","12/29/2024","12/30/2024","31/25/2024","01/01/2024","01/02/2024","01/03/2024","01/04/2024","01/05/2024"}))</f>
        <v>#VALUE!</v>
      </c>
      <c r="AI707" s="1" t="e">
        <f>ABS(NETWORKDAYS.INTL("7/29/2024", "06/24/24", 1, {"01/01/2024","01/15/2024","02/19/2024","05/27/2024","07/04/2024","09/02/2024","10/14/2024","11/11/2024","11/28/2024","12/25/2024","12/25/2024","12/26/2024","12/27/2024","12/28/2024","12/29/2024","12/30/2024","31/25/2024","01/01/2024","01/02/2024","01/03/2024","01/04/2024","01/05/2024"}))</f>
        <v>#VALUE!</v>
      </c>
      <c r="AJ707" s="1" t="b">
        <v>1</v>
      </c>
      <c r="AK707" s="1"/>
      <c r="AL707" s="1"/>
      <c r="AM707" s="1"/>
      <c r="AN707" s="1"/>
      <c r="AO707" s="1"/>
      <c r="AP707" s="1" t="b">
        <v>1</v>
      </c>
      <c r="AQ707" s="1"/>
      <c r="AR707" s="1"/>
      <c r="AS707" s="1"/>
      <c r="AT707" s="1"/>
      <c r="AU707" s="1"/>
      <c r="AV707" s="1"/>
      <c r="AW707" s="1"/>
      <c r="AX707" s="1"/>
      <c r="AY707" s="1"/>
      <c r="AZ707" s="1" t="b">
        <v>1</v>
      </c>
    </row>
    <row r="708" spans="1:52" ht="15" customHeight="1" x14ac:dyDescent="0.35">
      <c r="A708" s="1" t="s">
        <v>2300</v>
      </c>
      <c r="B708" s="1" t="s">
        <v>2301</v>
      </c>
      <c r="C708" s="1" t="s">
        <v>988</v>
      </c>
      <c r="D708" s="1" t="s">
        <v>1378</v>
      </c>
      <c r="E708" s="1" t="s">
        <v>1983</v>
      </c>
      <c r="F708" s="9" t="s">
        <v>2302</v>
      </c>
      <c r="G708" s="1" t="s">
        <v>38</v>
      </c>
      <c r="H70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8" s="11" t="e">
        <f>ABS(NETWORKDAYS.INTL("05/27/24", "05/28/24", 1, {"01/01/2024","01/15/2024","02/19/2024","05/27/2024","07/04/2024","09/02/2024","10/14/2024","11/11/2024","11/28/2024","12/25/2024","12/25/2024","12/26/2024","12/27/2024","12/28/2024","12/29/2024","12/30/2024","31/25/2024","01/01/2024","01/02/2024","01/03/2024","01/04/2024","01/05/2024"}))</f>
        <v>#VALUE!</v>
      </c>
      <c r="J708">
        <f>0</f>
        <v>0</v>
      </c>
      <c r="K708" s="1"/>
      <c r="L708" s="1">
        <v>1</v>
      </c>
      <c r="M708" s="1" t="e">
        <f>ABS(NETWORKDAYS.INTL("06/20/24", "06/20/24", 1, {"01/01/2024","01/15/2024","02/19/2024","05/27/2024","07/04/2024","09/02/2024","10/14/2024","11/11/2024","11/28/2024","12/25/2024","12/25/2024","12/26/2024","12/27/2024","12/28/2024","12/29/2024","12/30/2024","31/25/2024","01/01/2024","01/02/2024","01/03/2024","01/04/2024","01/05/2024"}))</f>
        <v>#VALUE!</v>
      </c>
      <c r="N708" s="1">
        <f>0</f>
        <v>0</v>
      </c>
      <c r="O708" s="1">
        <f>0</f>
        <v>0</v>
      </c>
      <c r="P708" s="1"/>
      <c r="Q708" s="1">
        <v>0</v>
      </c>
      <c r="R708" s="1">
        <v>0</v>
      </c>
      <c r="S708" s="1">
        <f>0</f>
        <v>0</v>
      </c>
      <c r="T708" s="1">
        <f>0</f>
        <v>0</v>
      </c>
      <c r="U708" s="1"/>
      <c r="V708" s="1">
        <v>1</v>
      </c>
      <c r="W708" s="1">
        <v>1</v>
      </c>
      <c r="X708" s="1" t="e">
        <f>ABS(NETWORKDAYS.INTL("06/20/24", "06/21/24", 1, {"01/01/2024","01/15/2024","02/19/2024","05/27/2024","07/04/2024","09/02/2024","10/14/2024","11/11/2024","11/28/2024","12/25/2024","12/25/2024","12/26/2024","12/27/2024","12/28/2024","12/29/2024","12/30/2024","31/25/2024","01/01/2024","01/02/2024","01/03/2024","01/04/2024","01/05/2024"}))</f>
        <v>#VALUE!</v>
      </c>
      <c r="Y708" s="1">
        <f>0</f>
        <v>0</v>
      </c>
      <c r="Z708" s="1">
        <f>0</f>
        <v>0</v>
      </c>
      <c r="AA708" s="1"/>
      <c r="AB708" s="5">
        <v>45470</v>
      </c>
      <c r="AC708" s="5">
        <v>45504</v>
      </c>
      <c r="AD708" s="1" t="e">
        <f>ABS(NETWORKDAYS.INTL("06/20/24", "05/28/24", 1, {"01/01/2024","01/15/2024","02/19/2024","05/27/2024","07/04/2024","09/02/2024","10/14/2024","11/11/2024","11/28/2024","12/25/2024","12/25/2024","12/26/2024","12/27/2024","12/28/2024","12/29/2024","12/30/2024","31/25/2024","01/01/2024","01/02/2024","01/03/2024","01/04/2024","01/05/2024"}))</f>
        <v>#VALUE!</v>
      </c>
      <c r="AE708" s="1">
        <f>0</f>
        <v>0</v>
      </c>
      <c r="AF708" s="1">
        <f>0</f>
        <v>0</v>
      </c>
      <c r="AG708" s="1" t="e">
        <f>ABS(NETWORKDAYS.INTL("06/20/24", "08/05/24", 1, {"01/01/2024","01/15/2024","02/19/2024","05/27/2024","07/04/2024","09/02/2024","10/14/2024","11/11/2024","11/28/2024","12/25/2024","12/25/2024","12/26/2024","12/27/2024","12/28/2024","12/29/2024","12/30/2024","31/25/2024","01/01/2024","01/02/2024","01/03/2024","01/04/2024","01/05/2024"}))</f>
        <v>#VALUE!</v>
      </c>
      <c r="AH708" s="1" t="e">
        <f>ABS(NETWORKDAYS.INTL("06/20/24", "06/20/24", 1, {"01/01/2024","01/15/2024","02/19/2024","05/27/2024","07/04/2024","09/02/2024","10/14/2024","11/11/2024","11/28/2024","12/25/2024","12/25/2024","12/26/2024","12/27/2024","12/28/2024","12/29/2024","12/30/2024","31/25/2024","01/01/2024","01/02/2024","01/03/2024","01/04/2024","01/05/2024"}))</f>
        <v>#VALUE!</v>
      </c>
      <c r="AI708" s="1" t="e">
        <f>ABS(NETWORKDAYS.INTL("07/31/2024", "06/27/24", 1, {"01/01/2024","01/15/2024","02/19/2024","05/27/2024","07/04/2024","09/02/2024","10/14/2024","11/11/2024","11/28/2024","12/25/2024","12/25/2024","12/26/2024","12/27/2024","12/28/2024","12/29/2024","12/30/2024","31/25/2024","01/01/2024","01/02/2024","01/03/2024","01/04/2024","01/05/2024"}))</f>
        <v>#VALUE!</v>
      </c>
      <c r="AJ708" s="1" t="b">
        <v>1</v>
      </c>
      <c r="AK708" s="1"/>
      <c r="AL708" s="1"/>
      <c r="AM708" s="1"/>
      <c r="AN708" s="1"/>
      <c r="AO708" s="1"/>
      <c r="AP708" s="1" t="b">
        <v>1</v>
      </c>
      <c r="AQ708" s="1"/>
      <c r="AR708" s="1"/>
      <c r="AS708" s="1"/>
      <c r="AT708" s="1"/>
      <c r="AU708" s="1"/>
      <c r="AV708" s="1"/>
      <c r="AW708" s="1"/>
      <c r="AX708" s="1"/>
      <c r="AY708" s="1"/>
      <c r="AZ708" s="1" t="b">
        <v>1</v>
      </c>
    </row>
    <row r="709" spans="1:52" ht="15" customHeight="1" x14ac:dyDescent="0.35">
      <c r="A709" s="1" t="s">
        <v>2303</v>
      </c>
      <c r="B709" s="1" t="s">
        <v>2304</v>
      </c>
      <c r="C709" s="1" t="s">
        <v>988</v>
      </c>
      <c r="D709" s="1" t="s">
        <v>2305</v>
      </c>
      <c r="E709" s="1" t="s">
        <v>1983</v>
      </c>
      <c r="F709" s="9" t="s">
        <v>2306</v>
      </c>
      <c r="G709" s="1" t="s">
        <v>38</v>
      </c>
      <c r="H70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09" s="11" t="e">
        <f>ABS(NETWORKDAYS.INTL("05/27/24", "05/28/24", 1, {"01/01/2024","01/15/2024","02/19/2024","05/27/2024","07/04/2024","09/02/2024","10/14/2024","11/11/2024","11/28/2024","12/25/2024","12/25/2024","12/26/2024","12/27/2024","12/28/2024","12/29/2024","12/30/2024","31/25/2024","01/01/2024","01/02/2024","01/03/2024","01/04/2024","01/05/2024"}))</f>
        <v>#VALUE!</v>
      </c>
      <c r="J709">
        <f>0</f>
        <v>0</v>
      </c>
      <c r="K709" s="1"/>
      <c r="L709" s="1">
        <v>1</v>
      </c>
      <c r="M709" s="1" t="e">
        <f>ABS(NETWORKDAYS.INTL("06/19/24", "06/19/24", 1, {"01/01/2024","01/15/2024","02/19/2024","05/27/2024","07/04/2024","09/02/2024","10/14/2024","11/11/2024","11/28/2024","12/25/2024","12/25/2024","12/26/2024","12/27/2024","12/28/2024","12/29/2024","12/30/2024","31/25/2024","01/01/2024","01/02/2024","01/03/2024","01/04/2024","01/05/2024"}))</f>
        <v>#VALUE!</v>
      </c>
      <c r="N709" s="1">
        <f>0</f>
        <v>0</v>
      </c>
      <c r="O709" s="1">
        <f>0</f>
        <v>0</v>
      </c>
      <c r="P709" s="1"/>
      <c r="Q709" s="1">
        <v>0</v>
      </c>
      <c r="R709" s="1">
        <v>0</v>
      </c>
      <c r="S709" s="1">
        <f>0</f>
        <v>0</v>
      </c>
      <c r="T709" s="1">
        <f>0</f>
        <v>0</v>
      </c>
      <c r="U709" s="1"/>
      <c r="V709" s="1">
        <v>1</v>
      </c>
      <c r="W709" s="1">
        <v>1</v>
      </c>
      <c r="X709" s="1" t="e">
        <f>ABS(NETWORKDAYS.INTL("06/19/24", "06/27/24", 1, {"01/01/2024","01/15/2024","02/19/2024","05/27/2024","07/04/2024","09/02/2024","10/14/2024","11/11/2024","11/28/2024","12/25/2024","12/25/2024","12/26/2024","12/27/2024","12/28/2024","12/29/2024","12/30/2024","31/25/2024","01/01/2024","01/02/2024","01/03/2024","01/04/2024","01/05/2024"}))</f>
        <v>#VALUE!</v>
      </c>
      <c r="Y709" s="1">
        <f>0</f>
        <v>0</v>
      </c>
      <c r="Z709" s="1">
        <f>0</f>
        <v>0</v>
      </c>
      <c r="AA709" s="1"/>
      <c r="AB709" s="5">
        <v>45473</v>
      </c>
      <c r="AC709" s="5">
        <v>45504</v>
      </c>
      <c r="AD709" s="1" t="e">
        <f>ABS(NETWORKDAYS.INTL("06/19/24", "05/28/24", 1, {"01/01/2024","01/15/2024","02/19/2024","05/27/2024","07/04/2024","09/02/2024","10/14/2024","11/11/2024","11/28/2024","12/25/2024","12/25/2024","12/26/2024","12/27/2024","12/28/2024","12/29/2024","12/30/2024","31/25/2024","01/01/2024","01/02/2024","01/03/2024","01/04/2024","01/05/2024"}))</f>
        <v>#VALUE!</v>
      </c>
      <c r="AE709" s="1">
        <f>0</f>
        <v>0</v>
      </c>
      <c r="AF709" s="1">
        <f>0</f>
        <v>0</v>
      </c>
      <c r="AG709" s="1" t="e">
        <f>ABS(NETWORKDAYS.INTL("06/19/24", "08/05/24", 1, {"01/01/2024","01/15/2024","02/19/2024","05/27/2024","07/04/2024","09/02/2024","10/14/2024","11/11/2024","11/28/2024","12/25/2024","12/25/2024","12/26/2024","12/27/2024","12/28/2024","12/29/2024","12/30/2024","31/25/2024","01/01/2024","01/02/2024","01/03/2024","01/04/2024","01/05/2024"}))</f>
        <v>#VALUE!</v>
      </c>
      <c r="AH709" s="1" t="e">
        <f>ABS(NETWORKDAYS.INTL("06/19/24", "06/19/24", 1, {"01/01/2024","01/15/2024","02/19/2024","05/27/2024","07/04/2024","09/02/2024","10/14/2024","11/11/2024","11/28/2024","12/25/2024","12/25/2024","12/26/2024","12/27/2024","12/28/2024","12/29/2024","12/30/2024","31/25/2024","01/01/2024","01/02/2024","01/03/2024","01/04/2024","01/05/2024"}))</f>
        <v>#VALUE!</v>
      </c>
      <c r="AI709" s="1" t="e">
        <f>ABS(NETWORKDAYS.INTL("07/31/2024", "06/30/24", 1, {"01/01/2024","01/15/2024","02/19/2024","05/27/2024","07/04/2024","09/02/2024","10/14/2024","11/11/2024","11/28/2024","12/25/2024","12/25/2024","12/26/2024","12/27/2024","12/28/2024","12/29/2024","12/30/2024","31/25/2024","01/01/2024","01/02/2024","01/03/2024","01/04/2024","01/05/2024"}))</f>
        <v>#VALUE!</v>
      </c>
      <c r="AJ709" s="1" t="b">
        <v>1</v>
      </c>
      <c r="AK709" s="1"/>
      <c r="AL709" s="1"/>
      <c r="AM709" s="1"/>
      <c r="AN709" s="1"/>
      <c r="AO709" s="1"/>
      <c r="AP709" s="1" t="b">
        <v>1</v>
      </c>
      <c r="AQ709" s="1"/>
      <c r="AR709" s="1"/>
      <c r="AS709" s="1"/>
      <c r="AT709" s="1"/>
      <c r="AU709" s="1"/>
      <c r="AV709" s="1"/>
      <c r="AW709" s="1"/>
      <c r="AX709" s="1"/>
      <c r="AY709" s="1"/>
      <c r="AZ709" s="1" t="b">
        <v>1</v>
      </c>
    </row>
    <row r="710" spans="1:52" ht="15" customHeight="1" x14ac:dyDescent="0.35">
      <c r="A710" s="1" t="s">
        <v>2307</v>
      </c>
      <c r="B710" s="1" t="s">
        <v>2308</v>
      </c>
      <c r="C710" s="1" t="s">
        <v>988</v>
      </c>
      <c r="D710" s="1" t="s">
        <v>2309</v>
      </c>
      <c r="E710" s="1" t="s">
        <v>2310</v>
      </c>
      <c r="F710" s="9" t="s">
        <v>2311</v>
      </c>
      <c r="G710" s="1" t="s">
        <v>38</v>
      </c>
      <c r="H71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0" s="11" t="e">
        <f>ABS(NETWORKDAYS.INTL("05/28/24", "05/28/24", 1, {"01/01/2024","01/15/2024","02/19/2024","05/27/2024","07/04/2024","09/02/2024","10/14/2024","11/11/2024","11/28/2024","12/25/2024","12/25/2024","12/26/2024","12/27/2024","12/28/2024","12/29/2024","12/30/2024","31/25/2024","01/01/2024","01/02/2024","01/03/2024","01/04/2024","01/05/2024"}))</f>
        <v>#VALUE!</v>
      </c>
      <c r="J710">
        <f>0</f>
        <v>0</v>
      </c>
      <c r="K710" s="1"/>
      <c r="L710" s="1">
        <v>1</v>
      </c>
      <c r="M710" s="1" t="e">
        <f>ABS(NETWORKDAYS.INTL("06/20/24", "06/20/24", 1, {"01/01/2024","01/15/2024","02/19/2024","05/27/2024","07/04/2024","09/02/2024","10/14/2024","11/11/2024","11/28/2024","12/25/2024","12/25/2024","12/26/2024","12/27/2024","12/28/2024","12/29/2024","12/30/2024","31/25/2024","01/01/2024","01/02/2024","01/03/2024","01/04/2024","01/05/2024"}))</f>
        <v>#VALUE!</v>
      </c>
      <c r="N710" s="1">
        <f>0</f>
        <v>0</v>
      </c>
      <c r="O710" s="1">
        <f>0</f>
        <v>0</v>
      </c>
      <c r="P710" s="1"/>
      <c r="Q710" s="1">
        <v>0</v>
      </c>
      <c r="R710" s="1">
        <v>0</v>
      </c>
      <c r="S710" s="1">
        <f>0</f>
        <v>0</v>
      </c>
      <c r="T710" s="1">
        <f>0</f>
        <v>0</v>
      </c>
      <c r="U710" s="1"/>
      <c r="V710" s="1">
        <v>1</v>
      </c>
      <c r="W710" s="1">
        <v>1</v>
      </c>
      <c r="X710" s="1" t="e">
        <f>ABS(NETWORKDAYS.INTL("06/20/2024", "06/21/2024", 1, {"01/01/2024","01/15/2024","02/19/2024","05/27/2024","07/04/2024","09/02/2024","10/14/2024","11/11/2024","11/28/2024","12/25/2024","12/25/2024","12/26/2024","12/27/2024","12/28/2024","12/29/2024","12/30/2024","31/25/2024","01/01/2024","01/02/2024","01/03/2024","01/04/2024","01/05/2024"}))</f>
        <v>#VALUE!</v>
      </c>
      <c r="Y710" s="1" t="e">
        <f>ABS(NETWORKDAYS.INTL("07/09/2024", "07/10/2024", 1, {"01/01/2024","01/15/2024","02/19/2024","05/27/2024","07/04/2024","09/02/2024","10/14/2024","11/11/2024","11/28/2024","12/25/2024","12/25/2024","12/26/2024","12/27/2024","12/28/2024","12/29/2024","12/30/2024","31/25/2024","01/01/2024","01/02/2024","01/03/2024","01/04/2024","01/05/2024"}))</f>
        <v>#VALUE!</v>
      </c>
      <c r="Z710" s="1">
        <f>0</f>
        <v>0</v>
      </c>
      <c r="AA710" s="1"/>
      <c r="AB710" s="5"/>
      <c r="AC710" s="1"/>
      <c r="AD710" s="1" t="e">
        <f>ABS(NETWORKDAYS.INTL("06/20/24", "05/28/24", 1, {"01/01/2024","01/15/2024","02/19/2024","05/27/2024","07/04/2024","09/02/2024","10/14/2024","11/11/2024","11/28/2024","12/25/2024","12/25/2024","12/26/2024","12/27/2024","12/28/2024","12/29/2024","12/30/2024","31/25/2024","01/01/2024","01/02/2024","01/03/2024","01/04/2024","01/05/2024"}))</f>
        <v>#VALUE!</v>
      </c>
      <c r="AE710" s="1">
        <f>0</f>
        <v>0</v>
      </c>
      <c r="AF710" s="1">
        <f>0</f>
        <v>0</v>
      </c>
      <c r="AG710" s="1" t="e">
        <f>ABS(NETWORKDAYS.INTL("06/20/24", "08/05/24", 1, {"01/01/2024","01/15/2024","02/19/2024","05/27/2024","07/04/2024","09/02/2024","10/14/2024","11/11/2024","11/28/2024","12/25/2024","12/25/2024","12/26/2024","12/27/2024","12/28/2024","12/29/2024","12/30/2024","31/25/2024","01/01/2024","01/02/2024","01/03/2024","01/04/2024","01/05/2024"}))</f>
        <v>#VALUE!</v>
      </c>
      <c r="AH710" s="1" t="e">
        <f>ABS(NETWORKDAYS.INTL("06/20/2024", "06/20/24", 1, {"01/01/2024","01/15/2024","02/19/2024","05/27/2024","07/04/2024","09/02/2024","10/14/2024","11/11/2024","11/28/2024","12/25/2024","12/25/2024","12/26/2024","12/27/2024","12/28/2024","12/29/2024","12/30/2024","31/25/2024","01/01/2024","01/02/2024","01/03/2024","01/04/2024","01/05/2024"}))</f>
        <v>#VALUE!</v>
      </c>
      <c r="AI710" s="1">
        <f>0</f>
        <v>0</v>
      </c>
      <c r="AJ710" s="1" t="b">
        <v>1</v>
      </c>
      <c r="AK710" s="1"/>
      <c r="AL710" s="1"/>
      <c r="AM710" s="1"/>
      <c r="AN710" s="1"/>
      <c r="AO710" s="1"/>
      <c r="AP710" s="1"/>
      <c r="AQ710" s="1"/>
      <c r="AR710" s="1"/>
      <c r="AS710" s="1"/>
      <c r="AT710" s="1" t="b">
        <v>1</v>
      </c>
      <c r="AU710" s="1"/>
      <c r="AV710" s="1"/>
      <c r="AW710" s="1"/>
      <c r="AX710" s="1"/>
      <c r="AY710" s="1"/>
      <c r="AZ710" s="1" t="b">
        <v>1</v>
      </c>
    </row>
    <row r="711" spans="1:52" ht="15" customHeight="1" x14ac:dyDescent="0.35">
      <c r="A711" s="1" t="s">
        <v>2312</v>
      </c>
      <c r="B711" s="1" t="s">
        <v>2313</v>
      </c>
      <c r="C711" s="1" t="s">
        <v>988</v>
      </c>
      <c r="D711" s="1" t="s">
        <v>2314</v>
      </c>
      <c r="E711" s="1" t="s">
        <v>2310</v>
      </c>
      <c r="F711" s="9" t="s">
        <v>2315</v>
      </c>
      <c r="G711" s="1" t="s">
        <v>38</v>
      </c>
      <c r="H71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1" s="11" t="e">
        <f>ABS(NETWORKDAYS.INTL("05/28/24", "05/28/24", 1, {"01/01/2024","01/15/2024","02/19/2024","05/27/2024","07/04/2024","09/02/2024","10/14/2024","11/11/2024","11/28/2024","12/25/2024","12/25/2024","12/26/2024","12/27/2024","12/28/2024","12/29/2024","12/30/2024","31/25/2024","01/01/2024","01/02/2024","01/03/2024","01/04/2024","01/05/2024"}))</f>
        <v>#VALUE!</v>
      </c>
      <c r="J711">
        <f>0</f>
        <v>0</v>
      </c>
      <c r="K711" s="1"/>
      <c r="L711" s="1">
        <v>1</v>
      </c>
      <c r="M711" s="1" t="e">
        <f>ABS(NETWORKDAYS.INTL("06/20/24", "06/20/24", 1, {"01/01/2024","01/15/2024","02/19/2024","05/27/2024","07/04/2024","09/02/2024","10/14/2024","11/11/2024","11/28/2024","12/25/2024","12/25/2024","12/26/2024","12/27/2024","12/28/2024","12/29/2024","12/30/2024","31/25/2024","01/01/2024","01/02/2024","01/03/2024","01/04/2024","01/05/2024"}))</f>
        <v>#VALUE!</v>
      </c>
      <c r="N711" s="1">
        <f>0</f>
        <v>0</v>
      </c>
      <c r="O711" s="1">
        <f>0</f>
        <v>0</v>
      </c>
      <c r="P711" s="1"/>
      <c r="Q711" s="1">
        <v>0</v>
      </c>
      <c r="R711" s="1">
        <v>0</v>
      </c>
      <c r="S711" s="1">
        <f>0</f>
        <v>0</v>
      </c>
      <c r="T711" s="1">
        <f>0</f>
        <v>0</v>
      </c>
      <c r="U711" s="1"/>
      <c r="V711" s="1">
        <v>2</v>
      </c>
      <c r="W711" s="1">
        <v>1</v>
      </c>
      <c r="X711" s="1" t="e">
        <f>ABS(NETWORKDAYS.INTL("06/20/2024", "06/21/2024", 1, {"01/01/2024","01/15/2024","02/19/2024","05/27/2024","07/04/2024","09/02/2024","10/14/2024","11/11/2024","11/28/2024","12/25/2024","12/25/2024","12/26/2024","12/27/2024","12/28/2024","12/29/2024","12/30/2024","31/25/2024","01/01/2024","01/02/2024","01/03/2024","01/04/2024","01/05/2024"}))</f>
        <v>#VALUE!</v>
      </c>
      <c r="Y711" s="1" t="e">
        <f>ABS(NETWORKDAYS.INTL("07/09/2024", "07/10/24", 1, {"01/01/2024","01/15/2024","02/19/2024","05/27/2024","07/04/2024","09/02/2024","10/14/2024","11/11/2024","11/28/2024","12/25/2024","12/25/2024","12/26/2024","12/27/2024","12/28/2024","12/29/2024","12/30/2024","31/25/2024","01/01/2024","01/02/2024","01/03/2024","01/04/2024","01/05/2024"}))</f>
        <v>#VALUE!</v>
      </c>
      <c r="Z711" s="1">
        <f>0</f>
        <v>0</v>
      </c>
      <c r="AA711" s="1"/>
      <c r="AB711" s="5">
        <v>45483</v>
      </c>
      <c r="AC711" s="5">
        <v>45504</v>
      </c>
      <c r="AD711" s="1" t="e">
        <f>ABS(NETWORKDAYS.INTL("06/20/24", "05/28/24", 1, {"01/01/2024","01/15/2024","02/19/2024","05/27/2024","07/04/2024","09/02/2024","10/14/2024","11/11/2024","11/28/2024","12/25/2024","12/25/2024","12/26/2024","12/27/2024","12/28/2024","12/29/2024","12/30/2024","31/25/2024","01/01/2024","01/02/2024","01/03/2024","01/04/2024","01/05/2024"}))</f>
        <v>#VALUE!</v>
      </c>
      <c r="AE711" s="1">
        <f>0</f>
        <v>0</v>
      </c>
      <c r="AF711" s="1">
        <f>0</f>
        <v>0</v>
      </c>
      <c r="AG711" s="1" t="e">
        <f>ABS(NETWORKDAYS.INTL("06/20/24", "08/05/24", 1, {"01/01/2024","01/15/2024","02/19/2024","05/27/2024","07/04/2024","09/02/2024","10/14/2024","11/11/2024","11/28/2024","12/25/2024","12/25/2024","12/26/2024","12/27/2024","12/28/2024","12/29/2024","12/30/2024","31/25/2024","01/01/2024","01/02/2024","01/03/2024","01/04/2024","01/05/2024"}))</f>
        <v>#VALUE!</v>
      </c>
      <c r="AH711" s="1" t="e">
        <f>ABS(NETWORKDAYS.INTL("06/20/2024", "06/20/24", 1, {"01/01/2024","01/15/2024","02/19/2024","05/27/2024","07/04/2024","09/02/2024","10/14/2024","11/11/2024","11/28/2024","12/25/2024","12/25/2024","12/26/2024","12/27/2024","12/28/2024","12/29/2024","12/30/2024","31/25/2024","01/01/2024","01/02/2024","01/03/2024","01/04/2024","01/05/2024"}))</f>
        <v>#VALUE!</v>
      </c>
      <c r="AI711" s="1" t="e">
        <f>ABS(NETWORKDAYS.INTL("07/31/2024", "07/10/2024", 1, {"01/01/2024","01/15/2024","02/19/2024","05/27/2024","07/04/2024","09/02/2024","10/14/2024","11/11/2024","11/28/2024","12/25/2024","12/25/2024","12/26/2024","12/27/2024","12/28/2024","12/29/2024","12/30/2024","31/25/2024","01/01/2024","01/02/2024","01/03/2024","01/04/2024","01/05/2024"}))</f>
        <v>#VALUE!</v>
      </c>
      <c r="AJ711" s="1" t="b">
        <v>1</v>
      </c>
      <c r="AK711" s="1"/>
      <c r="AL711" s="1"/>
      <c r="AM711" s="1"/>
      <c r="AN711" s="1"/>
      <c r="AO711" s="1"/>
      <c r="AP711" s="1"/>
      <c r="AQ711" s="1"/>
      <c r="AR711" s="1"/>
      <c r="AS711" s="1"/>
      <c r="AT711" s="1" t="b">
        <v>1</v>
      </c>
      <c r="AU711" s="1"/>
      <c r="AV711" s="1"/>
      <c r="AW711" s="1"/>
      <c r="AX711" s="1"/>
      <c r="AY711" s="1"/>
      <c r="AZ711" s="1" t="b">
        <v>1</v>
      </c>
    </row>
    <row r="712" spans="1:52" ht="15" customHeight="1" x14ac:dyDescent="0.35">
      <c r="A712" s="1" t="s">
        <v>2316</v>
      </c>
      <c r="B712" s="1" t="s">
        <v>2317</v>
      </c>
      <c r="C712" s="1" t="s">
        <v>988</v>
      </c>
      <c r="D712" s="1" t="s">
        <v>2318</v>
      </c>
      <c r="E712" s="1" t="s">
        <v>1983</v>
      </c>
      <c r="F712" s="9" t="s">
        <v>2319</v>
      </c>
      <c r="G712" s="1" t="s">
        <v>38</v>
      </c>
      <c r="H71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2" s="11" t="e">
        <f>ABS(NETWORKDAYS.INTL("05/31/24", "05/31/24", 1, {"01/01/2024","01/15/2024","02/19/2024","05/27/2024","07/04/2024","09/02/2024","10/14/2024","11/11/2024","11/28/2024","12/25/2024","12/25/2024","12/26/2024","12/27/2024","12/28/2024","12/29/2024","12/30/2024","31/25/2024","01/01/2024","01/02/2024","01/03/2024","01/04/2024","01/05/2024"}))</f>
        <v>#VALUE!</v>
      </c>
      <c r="J712">
        <f>0</f>
        <v>0</v>
      </c>
      <c r="K712" s="1"/>
      <c r="L712" s="1">
        <v>1</v>
      </c>
      <c r="M712" s="1" t="e">
        <f>ABS(NETWORKDAYS.INTL("06/17/24", "06/17/24", 1, {"01/01/2024","01/15/2024","02/19/2024","05/27/2024","07/04/2024","09/02/2024","10/14/2024","11/11/2024","11/28/2024","12/25/2024","12/25/2024","12/26/2024","12/27/2024","12/28/2024","12/29/2024","12/30/2024","31/25/2024","01/01/2024","01/02/2024","01/03/2024","01/04/2024","01/05/2024"}))</f>
        <v>#VALUE!</v>
      </c>
      <c r="N712" s="1">
        <f>0</f>
        <v>0</v>
      </c>
      <c r="O712" s="1">
        <f>0</f>
        <v>0</v>
      </c>
      <c r="P712" s="1"/>
      <c r="Q712" s="1">
        <v>0</v>
      </c>
      <c r="R712" s="1">
        <v>0</v>
      </c>
      <c r="S712" s="1">
        <f>0</f>
        <v>0</v>
      </c>
      <c r="T712" s="1">
        <f>0</f>
        <v>0</v>
      </c>
      <c r="U712" s="1"/>
      <c r="V712" s="1">
        <v>1</v>
      </c>
      <c r="W712" s="1">
        <v>1</v>
      </c>
      <c r="X712" s="1" t="e">
        <f>ABS(NETWORKDAYS.INTL("06/17/24", "06/18/24", 1, {"01/01/2024","01/15/2024","02/19/2024","05/27/2024","07/04/2024","09/02/2024","10/14/2024","11/11/2024","11/28/2024","12/25/2024","12/25/2024","12/26/2024","12/27/2024","12/28/2024","12/29/2024","12/30/2024","31/25/2024","01/01/2024","01/02/2024","01/03/2024","01/04/2024","01/05/2024"}))</f>
        <v>#VALUE!</v>
      </c>
      <c r="Y712" s="1">
        <f>0</f>
        <v>0</v>
      </c>
      <c r="Z712" s="1">
        <f>0</f>
        <v>0</v>
      </c>
      <c r="AA712" s="1"/>
      <c r="AB712" s="5">
        <v>45461</v>
      </c>
      <c r="AC712" s="5">
        <v>45504</v>
      </c>
      <c r="AD712" s="1" t="e">
        <f>ABS(NETWORKDAYS.INTL("06/17/24", "05/31/24", 1, {"01/01/2024","01/15/2024","02/19/2024","05/27/2024","07/04/2024","09/02/2024","10/14/2024","11/11/2024","11/28/2024","12/25/2024","12/25/2024","12/26/2024","12/27/2024","12/28/2024","12/29/2024","12/30/2024","31/25/2024","01/01/2024","01/02/2024","01/03/2024","01/04/2024","01/05/2024"}))</f>
        <v>#VALUE!</v>
      </c>
      <c r="AE712" s="1">
        <f>0</f>
        <v>0</v>
      </c>
      <c r="AF712" s="1">
        <f>0</f>
        <v>0</v>
      </c>
      <c r="AG712" s="1" t="e">
        <f>ABS(NETWORKDAYS.INTL("06/17/24", "08/05/24", 1, {"01/01/2024","01/15/2024","02/19/2024","05/27/2024","07/04/2024","09/02/2024","10/14/2024","11/11/2024","11/28/2024","12/25/2024","12/25/2024","12/26/2024","12/27/2024","12/28/2024","12/29/2024","12/30/2024","31/25/2024","01/01/2024","01/02/2024","01/03/2024","01/04/2024","01/05/2024"}))</f>
        <v>#VALUE!</v>
      </c>
      <c r="AH712" s="1" t="e">
        <f>ABS(NETWORKDAYS.INTL("06/17/24", "06/17/24", 1, {"01/01/2024","01/15/2024","02/19/2024","05/27/2024","07/04/2024","09/02/2024","10/14/2024","11/11/2024","11/28/2024","12/25/2024","12/25/2024","12/26/2024","12/27/2024","12/28/2024","12/29/2024","12/30/2024","31/25/2024","01/01/2024","01/02/2024","01/03/2024","01/04/2024","01/05/2024"}))</f>
        <v>#VALUE!</v>
      </c>
      <c r="AI712" s="1" t="e">
        <f>ABS(NETWORKDAYS.INTL("07/31/2024", "06/18/24", 1, {"01/01/2024","01/15/2024","02/19/2024","05/27/2024","07/04/2024","09/02/2024","10/14/2024","11/11/2024","11/28/2024","12/25/2024","12/25/2024","12/26/2024","12/27/2024","12/28/2024","12/29/2024","12/30/2024","31/25/2024","01/01/2024","01/02/2024","01/03/2024","01/04/2024","01/05/2024"}))</f>
        <v>#VALUE!</v>
      </c>
      <c r="AJ712" s="1" t="b">
        <v>1</v>
      </c>
      <c r="AK712" s="1"/>
      <c r="AL712" s="1"/>
      <c r="AM712" s="1"/>
      <c r="AN712" s="1"/>
      <c r="AO712" s="1"/>
      <c r="AP712" s="1" t="b">
        <v>1</v>
      </c>
      <c r="AQ712" s="1"/>
      <c r="AR712" s="1"/>
      <c r="AS712" s="1"/>
      <c r="AT712" s="1"/>
      <c r="AU712" s="1"/>
      <c r="AV712" s="1"/>
      <c r="AW712" s="1"/>
      <c r="AX712" s="1"/>
      <c r="AY712" s="1"/>
      <c r="AZ712" s="1" t="b">
        <v>1</v>
      </c>
    </row>
    <row r="713" spans="1:52" ht="15" customHeight="1" x14ac:dyDescent="0.35">
      <c r="A713" s="1" t="s">
        <v>2320</v>
      </c>
      <c r="B713" s="1" t="s">
        <v>2321</v>
      </c>
      <c r="C713" s="1" t="s">
        <v>988</v>
      </c>
      <c r="D713" s="1" t="s">
        <v>2002</v>
      </c>
      <c r="E713" s="1" t="s">
        <v>1983</v>
      </c>
      <c r="F713" s="9" t="s">
        <v>2322</v>
      </c>
      <c r="G713" s="1" t="s">
        <v>38</v>
      </c>
      <c r="H71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3" s="11" t="e">
        <f>ABS(NETWORKDAYS.INTL("05/29/24", "05/31/24", 1, {"01/01/2024","01/15/2024","02/19/2024","05/27/2024","07/04/2024","09/02/2024","10/14/2024","11/11/2024","11/28/2024","12/25/2024","12/25/2024","12/26/2024","12/27/2024","12/28/2024","12/29/2024","12/30/2024","31/25/2024","01/01/2024","01/02/2024","01/03/2024","01/04/2024","01/05/2024"}))</f>
        <v>#VALUE!</v>
      </c>
      <c r="J713">
        <f>0</f>
        <v>0</v>
      </c>
      <c r="K713" s="1"/>
      <c r="L713" s="1">
        <v>1</v>
      </c>
      <c r="M713" s="1" t="e">
        <f>ABS(NETWORKDAYS.INTL("06/14/24", "06/14/24", 1, {"01/01/2024","01/15/2024","02/19/2024","05/27/2024","07/04/2024","09/02/2024","10/14/2024","11/11/2024","11/28/2024","12/25/2024","12/25/2024","12/26/2024","12/27/2024","12/28/2024","12/29/2024","12/30/2024","31/25/2024","01/01/2024","01/02/2024","01/03/2024","01/04/2024","01/05/2024"}))</f>
        <v>#VALUE!</v>
      </c>
      <c r="N713" s="1">
        <f>0</f>
        <v>0</v>
      </c>
      <c r="O713" s="1">
        <f>0</f>
        <v>0</v>
      </c>
      <c r="P713" s="1"/>
      <c r="Q713" s="1">
        <v>0</v>
      </c>
      <c r="R713" s="1">
        <v>0</v>
      </c>
      <c r="S713" s="1">
        <f>0</f>
        <v>0</v>
      </c>
      <c r="T713" s="1">
        <f>0</f>
        <v>0</v>
      </c>
      <c r="U713" s="1"/>
      <c r="V713" s="1">
        <v>1</v>
      </c>
      <c r="W713" s="1">
        <v>1</v>
      </c>
      <c r="X713" s="1" t="e">
        <f>ABS(NETWORKDAYS.INTL("06/14/24", "06/17/24", 1, {"01/01/2024","01/15/2024","02/19/2024","05/27/2024","07/04/2024","09/02/2024","10/14/2024","11/11/2024","11/28/2024","12/25/2024","12/25/2024","12/26/2024","12/27/2024","12/28/2024","12/29/2024","12/30/2024","31/25/2024","01/01/2024","01/02/2024","01/03/2024","01/04/2024","01/05/2024"}))</f>
        <v>#VALUE!</v>
      </c>
      <c r="Y713" s="1">
        <f>0</f>
        <v>0</v>
      </c>
      <c r="Z713" s="1">
        <f>0</f>
        <v>0</v>
      </c>
      <c r="AA713" s="1"/>
      <c r="AB713" s="5">
        <v>45467</v>
      </c>
      <c r="AC713" s="1"/>
      <c r="AD713" s="1" t="e">
        <f>ABS(NETWORKDAYS.INTL("06/14/24", "05/31/24", 1, {"01/01/2024","01/15/2024","02/19/2024","05/27/2024","07/04/2024","09/02/2024","10/14/2024","11/11/2024","11/28/2024","12/25/2024","12/25/2024","12/26/2024","12/27/2024","12/28/2024","12/29/2024","12/30/2024","31/25/2024","01/01/2024","01/02/2024","01/03/2024","01/04/2024","01/05/2024"}))</f>
        <v>#VALUE!</v>
      </c>
      <c r="AE713" s="1">
        <f>0</f>
        <v>0</v>
      </c>
      <c r="AF713" s="1">
        <f>0</f>
        <v>0</v>
      </c>
      <c r="AG713" s="1" t="e">
        <f>ABS(NETWORKDAYS.INTL("06/14/24", "08/05/24", 1, {"01/01/2024","01/15/2024","02/19/2024","05/27/2024","07/04/2024","09/02/2024","10/14/2024","11/11/2024","11/28/2024","12/25/2024","12/25/2024","12/26/2024","12/27/2024","12/28/2024","12/29/2024","12/30/2024","31/25/2024","01/01/2024","01/02/2024","01/03/2024","01/04/2024","01/05/2024"}))</f>
        <v>#VALUE!</v>
      </c>
      <c r="AH713" s="1" t="e">
        <f>ABS(NETWORKDAYS.INTL("06/14/24", "06/14/24", 1, {"01/01/2024","01/15/2024","02/19/2024","05/27/2024","07/04/2024","09/02/2024","10/14/2024","11/11/2024","11/28/2024","12/25/2024","12/25/2024","12/26/2024","12/27/2024","12/28/2024","12/29/2024","12/30/2024","31/25/2024","01/01/2024","01/02/2024","01/03/2024","01/04/2024","01/05/2024"}))</f>
        <v>#VALUE!</v>
      </c>
      <c r="AI713" s="1">
        <f>0</f>
        <v>0</v>
      </c>
      <c r="AJ713" s="1" t="b">
        <v>1</v>
      </c>
      <c r="AK713" s="1"/>
      <c r="AL713" s="1"/>
      <c r="AM713" s="1"/>
      <c r="AN713" s="1"/>
      <c r="AO713" s="1"/>
      <c r="AP713" s="1" t="b">
        <v>1</v>
      </c>
      <c r="AQ713" s="1"/>
      <c r="AR713" s="1"/>
      <c r="AS713" s="1"/>
      <c r="AT713" s="1"/>
      <c r="AU713" s="1"/>
      <c r="AV713" s="1"/>
      <c r="AW713" s="1"/>
      <c r="AX713" s="1"/>
      <c r="AY713" s="1"/>
      <c r="AZ713" s="1" t="b">
        <v>1</v>
      </c>
    </row>
    <row r="714" spans="1:52" ht="15" customHeight="1" x14ac:dyDescent="0.35">
      <c r="A714" s="1" t="s">
        <v>2323</v>
      </c>
      <c r="B714" s="1" t="s">
        <v>2324</v>
      </c>
      <c r="C714" s="1" t="s">
        <v>1329</v>
      </c>
      <c r="D714" s="1" t="s">
        <v>1335</v>
      </c>
      <c r="E714" s="1" t="s">
        <v>1336</v>
      </c>
      <c r="F714" s="9" t="s">
        <v>2325</v>
      </c>
      <c r="G714" s="1" t="s">
        <v>38</v>
      </c>
      <c r="H71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4" s="11" t="e">
        <f>ABS(NETWORKDAYS.INTL("06/13/24", "06/17/24", 1, {"01/01/2024","01/15/2024","02/19/2024","05/27/2024","07/04/2024","09/02/2024","10/14/2024","11/11/2024","11/28/2024","12/25/2024","12/25/2024","12/26/2024","12/27/2024","12/28/2024","12/29/2024","12/30/2024","31/25/2024","01/01/2024","01/02/2024","01/03/2024","01/04/2024","01/05/2024"}))</f>
        <v>#VALUE!</v>
      </c>
      <c r="J714">
        <f>0</f>
        <v>0</v>
      </c>
      <c r="K714" s="1"/>
      <c r="L714" s="1">
        <v>1</v>
      </c>
      <c r="M714" s="1" t="e">
        <f>ABS(NETWORKDAYS.INTL("07/23/2024", "08/05/24", 1, {"01/01/2024","01/15/2024","02/19/2024","05/27/2024","07/04/2024","09/02/2024","10/14/2024","11/11/2024","11/28/2024","12/25/2024","12/25/2024","12/26/2024","12/27/2024","12/28/2024","12/29/2024","12/30/2024","31/25/2024","01/01/2024","01/02/2024","01/03/2024","01/04/2024","01/05/2024"}))</f>
        <v>#VALUE!</v>
      </c>
      <c r="N714" s="1">
        <f>0</f>
        <v>0</v>
      </c>
      <c r="O714" s="1">
        <f>0</f>
        <v>0</v>
      </c>
      <c r="P714" s="1"/>
      <c r="Q714" s="1">
        <v>0</v>
      </c>
      <c r="R714" s="1">
        <v>0</v>
      </c>
      <c r="S714" s="1">
        <f>0</f>
        <v>0</v>
      </c>
      <c r="T714" s="1">
        <f>0</f>
        <v>0</v>
      </c>
      <c r="U714" s="1"/>
      <c r="V714" s="1">
        <v>0</v>
      </c>
      <c r="W714" s="1">
        <v>0</v>
      </c>
      <c r="X714" s="1">
        <f>0</f>
        <v>0</v>
      </c>
      <c r="Y714" s="1">
        <f>0</f>
        <v>0</v>
      </c>
      <c r="Z714" s="1">
        <f>0</f>
        <v>0</v>
      </c>
      <c r="AA714" s="1"/>
      <c r="AB714" s="5"/>
      <c r="AC714" s="1"/>
      <c r="AD714" s="1" t="e">
        <f>ABS(NETWORKDAYS.INTL("07/23/2024", "06/17/24", 1, {"01/01/2024","01/15/2024","02/19/2024","05/27/2024","07/04/2024","09/02/2024","10/14/2024","11/11/2024","11/28/2024","12/25/2024","12/25/2024","12/26/2024","12/27/2024","12/28/2024","12/29/2024","12/30/2024","31/25/2024","01/01/2024","01/02/2024","01/03/2024","01/04/2024","01/05/2024"}))</f>
        <v>#VALUE!</v>
      </c>
      <c r="AE714" s="1">
        <f>0</f>
        <v>0</v>
      </c>
      <c r="AF714" s="1">
        <f>0</f>
        <v>0</v>
      </c>
      <c r="AG714" s="1">
        <f>0</f>
        <v>0</v>
      </c>
      <c r="AH714" s="1">
        <f>0</f>
        <v>0</v>
      </c>
      <c r="AI714" s="1">
        <f>0</f>
        <v>0</v>
      </c>
      <c r="AJ714" s="1" t="b">
        <v>1</v>
      </c>
      <c r="AK714" s="1"/>
      <c r="AL714" s="1"/>
      <c r="AM714" s="1"/>
      <c r="AN714" s="1"/>
      <c r="AO714" s="1"/>
      <c r="AP714" s="1" t="b">
        <v>1</v>
      </c>
      <c r="AQ714" s="1"/>
      <c r="AR714" s="1"/>
      <c r="AS714" s="1"/>
      <c r="AT714" s="1"/>
      <c r="AU714" s="1"/>
      <c r="AV714" s="1"/>
      <c r="AW714" s="1"/>
      <c r="AX714" s="1"/>
      <c r="AY714" s="1" t="b">
        <v>1</v>
      </c>
      <c r="AZ714" s="1"/>
    </row>
    <row r="715" spans="1:52" ht="15" customHeight="1" x14ac:dyDescent="0.35">
      <c r="A715" s="1" t="s">
        <v>2326</v>
      </c>
      <c r="B715" s="1" t="s">
        <v>2327</v>
      </c>
      <c r="C715" s="1" t="s">
        <v>640</v>
      </c>
      <c r="D715" s="1"/>
      <c r="E715" s="1" t="s">
        <v>2328</v>
      </c>
      <c r="F715" s="9" t="s">
        <v>2329</v>
      </c>
      <c r="G715" s="1" t="s">
        <v>38</v>
      </c>
      <c r="H71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15" s="11">
        <f>0</f>
        <v>0</v>
      </c>
      <c r="J715">
        <f>0</f>
        <v>0</v>
      </c>
      <c r="K715" s="1"/>
      <c r="L715" s="1">
        <v>0</v>
      </c>
      <c r="M715" s="1">
        <f>0</f>
        <v>0</v>
      </c>
      <c r="N715" s="1">
        <f>0</f>
        <v>0</v>
      </c>
      <c r="O715" s="1">
        <f>0</f>
        <v>0</v>
      </c>
      <c r="P715" s="1"/>
      <c r="Q715" s="1">
        <v>0</v>
      </c>
      <c r="R715" s="1">
        <v>0</v>
      </c>
      <c r="S715" s="1">
        <f>0</f>
        <v>0</v>
      </c>
      <c r="T715" s="1">
        <f>0</f>
        <v>0</v>
      </c>
      <c r="U715" s="1"/>
      <c r="V715" s="1">
        <v>0</v>
      </c>
      <c r="W715" s="1">
        <v>0</v>
      </c>
      <c r="X715" s="1">
        <f>0</f>
        <v>0</v>
      </c>
      <c r="Y715" s="1">
        <f>0</f>
        <v>0</v>
      </c>
      <c r="Z715" s="1">
        <f>0</f>
        <v>0</v>
      </c>
      <c r="AA715" s="1"/>
      <c r="AB715" s="5"/>
      <c r="AC715" s="1"/>
      <c r="AD715" s="1">
        <f>0</f>
        <v>0</v>
      </c>
      <c r="AE715" s="1">
        <f>0</f>
        <v>0</v>
      </c>
      <c r="AF715" s="1">
        <f>0</f>
        <v>0</v>
      </c>
      <c r="AG715" s="1">
        <f>0</f>
        <v>0</v>
      </c>
      <c r="AH715" s="1">
        <f>0</f>
        <v>0</v>
      </c>
      <c r="AI715" s="1">
        <f>0</f>
        <v>0</v>
      </c>
      <c r="AJ715" s="1" t="b">
        <v>1</v>
      </c>
      <c r="AK715" s="1"/>
      <c r="AL715" s="1"/>
      <c r="AM715" s="1"/>
      <c r="AN715" s="1"/>
      <c r="AO715" s="1"/>
      <c r="AP715" s="1"/>
      <c r="AQ715" s="1"/>
      <c r="AR715" s="1"/>
      <c r="AS715" s="1"/>
      <c r="AT715" s="1" t="b">
        <v>1</v>
      </c>
      <c r="AU715" s="1"/>
      <c r="AV715" s="1" t="b">
        <v>1</v>
      </c>
      <c r="AW715" s="1"/>
      <c r="AX715" s="1"/>
      <c r="AY715" s="1" t="b">
        <v>1</v>
      </c>
      <c r="AZ715" s="1"/>
    </row>
    <row r="716" spans="1:52" ht="15" customHeight="1" x14ac:dyDescent="0.35">
      <c r="A716" s="1" t="s">
        <v>2330</v>
      </c>
      <c r="B716" s="1" t="s">
        <v>2331</v>
      </c>
      <c r="C716" s="1" t="s">
        <v>988</v>
      </c>
      <c r="D716" s="1" t="s">
        <v>2318</v>
      </c>
      <c r="E716" s="1" t="s">
        <v>1983</v>
      </c>
      <c r="F716" s="9" t="s">
        <v>2332</v>
      </c>
      <c r="G716" s="1" t="s">
        <v>38</v>
      </c>
      <c r="H71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6" s="11" t="e">
        <f>ABS(NETWORKDAYS.INTL("06/04/24", "06/04/24", 1, {"01/01/2024","01/15/2024","02/19/2024","05/27/2024","07/04/2024","09/02/2024","10/14/2024","11/11/2024","11/28/2024","12/25/2024","12/25/2024","12/26/2024","12/27/2024","12/28/2024","12/29/2024","12/30/2024","31/25/2024","01/01/2024","01/02/2024","01/03/2024","01/04/2024","01/05/2024"}))</f>
        <v>#VALUE!</v>
      </c>
      <c r="J716">
        <f>0</f>
        <v>0</v>
      </c>
      <c r="K716" s="1"/>
      <c r="L716" s="1">
        <v>1</v>
      </c>
      <c r="M716" s="1" t="e">
        <f>ABS(NETWORKDAYS.INTL("06/13/24", "06/13/24", 1, {"01/01/2024","01/15/2024","02/19/2024","05/27/2024","07/04/2024","09/02/2024","10/14/2024","11/11/2024","11/28/2024","12/25/2024","12/25/2024","12/26/2024","12/27/2024","12/28/2024","12/29/2024","12/30/2024","31/25/2024","01/01/2024","01/02/2024","01/03/2024","01/04/2024","01/05/2024"}))</f>
        <v>#VALUE!</v>
      </c>
      <c r="N716" s="1">
        <f>0</f>
        <v>0</v>
      </c>
      <c r="O716" s="1">
        <f>0</f>
        <v>0</v>
      </c>
      <c r="P716" s="1"/>
      <c r="Q716" s="1">
        <v>0</v>
      </c>
      <c r="R716" s="1">
        <v>0</v>
      </c>
      <c r="S716" s="1">
        <f>0</f>
        <v>0</v>
      </c>
      <c r="T716" s="1">
        <f>0</f>
        <v>0</v>
      </c>
      <c r="U716" s="1"/>
      <c r="V716" s="1">
        <v>1</v>
      </c>
      <c r="W716" s="1">
        <v>1</v>
      </c>
      <c r="X716" s="1" t="e">
        <f>ABS(NETWORKDAYS.INTL("06/13/24", "06/19/24", 1, {"01/01/2024","01/15/2024","02/19/2024","05/27/2024","07/04/2024","09/02/2024","10/14/2024","11/11/2024","11/28/2024","12/25/2024","12/25/2024","12/26/2024","12/27/2024","12/28/2024","12/29/2024","12/30/2024","31/25/2024","01/01/2024","01/02/2024","01/03/2024","01/04/2024","01/05/2024"}))</f>
        <v>#VALUE!</v>
      </c>
      <c r="Y716" s="1">
        <f>0</f>
        <v>0</v>
      </c>
      <c r="Z716" s="1">
        <f>0</f>
        <v>0</v>
      </c>
      <c r="AA716" s="1"/>
      <c r="AB716" s="5">
        <v>45467</v>
      </c>
      <c r="AC716" s="5">
        <v>45502</v>
      </c>
      <c r="AD716" s="1" t="e">
        <f>ABS(NETWORKDAYS.INTL("06/13/24", "06/04/24", 1, {"01/01/2024","01/15/2024","02/19/2024","05/27/2024","07/04/2024","09/02/2024","10/14/2024","11/11/2024","11/28/2024","12/25/2024","12/25/2024","12/26/2024","12/27/2024","12/28/2024","12/29/2024","12/30/2024","31/25/2024","01/01/2024","01/02/2024","01/03/2024","01/04/2024","01/05/2024"}))</f>
        <v>#VALUE!</v>
      </c>
      <c r="AE716" s="1">
        <f>0</f>
        <v>0</v>
      </c>
      <c r="AF716" s="1">
        <f>0</f>
        <v>0</v>
      </c>
      <c r="AG716" s="1" t="e">
        <f>ABS(NETWORKDAYS.INTL("06/13/24", "08/05/24", 1, {"01/01/2024","01/15/2024","02/19/2024","05/27/2024","07/04/2024","09/02/2024","10/14/2024","11/11/2024","11/28/2024","12/25/2024","12/25/2024","12/26/2024","12/27/2024","12/28/2024","12/29/2024","12/30/2024","31/25/2024","01/01/2024","01/02/2024","01/03/2024","01/04/2024","01/05/2024"}))</f>
        <v>#VALUE!</v>
      </c>
      <c r="AH716" s="1" t="e">
        <f>ABS(NETWORKDAYS.INTL("06/13/24", "06/13/24", 1, {"01/01/2024","01/15/2024","02/19/2024","05/27/2024","07/04/2024","09/02/2024","10/14/2024","11/11/2024","11/28/2024","12/25/2024","12/25/2024","12/26/2024","12/27/2024","12/28/2024","12/29/2024","12/30/2024","31/25/2024","01/01/2024","01/02/2024","01/03/2024","01/04/2024","01/05/2024"}))</f>
        <v>#VALUE!</v>
      </c>
      <c r="AI716" s="1" t="e">
        <f>ABS(NETWORKDAYS.INTL("7/29/2024", "06/24/24", 1, {"01/01/2024","01/15/2024","02/19/2024","05/27/2024","07/04/2024","09/02/2024","10/14/2024","11/11/2024","11/28/2024","12/25/2024","12/25/2024","12/26/2024","12/27/2024","12/28/2024","12/29/2024","12/30/2024","31/25/2024","01/01/2024","01/02/2024","01/03/2024","01/04/2024","01/05/2024"}))</f>
        <v>#VALUE!</v>
      </c>
      <c r="AJ716" s="1" t="b">
        <v>1</v>
      </c>
      <c r="AK716" s="1"/>
      <c r="AL716" s="1"/>
      <c r="AM716" s="1"/>
      <c r="AN716" s="1"/>
      <c r="AO716" s="1"/>
      <c r="AP716" s="1" t="b">
        <v>1</v>
      </c>
      <c r="AQ716" s="1"/>
      <c r="AR716" s="1"/>
      <c r="AS716" s="1"/>
      <c r="AT716" s="1"/>
      <c r="AU716" s="1"/>
      <c r="AV716" s="1"/>
      <c r="AW716" s="1"/>
      <c r="AX716" s="1"/>
      <c r="AY716" s="1"/>
      <c r="AZ716" s="1" t="b">
        <v>1</v>
      </c>
    </row>
    <row r="717" spans="1:52" ht="15" customHeight="1" x14ac:dyDescent="0.35">
      <c r="A717" s="1" t="s">
        <v>2333</v>
      </c>
      <c r="B717" s="1" t="s">
        <v>2334</v>
      </c>
      <c r="C717" s="1" t="s">
        <v>988</v>
      </c>
      <c r="D717" s="1" t="s">
        <v>2188</v>
      </c>
      <c r="E717" s="1" t="s">
        <v>1336</v>
      </c>
      <c r="F717" s="9" t="s">
        <v>2335</v>
      </c>
      <c r="G717" s="1" t="s">
        <v>38</v>
      </c>
      <c r="H71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7" s="11" t="e">
        <f>ABS(NETWORKDAYS.INTL("05/17/24", "05/23/24", 1, {"01/01/2024","01/15/2024","02/19/2024","05/27/2024","07/04/2024","09/02/2024","10/14/2024","11/11/2024","11/28/2024","12/25/2024","12/25/2024","12/26/2024","12/27/2024","12/28/2024","12/29/2024","12/30/2024","31/25/2024","01/01/2024","01/02/2024","01/03/2024","01/04/2024","01/05/2024"}))</f>
        <v>#VALUE!</v>
      </c>
      <c r="J717">
        <f>0</f>
        <v>0</v>
      </c>
      <c r="K717" s="1"/>
      <c r="L717" s="1">
        <v>1</v>
      </c>
      <c r="M717" s="1" t="e">
        <f>ABS(NETWORKDAYS.INTL("06/03/24", "06/03/24", 1, {"01/01/2024","01/15/2024","02/19/2024","05/27/2024","07/04/2024","09/02/2024","10/14/2024","11/11/2024","11/28/2024","12/25/2024","12/25/2024","12/26/2024","12/27/2024","12/28/2024","12/29/2024","12/30/2024","31/25/2024","01/01/2024","01/02/2024","01/03/2024","01/04/2024","01/05/2024"}))</f>
        <v>#VALUE!</v>
      </c>
      <c r="N717" s="1">
        <f>0</f>
        <v>0</v>
      </c>
      <c r="O717" s="1">
        <f>0</f>
        <v>0</v>
      </c>
      <c r="P717" s="1"/>
      <c r="Q717" s="1">
        <v>1</v>
      </c>
      <c r="R717" s="1">
        <v>1</v>
      </c>
      <c r="S717" s="1" t="e">
        <f>ABS(NETWORKDAYS.INTL("06/06/24", "06/06/24", 1, {"01/01/2024","01/15/2024","02/19/2024","05/27/2024","07/04/2024","09/02/2024","10/14/2024","11/11/2024","11/28/2024","12/25/2024","12/25/2024","12/26/2024","12/27/2024","12/28/2024","12/29/2024","12/30/2024","31/25/2024","01/01/2024","01/02/2024","01/03/2024","01/04/2024","01/05/2024"}))</f>
        <v>#VALUE!</v>
      </c>
      <c r="T717" s="1">
        <f>0</f>
        <v>0</v>
      </c>
      <c r="U717" s="1"/>
      <c r="V717" s="1">
        <v>2</v>
      </c>
      <c r="W717" s="1">
        <v>1</v>
      </c>
      <c r="X717" s="1" t="e">
        <f>ABS(NETWORKDAYS.INTL("06/06/24", "06/11/24", 1, {"01/01/2024","01/15/2024","02/19/2024","05/27/2024","07/04/2024","09/02/2024","10/14/2024","11/11/2024","11/28/2024","12/25/2024","12/25/2024","12/26/2024","12/27/2024","12/28/2024","12/29/2024","12/30/2024","31/25/2024","01/01/2024","01/02/2024","01/03/2024","01/04/2024","01/05/2024"}))</f>
        <v>#VALUE!</v>
      </c>
      <c r="Y717" s="1" t="e">
        <f>ABS(NETWORKDAYS.INTL("06/11/24", "06/12/24", 1, {"01/01/2024","01/15/2024","02/19/2024","05/27/2024","07/04/2024","09/02/2024","10/14/2024","11/11/2024","11/28/2024","12/25/2024","12/25/2024","12/26/2024","12/27/2024","12/28/2024","12/29/2024","12/30/2024","31/25/2024","01/01/2024","01/02/2024","01/03/2024","01/04/2024","01/05/2024"}))</f>
        <v>#VALUE!</v>
      </c>
      <c r="Z717" s="1">
        <f>0</f>
        <v>0</v>
      </c>
      <c r="AA717" s="1"/>
      <c r="AB717" s="5">
        <v>45456</v>
      </c>
      <c r="AC717" s="1"/>
      <c r="AD717" s="1" t="e">
        <f>ABS(NETWORKDAYS.INTL("06/03/24", "05/23/24", 1, {"01/01/2024","01/15/2024","02/19/2024","05/27/2024","07/04/2024","09/02/2024","10/14/2024","11/11/2024","11/28/2024","12/25/2024","12/25/2024","12/26/2024","12/27/2024","12/28/2024","12/29/2024","12/30/2024","31/25/2024","01/01/2024","01/02/2024","01/03/2024","01/04/2024","01/05/2024"}))</f>
        <v>#VALUE!</v>
      </c>
      <c r="AE717" s="1">
        <f>0</f>
        <v>0</v>
      </c>
      <c r="AF717" s="1" t="e">
        <f>ABS(NETWORKDAYS.INTL("06/03/24", "06/03/24", 1, {"01/01/2024","01/15/2024","02/19/2024","05/27/2024","07/04/2024","09/02/2024","10/14/2024","11/11/2024","11/28/2024","12/25/2024","12/25/2024","12/26/2024","12/27/2024","12/28/2024","12/29/2024","12/30/2024","31/25/2024","01/01/2024","01/02/2024","01/03/2024","01/04/2024","01/05/2024"}))</f>
        <v>#VALUE!</v>
      </c>
      <c r="AG717" s="1" t="e">
        <f>ABS(NETWORKDAYS.INTL("06/06/24", "06/03/24", 1, {"01/01/2024","01/15/2024","02/19/2024","05/27/2024","07/04/2024","09/02/2024","10/14/2024","11/11/2024","11/28/2024","12/25/2024","12/25/2024","12/26/2024","12/27/2024","12/28/2024","12/29/2024","12/30/2024","31/25/2024","01/01/2024","01/02/2024","01/03/2024","01/04/2024","01/05/2024"}))</f>
        <v>#VALUE!</v>
      </c>
      <c r="AH717" s="1" t="e">
        <f>ABS(NETWORKDAYS.INTL("06/06/24", "06/06/24", 1, {"01/01/2024","01/15/2024","02/19/2024","05/27/2024","07/04/2024","09/02/2024","10/14/2024","11/11/2024","11/28/2024","12/25/2024","12/25/2024","12/26/2024","12/27/2024","12/28/2024","12/29/2024","12/30/2024","31/25/2024","01/01/2024","01/02/2024","01/03/2024","01/04/2024","01/05/2024"}))</f>
        <v>#VALUE!</v>
      </c>
      <c r="AI717" s="1">
        <f>0</f>
        <v>0</v>
      </c>
      <c r="AJ717" s="1" t="b">
        <v>1</v>
      </c>
      <c r="AK717" s="1"/>
      <c r="AL717" s="1"/>
      <c r="AM717" s="1"/>
      <c r="AN717" s="1"/>
      <c r="AO717" s="1"/>
      <c r="AP717" s="1" t="b">
        <v>1</v>
      </c>
      <c r="AQ717" s="1"/>
      <c r="AR717" s="1"/>
      <c r="AS717" s="1"/>
      <c r="AT717" s="1"/>
      <c r="AU717" s="1"/>
      <c r="AV717" s="1"/>
      <c r="AW717" s="1"/>
      <c r="AX717" s="1"/>
      <c r="AY717" s="1" t="b">
        <v>1</v>
      </c>
      <c r="AZ717" s="1"/>
    </row>
    <row r="718" spans="1:52" ht="15" customHeight="1" x14ac:dyDescent="0.35">
      <c r="A718" s="1" t="s">
        <v>2336</v>
      </c>
      <c r="B718" s="1" t="s">
        <v>2337</v>
      </c>
      <c r="C718" s="1" t="s">
        <v>1692</v>
      </c>
      <c r="D718" s="1" t="s">
        <v>2338</v>
      </c>
      <c r="E718" s="1" t="s">
        <v>2079</v>
      </c>
      <c r="F718" s="9" t="s">
        <v>2339</v>
      </c>
      <c r="G718" s="1" t="s">
        <v>38</v>
      </c>
      <c r="H71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18" s="11" t="e">
        <f>ABS(NETWORKDAYS.INTL("05/20/24", "05/21/24", 1, {"01/01/2024","01/15/2024","02/19/2024","05/27/2024","07/04/2024","09/02/2024","10/14/2024","11/11/2024","11/28/2024","12/25/2024","12/25/2024","12/26/2024","12/27/2024","12/28/2024","12/29/2024","12/30/2024","31/25/2024","01/01/2024","01/02/2024","01/03/2024","01/04/2024","01/05/2024"}))</f>
        <v>#VALUE!</v>
      </c>
      <c r="J718">
        <f>0</f>
        <v>0</v>
      </c>
      <c r="K718" s="1"/>
      <c r="L718" s="1">
        <v>1</v>
      </c>
      <c r="M718" s="1" t="e">
        <f>ABS(NETWORKDAYS.INTL("05/21/24", "05/21/24", 1, {"01/01/2024","01/15/2024","02/19/2024","05/27/2024","07/04/2024","09/02/2024","10/14/2024","11/11/2024","11/28/2024","12/25/2024","12/25/2024","12/26/2024","12/27/2024","12/28/2024","12/29/2024","12/30/2024","31/25/2024","01/01/2024","01/02/2024","01/03/2024","01/04/2024","01/05/2024"}))</f>
        <v>#VALUE!</v>
      </c>
      <c r="N718" s="1">
        <f>0</f>
        <v>0</v>
      </c>
      <c r="O718" s="1">
        <f>0</f>
        <v>0</v>
      </c>
      <c r="P718" s="1"/>
      <c r="Q718" s="1">
        <v>3</v>
      </c>
      <c r="R718" s="1">
        <v>3</v>
      </c>
      <c r="S718" s="1" t="e">
        <f>ABS(NETWORKDAYS.INTL("05/23/24", "05/23/24", 1, {"01/01/2024","01/15/2024","02/19/2024","05/27/2024","07/04/2024","09/02/2024","10/14/2024","11/11/2024","11/28/2024","12/25/2024","12/25/2024","12/26/2024","12/27/2024","12/28/2024","12/29/2024","12/30/2024","31/25/2024","01/01/2024","01/02/2024","01/03/2024","01/04/2024","01/05/2024"})+NETWORKDAYS.INTL("05/24/24", "05/24/24", 1, {"01/01/2024","01/15/2024","02/19/2024","05/27/2024","07/04/2024","09/02/2024","10/14/2024","11/11/2024","11/28/2024","12/25/2024","12/25/2024","12/26/2024","12/27/2024","12/28/2024","12/29/2024","12/30/2024","31/25/2024","01/01/2024","01/02/2024","01/03/2024","01/04/2024","01/05/2024"}))</f>
        <v>#VALUE!</v>
      </c>
      <c r="T718" s="1">
        <f>0</f>
        <v>0</v>
      </c>
      <c r="U718" s="1"/>
      <c r="V718" s="1">
        <v>2</v>
      </c>
      <c r="W718" s="1">
        <v>2</v>
      </c>
      <c r="X718" s="1" t="e">
        <f>ABS(NETWORKDAYS.INTL("06/06/24", "06/11/24", 1, {"01/01/2024","01/15/2024","02/19/2024","05/27/2024","07/04/2024","09/02/2024","10/14/2024","11/11/2024","11/28/2024","12/25/2024","12/25/2024","12/26/2024","12/27/2024","12/28/2024","12/29/2024","12/30/2024","31/25/2024","01/01/2024","01/02/2024","01/03/2024","01/04/2024","01/05/2024"})+NETWORKDAYS.INTL("06/12/24", "06/12/24", 1, {"01/01/2024","01/15/2024","02/19/2024","05/27/2024","07/04/2024","09/02/2024","10/14/2024","11/11/2024","11/28/2024","12/25/2024","12/25/2024","12/26/2024","12/27/2024","12/28/2024","12/29/2024","12/30/2024","31/25/2024","01/01/2024","01/02/2024","01/03/2024","01/04/2024","01/05/2024"}))</f>
        <v>#VALUE!</v>
      </c>
      <c r="Y718" s="1" t="e">
        <f>ABS(NETWORKDAYS.INTL("06/11/24", "06/11/24", 1, {"01/01/2024","01/15/2024","02/19/2024","05/27/2024","07/04/2024","09/02/2024","10/14/2024","11/11/2024","11/28/2024","12/25/2024","12/25/2024","12/26/2024","12/27/2024","12/28/2024","12/29/2024","12/30/2024","31/25/2024","01/01/2024","01/02/2024","01/03/2024","01/04/2024","01/05/2024"}))</f>
        <v>#VALUE!</v>
      </c>
      <c r="Z718" s="1">
        <f>0</f>
        <v>0</v>
      </c>
      <c r="AA718" s="1"/>
      <c r="AB718" s="5">
        <v>45455</v>
      </c>
      <c r="AC718" s="1"/>
      <c r="AD718" s="1" t="e">
        <f>ABS(NETWORKDAYS.INTL("05/21/24", "05/21/24", 1, {"01/01/2024","01/15/2024","02/19/2024","05/27/2024","07/04/2024","09/02/2024","10/14/2024","11/11/2024","11/28/2024","12/25/2024","12/25/2024","12/26/2024","12/27/2024","12/28/2024","12/29/2024","12/30/2024","31/25/2024","01/01/2024","01/02/2024","01/03/2024","01/04/2024","01/05/2024"}))</f>
        <v>#VALUE!</v>
      </c>
      <c r="AE718" s="1">
        <f>0</f>
        <v>0</v>
      </c>
      <c r="AF718" s="1" t="e">
        <f>ABS(NETWORKDAYS.INTL("05/22/24", "05/21/24", 1, {"01/01/2024","01/15/2024","02/19/2024","05/27/2024","07/04/2024","09/02/2024","10/14/2024","11/11/2024","11/28/2024","12/25/2024","12/25/2024","12/26/2024","12/27/2024","12/28/2024","12/29/2024","12/30/2024","31/25/2024","01/01/2024","01/02/2024","01/03/2024","01/04/2024","01/05/2024"}))</f>
        <v>#VALUE!</v>
      </c>
      <c r="AG718" s="1" t="e">
        <f>ABS(NETWORKDAYS.INTL("06/06/24", "05/22/24", 1, {"01/01/2024","01/15/2024","02/19/2024","05/27/2024","07/04/2024","09/02/2024","10/14/2024","11/11/2024","11/28/2024","12/25/2024","12/25/2024","12/26/2024","12/27/2024","12/28/2024","12/29/2024","12/30/2024","31/25/2024","01/01/2024","01/02/2024","01/03/2024","01/04/2024","01/05/2024"}))</f>
        <v>#VALUE!</v>
      </c>
      <c r="AH718" s="1" t="e">
        <f>ABS(NETWORKDAYS.INTL("06/06/24", "06/06/24", 1, {"01/01/2024","01/15/2024","02/19/2024","05/27/2024","07/04/2024","09/02/2024","10/14/2024","11/11/2024","11/28/2024","12/25/2024","12/25/2024","12/26/2024","12/27/2024","12/28/2024","12/29/2024","12/30/2024","31/25/2024","01/01/2024","01/02/2024","01/03/2024","01/04/2024","01/05/2024"}))</f>
        <v>#VALUE!</v>
      </c>
      <c r="AI718" s="1">
        <f>0</f>
        <v>0</v>
      </c>
      <c r="AJ718" s="1" t="b">
        <v>1</v>
      </c>
      <c r="AK718" s="1"/>
      <c r="AL718" s="1"/>
      <c r="AM718" s="1"/>
      <c r="AN718" s="1"/>
      <c r="AO718" s="1"/>
      <c r="AP718" s="1" t="b">
        <v>1</v>
      </c>
      <c r="AQ718" s="1"/>
      <c r="AR718" s="1"/>
      <c r="AS718" s="1"/>
      <c r="AT718" s="1"/>
      <c r="AU718" s="1"/>
      <c r="AV718" s="1"/>
      <c r="AW718" s="1"/>
      <c r="AX718" s="1"/>
      <c r="AY718" s="1" t="b">
        <v>1</v>
      </c>
      <c r="AZ718" s="1"/>
    </row>
    <row r="719" spans="1:52" ht="15" customHeight="1" x14ac:dyDescent="0.35">
      <c r="A719" s="1" t="s">
        <v>2340</v>
      </c>
      <c r="B719" s="1" t="s">
        <v>2341</v>
      </c>
      <c r="C719" s="1" t="s">
        <v>988</v>
      </c>
      <c r="D719" s="1" t="s">
        <v>2002</v>
      </c>
      <c r="E719" s="1" t="s">
        <v>1983</v>
      </c>
      <c r="F719" s="9" t="s">
        <v>2342</v>
      </c>
      <c r="G719" s="1" t="s">
        <v>38</v>
      </c>
      <c r="H71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19" s="11" t="e">
        <f>ABS(NETWORKDAYS.INTL("05/29/24", "05/31/24", 1, {"01/01/2024","01/15/2024","02/19/2024","05/27/2024","07/04/2024","09/02/2024","10/14/2024","11/11/2024","11/28/2024","12/25/2024","12/25/2024","12/26/2024","12/27/2024","12/28/2024","12/29/2024","12/30/2024","31/25/2024","01/01/2024","01/02/2024","01/03/2024","01/04/2024","01/05/2024"}))</f>
        <v>#VALUE!</v>
      </c>
      <c r="J719">
        <f>0</f>
        <v>0</v>
      </c>
      <c r="K719" s="1"/>
      <c r="L719" s="1">
        <v>1</v>
      </c>
      <c r="M719" s="1" t="e">
        <f>ABS(NETWORKDAYS.INTL("06/14/24", "06/14/24", 1, {"01/01/2024","01/15/2024","02/19/2024","05/27/2024","07/04/2024","09/02/2024","10/14/2024","11/11/2024","11/28/2024","12/25/2024","12/25/2024","12/26/2024","12/27/2024","12/28/2024","12/29/2024","12/30/2024","31/25/2024","01/01/2024","01/02/2024","01/03/2024","01/04/2024","01/05/2024"}))</f>
        <v>#VALUE!</v>
      </c>
      <c r="N719" s="1">
        <f>0</f>
        <v>0</v>
      </c>
      <c r="O719" s="1">
        <f>0</f>
        <v>0</v>
      </c>
      <c r="P719" s="1"/>
      <c r="Q719" s="1">
        <v>0</v>
      </c>
      <c r="R719" s="1">
        <v>0</v>
      </c>
      <c r="S719" s="1">
        <f>0</f>
        <v>0</v>
      </c>
      <c r="T719" s="1">
        <f>0</f>
        <v>0</v>
      </c>
      <c r="U719" s="1"/>
      <c r="V719" s="1">
        <v>1</v>
      </c>
      <c r="W719" s="1">
        <v>1</v>
      </c>
      <c r="X719" s="1" t="e">
        <f>ABS(NETWORKDAYS.INTL("06/14/24", "06/19/24", 1, {"01/01/2024","01/15/2024","02/19/2024","05/27/2024","07/04/2024","09/02/2024","10/14/2024","11/11/2024","11/28/2024","12/25/2024","12/25/2024","12/26/2024","12/27/2024","12/28/2024","12/29/2024","12/30/2024","31/25/2024","01/01/2024","01/02/2024","01/03/2024","01/04/2024","01/05/2024"}))</f>
        <v>#VALUE!</v>
      </c>
      <c r="Y719" s="1">
        <f>0</f>
        <v>0</v>
      </c>
      <c r="Z719" s="1">
        <f>0</f>
        <v>0</v>
      </c>
      <c r="AA719" s="1"/>
      <c r="AB719" s="5">
        <v>45468</v>
      </c>
      <c r="AC719" s="1"/>
      <c r="AD719" s="1" t="e">
        <f>ABS(NETWORKDAYS.INTL("06/14/24", "05/31/24", 1, {"01/01/2024","01/15/2024","02/19/2024","05/27/2024","07/04/2024","09/02/2024","10/14/2024","11/11/2024","11/28/2024","12/25/2024","12/25/2024","12/26/2024","12/27/2024","12/28/2024","12/29/2024","12/30/2024","31/25/2024","01/01/2024","01/02/2024","01/03/2024","01/04/2024","01/05/2024"}))</f>
        <v>#VALUE!</v>
      </c>
      <c r="AE719" s="1">
        <f>0</f>
        <v>0</v>
      </c>
      <c r="AF719" s="1">
        <f>0</f>
        <v>0</v>
      </c>
      <c r="AG719" s="1" t="e">
        <f>ABS(NETWORKDAYS.INTL("06/14/24", "08/05/24", 1, {"01/01/2024","01/15/2024","02/19/2024","05/27/2024","07/04/2024","09/02/2024","10/14/2024","11/11/2024","11/28/2024","12/25/2024","12/25/2024","12/26/2024","12/27/2024","12/28/2024","12/29/2024","12/30/2024","31/25/2024","01/01/2024","01/02/2024","01/03/2024","01/04/2024","01/05/2024"}))</f>
        <v>#VALUE!</v>
      </c>
      <c r="AH719" s="1" t="e">
        <f>ABS(NETWORKDAYS.INTL("06/14/24", "06/14/24", 1, {"01/01/2024","01/15/2024","02/19/2024","05/27/2024","07/04/2024","09/02/2024","10/14/2024","11/11/2024","11/28/2024","12/25/2024","12/25/2024","12/26/2024","12/27/2024","12/28/2024","12/29/2024","12/30/2024","31/25/2024","01/01/2024","01/02/2024","01/03/2024","01/04/2024","01/05/2024"}))</f>
        <v>#VALUE!</v>
      </c>
      <c r="AI719" s="1">
        <f>0</f>
        <v>0</v>
      </c>
      <c r="AJ719" s="1" t="b">
        <v>1</v>
      </c>
      <c r="AK719" s="1"/>
      <c r="AL719" s="1"/>
      <c r="AM719" s="1"/>
      <c r="AN719" s="1"/>
      <c r="AO719" s="1"/>
      <c r="AP719" s="1" t="b">
        <v>1</v>
      </c>
      <c r="AQ719" s="1"/>
      <c r="AR719" s="1"/>
      <c r="AS719" s="1"/>
      <c r="AT719" s="1"/>
      <c r="AU719" s="1"/>
      <c r="AV719" s="1"/>
      <c r="AW719" s="1"/>
      <c r="AX719" s="1"/>
      <c r="AY719" s="1"/>
      <c r="AZ719" s="1" t="b">
        <v>1</v>
      </c>
    </row>
    <row r="720" spans="1:52" ht="15" customHeight="1" x14ac:dyDescent="0.35">
      <c r="A720" s="1" t="s">
        <v>2343</v>
      </c>
      <c r="B720" s="1" t="s">
        <v>2344</v>
      </c>
      <c r="C720" s="1" t="s">
        <v>988</v>
      </c>
      <c r="D720" s="1" t="s">
        <v>2061</v>
      </c>
      <c r="E720" s="1" t="s">
        <v>1983</v>
      </c>
      <c r="F720" s="9" t="s">
        <v>2345</v>
      </c>
      <c r="G720" s="1" t="s">
        <v>38</v>
      </c>
      <c r="H72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0" s="11" t="e">
        <f>ABS(NETWORKDAYS.INTL("05/29/24", "05/29/24", 1, {"01/01/2024","01/15/2024","02/19/2024","05/27/2024","07/04/2024","09/02/2024","10/14/2024","11/11/2024","11/28/2024","12/25/2024","12/25/2024","12/26/2024","12/27/2024","12/28/2024","12/29/2024","12/30/2024","31/25/2024","01/01/2024","01/02/2024","01/03/2024","01/04/2024","01/05/2024"}))</f>
        <v>#VALUE!</v>
      </c>
      <c r="J720">
        <f>0</f>
        <v>0</v>
      </c>
      <c r="K720" s="1"/>
      <c r="L720" s="1">
        <v>1</v>
      </c>
      <c r="M720" s="1" t="e">
        <f>ABS(NETWORKDAYS.INTL("06/14/24", "06/14/24", 1, {"01/01/2024","01/15/2024","02/19/2024","05/27/2024","07/04/2024","09/02/2024","10/14/2024","11/11/2024","11/28/2024","12/25/2024","12/25/2024","12/26/2024","12/27/2024","12/28/2024","12/29/2024","12/30/2024","31/25/2024","01/01/2024","01/02/2024","01/03/2024","01/04/2024","01/05/2024"}))</f>
        <v>#VALUE!</v>
      </c>
      <c r="N720" s="1">
        <f>0</f>
        <v>0</v>
      </c>
      <c r="O720" s="1">
        <f>0</f>
        <v>0</v>
      </c>
      <c r="P720" s="1"/>
      <c r="Q720" s="1">
        <v>0</v>
      </c>
      <c r="R720" s="1">
        <v>0</v>
      </c>
      <c r="S720" s="1">
        <f>0</f>
        <v>0</v>
      </c>
      <c r="T720" s="1">
        <f>0</f>
        <v>0</v>
      </c>
      <c r="U720" s="1"/>
      <c r="V720" s="1">
        <v>1</v>
      </c>
      <c r="W720" s="1">
        <v>1</v>
      </c>
      <c r="X720" s="1" t="e">
        <f>ABS(NETWORKDAYS.INTL("06/14/24", "06/19/24", 1, {"01/01/2024","01/15/2024","02/19/2024","05/27/2024","07/04/2024","09/02/2024","10/14/2024","11/11/2024","11/28/2024","12/25/2024","12/25/2024","12/26/2024","12/27/2024","12/28/2024","12/29/2024","12/30/2024","31/25/2024","01/01/2024","01/02/2024","01/03/2024","01/04/2024","01/05/2024"}))</f>
        <v>#VALUE!</v>
      </c>
      <c r="Y720" s="1">
        <f>0</f>
        <v>0</v>
      </c>
      <c r="Z720" s="1">
        <f>0</f>
        <v>0</v>
      </c>
      <c r="AA720" s="1"/>
      <c r="AB720" s="5">
        <v>45468</v>
      </c>
      <c r="AC720" s="5">
        <v>45502</v>
      </c>
      <c r="AD720" s="1" t="e">
        <f>ABS(NETWORKDAYS.INTL("06/14/24", "05/29/24", 1, {"01/01/2024","01/15/2024","02/19/2024","05/27/2024","07/04/2024","09/02/2024","10/14/2024","11/11/2024","11/28/2024","12/25/2024","12/25/2024","12/26/2024","12/27/2024","12/28/2024","12/29/2024","12/30/2024","31/25/2024","01/01/2024","01/02/2024","01/03/2024","01/04/2024","01/05/2024"}))</f>
        <v>#VALUE!</v>
      </c>
      <c r="AE720" s="1">
        <f>0</f>
        <v>0</v>
      </c>
      <c r="AF720" s="1">
        <f>0</f>
        <v>0</v>
      </c>
      <c r="AG720" s="1" t="e">
        <f>ABS(NETWORKDAYS.INTL("06/14/24", "08/05/24", 1, {"01/01/2024","01/15/2024","02/19/2024","05/27/2024","07/04/2024","09/02/2024","10/14/2024","11/11/2024","11/28/2024","12/25/2024","12/25/2024","12/26/2024","12/27/2024","12/28/2024","12/29/2024","12/30/2024","31/25/2024","01/01/2024","01/02/2024","01/03/2024","01/04/2024","01/05/2024"}))</f>
        <v>#VALUE!</v>
      </c>
      <c r="AH720" s="1" t="e">
        <f>ABS(NETWORKDAYS.INTL("06/14/24", "06/14/24", 1, {"01/01/2024","01/15/2024","02/19/2024","05/27/2024","07/04/2024","09/02/2024","10/14/2024","11/11/2024","11/28/2024","12/25/2024","12/25/2024","12/26/2024","12/27/2024","12/28/2024","12/29/2024","12/30/2024","31/25/2024","01/01/2024","01/02/2024","01/03/2024","01/04/2024","01/05/2024"}))</f>
        <v>#VALUE!</v>
      </c>
      <c r="AI720" s="1" t="e">
        <f>ABS(NETWORKDAYS.INTL("7/29/2024", "06/25/24", 1, {"01/01/2024","01/15/2024","02/19/2024","05/27/2024","07/04/2024","09/02/2024","10/14/2024","11/11/2024","11/28/2024","12/25/2024","12/25/2024","12/26/2024","12/27/2024","12/28/2024","12/29/2024","12/30/2024","31/25/2024","01/01/2024","01/02/2024","01/03/2024","01/04/2024","01/05/2024"}))</f>
        <v>#VALUE!</v>
      </c>
      <c r="AJ720" s="1" t="b">
        <v>1</v>
      </c>
      <c r="AK720" s="1"/>
      <c r="AL720" s="1"/>
      <c r="AM720" s="1"/>
      <c r="AN720" s="1"/>
      <c r="AO720" s="1"/>
      <c r="AP720" s="1" t="b">
        <v>1</v>
      </c>
      <c r="AQ720" s="1"/>
      <c r="AR720" s="1"/>
      <c r="AS720" s="1"/>
      <c r="AT720" s="1"/>
      <c r="AU720" s="1"/>
      <c r="AV720" s="1"/>
      <c r="AW720" s="1"/>
      <c r="AX720" s="1"/>
      <c r="AY720" s="1"/>
      <c r="AZ720" s="1" t="b">
        <v>1</v>
      </c>
    </row>
    <row r="721" spans="1:52" ht="15" customHeight="1" x14ac:dyDescent="0.35">
      <c r="A721" s="1" t="s">
        <v>2346</v>
      </c>
      <c r="B721" s="1" t="s">
        <v>2347</v>
      </c>
      <c r="C721" s="1" t="s">
        <v>640</v>
      </c>
      <c r="D721" s="1"/>
      <c r="E721" s="1" t="s">
        <v>2328</v>
      </c>
      <c r="F721" s="9" t="s">
        <v>2348</v>
      </c>
      <c r="G721" s="1" t="s">
        <v>38</v>
      </c>
      <c r="H72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21" s="11">
        <f>0</f>
        <v>0</v>
      </c>
      <c r="J721">
        <f>0</f>
        <v>0</v>
      </c>
      <c r="K721" s="1"/>
      <c r="L721" s="1">
        <v>0</v>
      </c>
      <c r="M721" s="1">
        <f>0</f>
        <v>0</v>
      </c>
      <c r="N721" s="1">
        <f>0</f>
        <v>0</v>
      </c>
      <c r="O721" s="1">
        <f>0</f>
        <v>0</v>
      </c>
      <c r="P721" s="1"/>
      <c r="Q721" s="1">
        <v>0</v>
      </c>
      <c r="R721" s="1">
        <v>0</v>
      </c>
      <c r="S721" s="1">
        <f>0</f>
        <v>0</v>
      </c>
      <c r="T721" s="1">
        <f>0</f>
        <v>0</v>
      </c>
      <c r="U721" s="1"/>
      <c r="V721" s="1">
        <v>0</v>
      </c>
      <c r="W721" s="1">
        <v>0</v>
      </c>
      <c r="X721" s="1">
        <f>0</f>
        <v>0</v>
      </c>
      <c r="Y721" s="1">
        <f>0</f>
        <v>0</v>
      </c>
      <c r="Z721" s="1">
        <f>0</f>
        <v>0</v>
      </c>
      <c r="AA721" s="1"/>
      <c r="AB721" s="5"/>
      <c r="AC721" s="1"/>
      <c r="AD721" s="1">
        <f>0</f>
        <v>0</v>
      </c>
      <c r="AE721" s="1">
        <f>0</f>
        <v>0</v>
      </c>
      <c r="AF721" s="1">
        <f>0</f>
        <v>0</v>
      </c>
      <c r="AG721" s="1">
        <f>0</f>
        <v>0</v>
      </c>
      <c r="AH721" s="1">
        <f>0</f>
        <v>0</v>
      </c>
      <c r="AI721" s="1">
        <f>0</f>
        <v>0</v>
      </c>
      <c r="AJ721" s="1" t="b">
        <v>1</v>
      </c>
      <c r="AK721" s="1"/>
      <c r="AL721" s="1"/>
      <c r="AM721" s="1"/>
      <c r="AN721" s="1"/>
      <c r="AO721" s="1"/>
      <c r="AP721" s="1"/>
      <c r="AQ721" s="1"/>
      <c r="AR721" s="1"/>
      <c r="AS721" s="1"/>
      <c r="AT721" s="1" t="b">
        <v>1</v>
      </c>
      <c r="AU721" s="1"/>
      <c r="AV721" s="1" t="b">
        <v>1</v>
      </c>
      <c r="AW721" s="1"/>
      <c r="AX721" s="1"/>
      <c r="AY721" s="1" t="b">
        <v>1</v>
      </c>
      <c r="AZ721" s="1"/>
    </row>
    <row r="722" spans="1:52" ht="15" customHeight="1" x14ac:dyDescent="0.35">
      <c r="A722" s="1" t="s">
        <v>2349</v>
      </c>
      <c r="B722" s="1" t="s">
        <v>2350</v>
      </c>
      <c r="C722" s="1" t="s">
        <v>1157</v>
      </c>
      <c r="D722" s="1" t="s">
        <v>1982</v>
      </c>
      <c r="E722" s="1" t="s">
        <v>1983</v>
      </c>
      <c r="F722" s="9" t="s">
        <v>2351</v>
      </c>
      <c r="G722" s="1" t="s">
        <v>38</v>
      </c>
      <c r="H72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2" s="11" t="e">
        <f>ABS(NETWORKDAYS.INTL("05/29/24", "05/29/24", 1, {"01/01/2024","01/15/2024","02/19/2024","05/27/2024","07/04/2024","09/02/2024","10/14/2024","11/11/2024","11/28/2024","12/25/2024","12/25/2024","12/26/2024","12/27/2024","12/28/2024","12/29/2024","12/30/2024","31/25/2024","01/01/2024","01/02/2024","01/03/2024","01/04/2024","01/05/2024"}))</f>
        <v>#VALUE!</v>
      </c>
      <c r="J722">
        <f>0</f>
        <v>0</v>
      </c>
      <c r="K722" s="1"/>
      <c r="L722" s="1">
        <v>1</v>
      </c>
      <c r="M722" s="1" t="e">
        <f>ABS(NETWORKDAYS.INTL("06/17/24", "06/18/24", 1, {"01/01/2024","01/15/2024","02/19/2024","05/27/2024","07/04/2024","09/02/2024","10/14/2024","11/11/2024","11/28/2024","12/25/2024","12/25/2024","12/26/2024","12/27/2024","12/28/2024","12/29/2024","12/30/2024","31/25/2024","01/01/2024","01/02/2024","01/03/2024","01/04/2024","01/05/2024"}))</f>
        <v>#VALUE!</v>
      </c>
      <c r="N722" s="1">
        <f>0</f>
        <v>0</v>
      </c>
      <c r="O722" s="1">
        <f>0</f>
        <v>0</v>
      </c>
      <c r="P722" s="1"/>
      <c r="Q722" s="1">
        <v>0</v>
      </c>
      <c r="R722" s="1">
        <v>0</v>
      </c>
      <c r="S722" s="1">
        <f>0</f>
        <v>0</v>
      </c>
      <c r="T722" s="1">
        <f>0</f>
        <v>0</v>
      </c>
      <c r="U722" s="1"/>
      <c r="V722" s="1">
        <v>1</v>
      </c>
      <c r="W722" s="1">
        <v>1</v>
      </c>
      <c r="X722" s="1" t="e">
        <f>ABS(NETWORKDAYS.INTL("06/18/24", "06/19/24", 1, {"01/01/2024","01/15/2024","02/19/2024","05/27/2024","07/04/2024","09/02/2024","10/14/2024","11/11/2024","11/28/2024","12/25/2024","12/25/2024","12/26/2024","12/27/2024","12/28/2024","12/29/2024","12/30/2024","31/25/2024","01/01/2024","01/02/2024","01/03/2024","01/04/2024","01/05/2024"}))</f>
        <v>#VALUE!</v>
      </c>
      <c r="Y722" s="1">
        <f>0</f>
        <v>0</v>
      </c>
      <c r="Z722" s="1">
        <f>0</f>
        <v>0</v>
      </c>
      <c r="AA722" s="1"/>
      <c r="AB722" s="5">
        <v>45467</v>
      </c>
      <c r="AC722" s="1"/>
      <c r="AD722" s="1" t="e">
        <f>ABS(NETWORKDAYS.INTL("06/17/24", "05/29/24", 1, {"01/01/2024","01/15/2024","02/19/2024","05/27/2024","07/04/2024","09/02/2024","10/14/2024","11/11/2024","11/28/2024","12/25/2024","12/25/2024","12/26/2024","12/27/2024","12/28/2024","12/29/2024","12/30/2024","31/25/2024","01/01/2024","01/02/2024","01/03/2024","01/04/2024","01/05/2024"}))</f>
        <v>#VALUE!</v>
      </c>
      <c r="AE722" s="1">
        <f>0</f>
        <v>0</v>
      </c>
      <c r="AF722" s="1">
        <f>0</f>
        <v>0</v>
      </c>
      <c r="AG722" s="1" t="e">
        <f>ABS(NETWORKDAYS.INTL("06/18/24", "08/05/24", 1, {"01/01/2024","01/15/2024","02/19/2024","05/27/2024","07/04/2024","09/02/2024","10/14/2024","11/11/2024","11/28/2024","12/25/2024","12/25/2024","12/26/2024","12/27/2024","12/28/2024","12/29/2024","12/30/2024","31/25/2024","01/01/2024","01/02/2024","01/03/2024","01/04/2024","01/05/2024"}))</f>
        <v>#VALUE!</v>
      </c>
      <c r="AH722" s="1" t="e">
        <f>ABS(NETWORKDAYS.INTL("06/18/24", "06/18/24", 1, {"01/01/2024","01/15/2024","02/19/2024","05/27/2024","07/04/2024","09/02/2024","10/14/2024","11/11/2024","11/28/2024","12/25/2024","12/25/2024","12/26/2024","12/27/2024","12/28/2024","12/29/2024","12/30/2024","31/25/2024","01/01/2024","01/02/2024","01/03/2024","01/04/2024","01/05/2024"}))</f>
        <v>#VALUE!</v>
      </c>
      <c r="AI722" s="1">
        <f>0</f>
        <v>0</v>
      </c>
      <c r="AJ722" s="1" t="b">
        <v>1</v>
      </c>
      <c r="AK722" s="1"/>
      <c r="AL722" s="1"/>
      <c r="AM722" s="1"/>
      <c r="AN722" s="1"/>
      <c r="AO722" s="1"/>
      <c r="AP722" s="1" t="b">
        <v>1</v>
      </c>
      <c r="AQ722" s="1"/>
      <c r="AR722" s="1"/>
      <c r="AS722" s="1"/>
      <c r="AT722" s="1"/>
      <c r="AU722" s="1"/>
      <c r="AV722" s="1"/>
      <c r="AW722" s="1"/>
      <c r="AX722" s="1"/>
      <c r="AY722" s="1"/>
      <c r="AZ722" s="1" t="b">
        <v>1</v>
      </c>
    </row>
    <row r="723" spans="1:52" ht="15" customHeight="1" x14ac:dyDescent="0.35">
      <c r="A723" s="1" t="s">
        <v>2352</v>
      </c>
      <c r="B723" s="1" t="s">
        <v>2353</v>
      </c>
      <c r="C723" s="1" t="s">
        <v>988</v>
      </c>
      <c r="D723" s="1" t="s">
        <v>2354</v>
      </c>
      <c r="E723" s="1" t="s">
        <v>1983</v>
      </c>
      <c r="F723" s="9" t="s">
        <v>2355</v>
      </c>
      <c r="G723" s="1" t="s">
        <v>38</v>
      </c>
      <c r="H72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3" s="11" t="e">
        <f>ABS(NETWORKDAYS.INTL("05/29/24", "05/31/24", 1, {"01/01/2024","01/15/2024","02/19/2024","05/27/2024","07/04/2024","09/02/2024","10/14/2024","11/11/2024","11/28/2024","12/25/2024","12/25/2024","12/26/2024","12/27/2024","12/28/2024","12/29/2024","12/30/2024","31/25/2024","01/01/2024","01/02/2024","01/03/2024","01/04/2024","01/05/2024"}))</f>
        <v>#VALUE!</v>
      </c>
      <c r="J723">
        <f>0</f>
        <v>0</v>
      </c>
      <c r="K723" s="1"/>
      <c r="L723" s="1">
        <v>1</v>
      </c>
      <c r="M723" s="1" t="e">
        <f>ABS(NETWORKDAYS.INTL("06/18/24", "06/18/24", 1, {"01/01/2024","01/15/2024","02/19/2024","05/27/2024","07/04/2024","09/02/2024","10/14/2024","11/11/2024","11/28/2024","12/25/2024","12/25/2024","12/26/2024","12/27/2024","12/28/2024","12/29/2024","12/30/2024","31/25/2024","01/01/2024","01/02/2024","01/03/2024","01/04/2024","01/05/2024"}))</f>
        <v>#VALUE!</v>
      </c>
      <c r="N723" s="1">
        <f>0</f>
        <v>0</v>
      </c>
      <c r="O723" s="1">
        <f>0</f>
        <v>0</v>
      </c>
      <c r="P723" s="1"/>
      <c r="Q723" s="1">
        <v>0</v>
      </c>
      <c r="R723" s="1">
        <v>0</v>
      </c>
      <c r="S723" s="1">
        <f>0</f>
        <v>0</v>
      </c>
      <c r="T723" s="1">
        <f>0</f>
        <v>0</v>
      </c>
      <c r="U723" s="1"/>
      <c r="V723" s="1">
        <v>2</v>
      </c>
      <c r="W723" s="1">
        <v>1</v>
      </c>
      <c r="X723" s="1" t="e">
        <f>ABS(NETWORKDAYS.INTL("06/18/24", "06/19/24", 1, {"01/01/2024","01/15/2024","02/19/2024","05/27/2024","07/04/2024","09/02/2024","10/14/2024","11/11/2024","11/28/2024","12/25/2024","12/25/2024","12/26/2024","12/27/2024","12/28/2024","12/29/2024","12/30/2024","31/25/2024","01/01/2024","01/02/2024","01/03/2024","01/04/2024","01/05/2024"}))</f>
        <v>#VALUE!</v>
      </c>
      <c r="Y723" s="1" t="e">
        <f>ABS(NETWORKDAYS.INTL("07/01/24", "07/01/24", 1, {"01/01/2024","01/15/2024","02/19/2024","05/27/2024","07/04/2024","09/02/2024","10/14/2024","11/11/2024","11/28/2024","12/25/2024","12/25/2024","12/26/2024","12/27/2024","12/28/2024","12/29/2024","12/30/2024","31/25/2024","01/01/2024","01/02/2024","01/03/2024","01/04/2024","01/05/2024"}))</f>
        <v>#VALUE!</v>
      </c>
      <c r="Z723" s="1">
        <f>0</f>
        <v>0</v>
      </c>
      <c r="AA723" s="1"/>
      <c r="AB723" s="5">
        <v>45484</v>
      </c>
      <c r="AC723" s="5">
        <v>45503</v>
      </c>
      <c r="AD723" s="1" t="e">
        <f>ABS(NETWORKDAYS.INTL("06/18/24", "05/31/24", 1, {"01/01/2024","01/15/2024","02/19/2024","05/27/2024","07/04/2024","09/02/2024","10/14/2024","11/11/2024","11/28/2024","12/25/2024","12/25/2024","12/26/2024","12/27/2024","12/28/2024","12/29/2024","12/30/2024","31/25/2024","01/01/2024","01/02/2024","01/03/2024","01/04/2024","01/05/2024"}))</f>
        <v>#VALUE!</v>
      </c>
      <c r="AE723" s="1">
        <f>0</f>
        <v>0</v>
      </c>
      <c r="AF723" s="1">
        <f>0</f>
        <v>0</v>
      </c>
      <c r="AG723" s="1" t="e">
        <f>ABS(NETWORKDAYS.INTL("06/18/24", "08/05/24", 1, {"01/01/2024","01/15/2024","02/19/2024","05/27/2024","07/04/2024","09/02/2024","10/14/2024","11/11/2024","11/28/2024","12/25/2024","12/25/2024","12/26/2024","12/27/2024","12/28/2024","12/29/2024","12/30/2024","31/25/2024","01/01/2024","01/02/2024","01/03/2024","01/04/2024","01/05/2024"}))</f>
        <v>#VALUE!</v>
      </c>
      <c r="AH723" s="1" t="e">
        <f>ABS(NETWORKDAYS.INTL("06/18/24", "06/18/24", 1, {"01/01/2024","01/15/2024","02/19/2024","05/27/2024","07/04/2024","09/02/2024","10/14/2024","11/11/2024","11/28/2024","12/25/2024","12/25/2024","12/26/2024","12/27/2024","12/28/2024","12/29/2024","12/30/2024","31/25/2024","01/01/2024","01/02/2024","01/03/2024","01/04/2024","01/05/2024"}))</f>
        <v>#VALUE!</v>
      </c>
      <c r="AI723" s="1" t="e">
        <f>ABS(NETWORKDAYS.INTL("07/30/2024", "07/11/2024", 1, {"01/01/2024","01/15/2024","02/19/2024","05/27/2024","07/04/2024","09/02/2024","10/14/2024","11/11/2024","11/28/2024","12/25/2024","12/25/2024","12/26/2024","12/27/2024","12/28/2024","12/29/2024","12/30/2024","31/25/2024","01/01/2024","01/02/2024","01/03/2024","01/04/2024","01/05/2024"}))</f>
        <v>#VALUE!</v>
      </c>
      <c r="AJ723" s="1" t="b">
        <v>1</v>
      </c>
      <c r="AK723" s="1"/>
      <c r="AL723" s="1"/>
      <c r="AM723" s="1"/>
      <c r="AN723" s="1"/>
      <c r="AO723" s="1"/>
      <c r="AP723" s="1" t="b">
        <v>1</v>
      </c>
      <c r="AQ723" s="1"/>
      <c r="AR723" s="1"/>
      <c r="AS723" s="1"/>
      <c r="AT723" s="1"/>
      <c r="AU723" s="1"/>
      <c r="AV723" s="1"/>
      <c r="AW723" s="1"/>
      <c r="AX723" s="1"/>
      <c r="AY723" s="1"/>
      <c r="AZ723" s="1" t="b">
        <v>1</v>
      </c>
    </row>
    <row r="724" spans="1:52" ht="15" customHeight="1" x14ac:dyDescent="0.35">
      <c r="A724" s="1" t="s">
        <v>2356</v>
      </c>
      <c r="B724" s="1" t="s">
        <v>2357</v>
      </c>
      <c r="C724" s="1" t="s">
        <v>988</v>
      </c>
      <c r="D724" s="1" t="s">
        <v>2224</v>
      </c>
      <c r="E724" s="1" t="s">
        <v>1983</v>
      </c>
      <c r="F724" s="9" t="s">
        <v>2358</v>
      </c>
      <c r="G724" s="1" t="s">
        <v>38</v>
      </c>
      <c r="H72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4" s="11" t="e">
        <f>ABS(NETWORKDAYS.INTL("05/29/24", "05/29/24", 1, {"01/01/2024","01/15/2024","02/19/2024","05/27/2024","07/04/2024","09/02/2024","10/14/2024","11/11/2024","11/28/2024","12/25/2024","12/25/2024","12/26/2024","12/27/2024","12/28/2024","12/29/2024","12/30/2024","31/25/2024","01/01/2024","01/02/2024","01/03/2024","01/04/2024","01/05/2024"}))</f>
        <v>#VALUE!</v>
      </c>
      <c r="J724">
        <f>0</f>
        <v>0</v>
      </c>
      <c r="K724" s="1"/>
      <c r="L724" s="1">
        <v>1</v>
      </c>
      <c r="M724" s="1" t="e">
        <f>ABS(NETWORKDAYS.INTL("06/20/24", "06/20/24", 1, {"01/01/2024","01/15/2024","02/19/2024","05/27/2024","07/04/2024","09/02/2024","10/14/2024","11/11/2024","11/28/2024","12/25/2024","12/25/2024","12/26/2024","12/27/2024","12/28/2024","12/29/2024","12/30/2024","31/25/2024","01/01/2024","01/02/2024","01/03/2024","01/04/2024","01/05/2024"}))</f>
        <v>#VALUE!</v>
      </c>
      <c r="N724" s="1">
        <f>0</f>
        <v>0</v>
      </c>
      <c r="O724" s="1">
        <f>0</f>
        <v>0</v>
      </c>
      <c r="P724" s="1"/>
      <c r="Q724" s="1">
        <v>0</v>
      </c>
      <c r="R724" s="1">
        <v>0</v>
      </c>
      <c r="S724" s="1">
        <f>0</f>
        <v>0</v>
      </c>
      <c r="T724" s="1">
        <f>0</f>
        <v>0</v>
      </c>
      <c r="U724" s="1"/>
      <c r="V724" s="1">
        <v>1</v>
      </c>
      <c r="W724" s="1">
        <v>1</v>
      </c>
      <c r="X724" s="1" t="e">
        <f>ABS(NETWORKDAYS.INTL("06/20/24", "06/21/24", 1, {"01/01/2024","01/15/2024","02/19/2024","05/27/2024","07/04/2024","09/02/2024","10/14/2024","11/11/2024","11/28/2024","12/25/2024","12/25/2024","12/26/2024","12/27/2024","12/28/2024","12/29/2024","12/30/2024","31/25/2024","01/01/2024","01/02/2024","01/03/2024","01/04/2024","01/05/2024"}))</f>
        <v>#VALUE!</v>
      </c>
      <c r="Y724" s="1">
        <f>0</f>
        <v>0</v>
      </c>
      <c r="Z724" s="1">
        <f>0</f>
        <v>0</v>
      </c>
      <c r="AA724" s="1"/>
      <c r="AB724" s="5">
        <v>45473</v>
      </c>
      <c r="AC724" s="5">
        <v>45504</v>
      </c>
      <c r="AD724" s="1" t="e">
        <f>ABS(NETWORKDAYS.INTL("06/20/24", "05/29/24", 1, {"01/01/2024","01/15/2024","02/19/2024","05/27/2024","07/04/2024","09/02/2024","10/14/2024","11/11/2024","11/28/2024","12/25/2024","12/25/2024","12/26/2024","12/27/2024","12/28/2024","12/29/2024","12/30/2024","31/25/2024","01/01/2024","01/02/2024","01/03/2024","01/04/2024","01/05/2024"}))</f>
        <v>#VALUE!</v>
      </c>
      <c r="AE724" s="1">
        <f>0</f>
        <v>0</v>
      </c>
      <c r="AF724" s="1">
        <f>0</f>
        <v>0</v>
      </c>
      <c r="AG724" s="1" t="e">
        <f>ABS(NETWORKDAYS.INTL("06/20/24", "08/05/24", 1, {"01/01/2024","01/15/2024","02/19/2024","05/27/2024","07/04/2024","09/02/2024","10/14/2024","11/11/2024","11/28/2024","12/25/2024","12/25/2024","12/26/2024","12/27/2024","12/28/2024","12/29/2024","12/30/2024","31/25/2024","01/01/2024","01/02/2024","01/03/2024","01/04/2024","01/05/2024"}))</f>
        <v>#VALUE!</v>
      </c>
      <c r="AH724" s="1" t="e">
        <f>ABS(NETWORKDAYS.INTL("06/20/24", "06/20/24", 1, {"01/01/2024","01/15/2024","02/19/2024","05/27/2024","07/04/2024","09/02/2024","10/14/2024","11/11/2024","11/28/2024","12/25/2024","12/25/2024","12/26/2024","12/27/2024","12/28/2024","12/29/2024","12/30/2024","31/25/2024","01/01/2024","01/02/2024","01/03/2024","01/04/2024","01/05/2024"}))</f>
        <v>#VALUE!</v>
      </c>
      <c r="AI724" s="1" t="e">
        <f>ABS(NETWORKDAYS.INTL("07/31/2024", "06/30/24", 1, {"01/01/2024","01/15/2024","02/19/2024","05/27/2024","07/04/2024","09/02/2024","10/14/2024","11/11/2024","11/28/2024","12/25/2024","12/25/2024","12/26/2024","12/27/2024","12/28/2024","12/29/2024","12/30/2024","31/25/2024","01/01/2024","01/02/2024","01/03/2024","01/04/2024","01/05/2024"}))</f>
        <v>#VALUE!</v>
      </c>
      <c r="AJ724" s="1" t="b">
        <v>1</v>
      </c>
      <c r="AK724" s="1"/>
      <c r="AL724" s="1"/>
      <c r="AM724" s="1"/>
      <c r="AN724" s="1"/>
      <c r="AO724" s="1"/>
      <c r="AP724" s="1" t="b">
        <v>1</v>
      </c>
      <c r="AQ724" s="1"/>
      <c r="AR724" s="1"/>
      <c r="AS724" s="1"/>
      <c r="AT724" s="1"/>
      <c r="AU724" s="1"/>
      <c r="AV724" s="1"/>
      <c r="AW724" s="1"/>
      <c r="AX724" s="1"/>
      <c r="AY724" s="1"/>
      <c r="AZ724" s="1" t="b">
        <v>1</v>
      </c>
    </row>
    <row r="725" spans="1:52" ht="15" customHeight="1" x14ac:dyDescent="0.35">
      <c r="A725" s="1" t="s">
        <v>2359</v>
      </c>
      <c r="B725" s="1" t="s">
        <v>2360</v>
      </c>
      <c r="C725" s="1" t="s">
        <v>816</v>
      </c>
      <c r="D725" s="1" t="s">
        <v>1551</v>
      </c>
      <c r="E725" s="1" t="s">
        <v>2003</v>
      </c>
      <c r="F725" s="9" t="s">
        <v>2361</v>
      </c>
      <c r="G725" s="1" t="s">
        <v>38</v>
      </c>
      <c r="H72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5" s="11" t="e">
        <f>ABS(NETWORKDAYS.INTL("07/10/24", "07/11/24", 1, {"01/01/2024","01/15/2024","02/19/2024","05/27/2024","07/04/2024","09/02/2024","10/14/2024","11/11/2024","11/28/2024","12/25/2024","12/25/2024","12/26/2024","12/27/2024","12/28/2024","12/29/2024","12/30/2024","31/25/2024","01/01/2024","01/02/2024","01/03/2024","01/04/2024","01/05/2024"}))</f>
        <v>#VALUE!</v>
      </c>
      <c r="J725">
        <f>0</f>
        <v>0</v>
      </c>
      <c r="K725" s="1"/>
      <c r="L725" s="1">
        <v>0</v>
      </c>
      <c r="M725" s="1">
        <f>0</f>
        <v>0</v>
      </c>
      <c r="N725" s="1">
        <f>0</f>
        <v>0</v>
      </c>
      <c r="O725" s="1">
        <f>0</f>
        <v>0</v>
      </c>
      <c r="P725" s="1"/>
      <c r="Q725" s="1">
        <v>0</v>
      </c>
      <c r="R725" s="1">
        <v>0</v>
      </c>
      <c r="S725" s="1">
        <f>0</f>
        <v>0</v>
      </c>
      <c r="T725" s="1">
        <f>0</f>
        <v>0</v>
      </c>
      <c r="U725" s="1"/>
      <c r="V725" s="1">
        <v>0</v>
      </c>
      <c r="W725" s="1">
        <v>0</v>
      </c>
      <c r="X725" s="1">
        <f>0</f>
        <v>0</v>
      </c>
      <c r="Y725" s="1">
        <f>0</f>
        <v>0</v>
      </c>
      <c r="Z725" s="1">
        <f>0</f>
        <v>0</v>
      </c>
      <c r="AA725" s="1"/>
      <c r="AB725" s="5"/>
      <c r="AC725" s="1"/>
      <c r="AD725" s="1">
        <f>0</f>
        <v>0</v>
      </c>
      <c r="AE725" s="1">
        <f>0</f>
        <v>0</v>
      </c>
      <c r="AF725" s="1">
        <f>0</f>
        <v>0</v>
      </c>
      <c r="AG725" s="1">
        <f>0</f>
        <v>0</v>
      </c>
      <c r="AH725" s="1">
        <f>0</f>
        <v>0</v>
      </c>
      <c r="AI725" s="1">
        <f>0</f>
        <v>0</v>
      </c>
      <c r="AJ725" s="1" t="b">
        <v>1</v>
      </c>
      <c r="AK725" s="1"/>
      <c r="AL725" s="1"/>
      <c r="AM725" s="1"/>
      <c r="AN725" s="1"/>
      <c r="AO725" s="1"/>
      <c r="AP725" s="1" t="b">
        <v>1</v>
      </c>
      <c r="AQ725" s="1"/>
      <c r="AR725" s="1"/>
      <c r="AS725" s="1"/>
      <c r="AT725" s="1"/>
      <c r="AU725" s="1"/>
      <c r="AV725" s="1"/>
      <c r="AW725" s="1"/>
      <c r="AX725" s="1"/>
      <c r="AY725" s="1"/>
      <c r="AZ725" s="1" t="b">
        <v>1</v>
      </c>
    </row>
    <row r="726" spans="1:52" ht="15" customHeight="1" x14ac:dyDescent="0.35">
      <c r="A726" s="1" t="s">
        <v>2362</v>
      </c>
      <c r="B726" s="1" t="s">
        <v>2363</v>
      </c>
      <c r="C726" s="1" t="s">
        <v>1157</v>
      </c>
      <c r="D726" s="1" t="s">
        <v>1982</v>
      </c>
      <c r="E726" s="1" t="s">
        <v>1983</v>
      </c>
      <c r="F726" s="9" t="s">
        <v>2364</v>
      </c>
      <c r="G726" s="1" t="s">
        <v>38</v>
      </c>
      <c r="H72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26" s="11" t="e">
        <f>ABS(NETWORKDAYS.INTL("05/29/24", "05/29/24", 1, {"01/01/2024","01/15/2024","02/19/2024","05/27/2024","07/04/2024","09/02/2024","10/14/2024","11/11/2024","11/28/2024","12/25/2024","12/25/2024","12/26/2024","12/27/2024","12/28/2024","12/29/2024","12/30/2024","31/25/2024","01/01/2024","01/02/2024","01/03/2024","01/04/2024","01/05/2024"}))</f>
        <v>#VALUE!</v>
      </c>
      <c r="J726">
        <f>0</f>
        <v>0</v>
      </c>
      <c r="K726" s="1"/>
      <c r="L726" s="1">
        <v>1</v>
      </c>
      <c r="M726" s="1" t="e">
        <f>ABS(NETWORKDAYS.INTL("06/18/24", "06/18/24", 1, {"01/01/2024","01/15/2024","02/19/2024","05/27/2024","07/04/2024","09/02/2024","10/14/2024","11/11/2024","11/28/2024","12/25/2024","12/25/2024","12/26/2024","12/27/2024","12/28/2024","12/29/2024","12/30/2024","31/25/2024","01/01/2024","01/02/2024","01/03/2024","01/04/2024","01/05/2024"}))</f>
        <v>#VALUE!</v>
      </c>
      <c r="N726" s="1">
        <f>0</f>
        <v>0</v>
      </c>
      <c r="O726" s="1">
        <f>0</f>
        <v>0</v>
      </c>
      <c r="P726" s="1"/>
      <c r="Q726" s="1">
        <v>0</v>
      </c>
      <c r="R726" s="1">
        <v>0</v>
      </c>
      <c r="S726" s="1">
        <f>0</f>
        <v>0</v>
      </c>
      <c r="T726" s="1">
        <f>0</f>
        <v>0</v>
      </c>
      <c r="U726" s="1"/>
      <c r="V726" s="1">
        <v>1</v>
      </c>
      <c r="W726" s="1">
        <v>1</v>
      </c>
      <c r="X726" s="1" t="e">
        <f>ABS(NETWORKDAYS.INTL("06/18/24", "06/18/24", 1, {"01/01/2024","01/15/2024","02/19/2024","05/27/2024","07/04/2024","09/02/2024","10/14/2024","11/11/2024","11/28/2024","12/25/2024","12/25/2024","12/26/2024","12/27/2024","12/28/2024","12/29/2024","12/30/2024","31/25/2024","01/01/2024","01/02/2024","01/03/2024","01/04/2024","01/05/2024"}))</f>
        <v>#VALUE!</v>
      </c>
      <c r="Y726" s="1">
        <f>0</f>
        <v>0</v>
      </c>
      <c r="Z726" s="1">
        <f>0</f>
        <v>0</v>
      </c>
      <c r="AA726" s="1"/>
      <c r="AB726" s="5">
        <v>45469</v>
      </c>
      <c r="AC726" s="1"/>
      <c r="AD726" s="1" t="e">
        <f>ABS(NETWORKDAYS.INTL("06/18/24", "05/29/24", 1, {"01/01/2024","01/15/2024","02/19/2024","05/27/2024","07/04/2024","09/02/2024","10/14/2024","11/11/2024","11/28/2024","12/25/2024","12/25/2024","12/26/2024","12/27/2024","12/28/2024","12/29/2024","12/30/2024","31/25/2024","01/01/2024","01/02/2024","01/03/2024","01/04/2024","01/05/2024"}))</f>
        <v>#VALUE!</v>
      </c>
      <c r="AE726" s="1">
        <f>0</f>
        <v>0</v>
      </c>
      <c r="AF726" s="1">
        <f>0</f>
        <v>0</v>
      </c>
      <c r="AG726" s="1" t="e">
        <f>ABS(NETWORKDAYS.INTL("06/18/24", "08/05/24", 1, {"01/01/2024","01/15/2024","02/19/2024","05/27/2024","07/04/2024","09/02/2024","10/14/2024","11/11/2024","11/28/2024","12/25/2024","12/25/2024","12/26/2024","12/27/2024","12/28/2024","12/29/2024","12/30/2024","31/25/2024","01/01/2024","01/02/2024","01/03/2024","01/04/2024","01/05/2024"}))</f>
        <v>#VALUE!</v>
      </c>
      <c r="AH726" s="1" t="e">
        <f>ABS(NETWORKDAYS.INTL("06/18/24", "06/18/24", 1, {"01/01/2024","01/15/2024","02/19/2024","05/27/2024","07/04/2024","09/02/2024","10/14/2024","11/11/2024","11/28/2024","12/25/2024","12/25/2024","12/26/2024","12/27/2024","12/28/2024","12/29/2024","12/30/2024","31/25/2024","01/01/2024","01/02/2024","01/03/2024","01/04/2024","01/05/2024"}))</f>
        <v>#VALUE!</v>
      </c>
      <c r="AI726" s="1">
        <f>0</f>
        <v>0</v>
      </c>
      <c r="AJ726" s="1" t="b">
        <v>1</v>
      </c>
      <c r="AK726" s="1"/>
      <c r="AL726" s="1"/>
      <c r="AM726" s="1"/>
      <c r="AN726" s="1"/>
      <c r="AO726" s="1"/>
      <c r="AP726" s="1" t="b">
        <v>1</v>
      </c>
      <c r="AQ726" s="1"/>
      <c r="AR726" s="1"/>
      <c r="AS726" s="1"/>
      <c r="AT726" s="1"/>
      <c r="AU726" s="1"/>
      <c r="AV726" s="1"/>
      <c r="AW726" s="1"/>
      <c r="AX726" s="1"/>
      <c r="AY726" s="1"/>
      <c r="AZ726" s="1" t="b">
        <v>1</v>
      </c>
    </row>
    <row r="727" spans="1:52" ht="15" customHeight="1" x14ac:dyDescent="0.35">
      <c r="A727" s="1" t="s">
        <v>2365</v>
      </c>
      <c r="B727" s="1" t="s">
        <v>2366</v>
      </c>
      <c r="C727" s="1" t="s">
        <v>1377</v>
      </c>
      <c r="D727" s="1" t="s">
        <v>2272</v>
      </c>
      <c r="E727" s="1" t="s">
        <v>2003</v>
      </c>
      <c r="F727" s="9" t="s">
        <v>2367</v>
      </c>
      <c r="G727" s="1" t="s">
        <v>38</v>
      </c>
      <c r="H72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7" s="11" t="e">
        <f>ABS(NETWORKDAYS.INTL("05/31/24", "06/13/24", 1, {"01/01/2024","01/15/2024","02/19/2024","05/27/2024","07/04/2024","09/02/2024","10/14/2024","11/11/2024","11/28/2024","12/25/2024","12/25/2024","12/26/2024","12/27/2024","12/28/2024","12/29/2024","12/30/2024","31/25/2024","01/01/2024","01/02/2024","01/03/2024","01/04/2024","01/05/2024"}))</f>
        <v>#VALUE!</v>
      </c>
      <c r="J727" t="e">
        <f>ABS(NETWORKDAYS.INTL("05/31/24", "06/11/24", 1, {"01/01/2024","01/15/2024","02/19/2024","05/27/2024","07/04/2024","09/02/2024","10/14/2024","11/11/2024","11/28/2024","12/25/2024","12/25/2024","12/26/2024","12/27/2024","12/28/2024","12/29/2024","12/30/2024","31/25/2024","01/01/2024","01/02/2024","01/03/2024","01/04/2024","01/05/2024"}))</f>
        <v>#VALUE!</v>
      </c>
      <c r="K727" s="1"/>
      <c r="L727" s="1">
        <v>1</v>
      </c>
      <c r="M727" s="1" t="e">
        <f>ABS(NETWORKDAYS.INTL("06/14/24", "06/14/24", 1, {"01/01/2024","01/15/2024","02/19/2024","05/27/2024","07/04/2024","09/02/2024","10/14/2024","11/11/2024","11/28/2024","12/25/2024","12/25/2024","12/26/2024","12/27/2024","12/28/2024","12/29/2024","12/30/2024","31/25/2024","01/01/2024","01/02/2024","01/03/2024","01/04/2024","01/05/2024"}))</f>
        <v>#VALUE!</v>
      </c>
      <c r="N727" s="1">
        <f>0</f>
        <v>0</v>
      </c>
      <c r="O727" s="1">
        <f>0</f>
        <v>0</v>
      </c>
      <c r="P727" s="1"/>
      <c r="Q727" s="1">
        <v>0</v>
      </c>
      <c r="R727" s="1">
        <v>0</v>
      </c>
      <c r="S727" s="1">
        <f>0</f>
        <v>0</v>
      </c>
      <c r="T727" s="1">
        <f>0</f>
        <v>0</v>
      </c>
      <c r="U727" s="1"/>
      <c r="V727" s="1">
        <v>0</v>
      </c>
      <c r="W727" s="1">
        <v>1</v>
      </c>
      <c r="X727" s="1" t="e">
        <f>ABS(NETWORKDAYS.INTL("06/14/24", "06/14/24", 1, {"01/01/2024","01/15/2024","02/19/2024","05/27/2024","07/04/2024","09/02/2024","10/14/2024","11/11/2024","11/28/2024","12/25/2024","12/25/2024","12/26/2024","12/27/2024","12/28/2024","12/29/2024","12/30/2024","31/25/2024","01/01/2024","01/02/2024","01/03/2024","01/04/2024","01/05/2024"}))</f>
        <v>#VALUE!</v>
      </c>
      <c r="Y727" s="1" t="e">
        <f>ABS(NETWORKDAYS.INTL("06/14/24", "06/14/24", 1, {"01/01/2024","01/15/2024","02/19/2024","05/27/2024","07/04/2024","09/02/2024","10/14/2024","11/11/2024","11/28/2024","12/25/2024","12/25/2024","12/26/2024","12/27/2024","12/28/2024","12/29/2024","12/30/2024","31/25/2024","01/01/2024","01/02/2024","01/03/2024","01/04/2024","01/05/2024"}))</f>
        <v>#VALUE!</v>
      </c>
      <c r="Z727" s="1">
        <f>0</f>
        <v>0</v>
      </c>
      <c r="AA727" s="1"/>
      <c r="AB727" s="5">
        <v>45457</v>
      </c>
      <c r="AC727" s="1"/>
      <c r="AD727" s="1" t="e">
        <f>ABS(NETWORKDAYS.INTL("06/14/24", "06/13/24", 1, {"01/01/2024","01/15/2024","02/19/2024","05/27/2024","07/04/2024","09/02/2024","10/14/2024","11/11/2024","11/28/2024","12/25/2024","12/25/2024","12/26/2024","12/27/2024","12/28/2024","12/29/2024","12/30/2024","31/25/2024","01/01/2024","01/02/2024","01/03/2024","01/04/2024","01/05/2024"}))</f>
        <v>#VALUE!</v>
      </c>
      <c r="AE727" s="1">
        <f>0</f>
        <v>0</v>
      </c>
      <c r="AF727" s="1">
        <f>0</f>
        <v>0</v>
      </c>
      <c r="AG727" s="1">
        <f>0</f>
        <v>0</v>
      </c>
      <c r="AH727" s="1" t="e">
        <f>ABS(NETWORKDAYS.INTL("06/14/24", "08/05/24", 1, {"01/01/2024","01/15/2024","02/19/2024","05/27/2024","07/04/2024","09/02/2024","10/14/2024","11/11/2024","11/28/2024","12/25/2024","12/25/2024","12/26/2024","12/27/2024","12/28/2024","12/29/2024","12/30/2024","31/25/2024","01/01/2024","01/02/2024","01/03/2024","01/04/2024","01/05/2024"}))</f>
        <v>#VALUE!</v>
      </c>
      <c r="AI727" s="1">
        <f>0</f>
        <v>0</v>
      </c>
      <c r="AJ727" s="1" t="b">
        <v>1</v>
      </c>
      <c r="AK727" s="1"/>
      <c r="AL727" s="1"/>
      <c r="AM727" s="1"/>
      <c r="AN727" s="1"/>
      <c r="AO727" s="1"/>
      <c r="AP727" s="1" t="b">
        <v>1</v>
      </c>
      <c r="AQ727" s="1"/>
      <c r="AR727" s="1"/>
      <c r="AS727" s="1"/>
      <c r="AT727" s="1"/>
      <c r="AU727" s="1"/>
      <c r="AV727" s="1"/>
      <c r="AW727" s="1"/>
      <c r="AX727" s="1"/>
      <c r="AY727" s="1"/>
      <c r="AZ727" s="1" t="b">
        <v>1</v>
      </c>
    </row>
    <row r="728" spans="1:52" ht="15" customHeight="1" x14ac:dyDescent="0.35">
      <c r="A728" s="1" t="s">
        <v>2368</v>
      </c>
      <c r="B728" s="1" t="s">
        <v>2369</v>
      </c>
      <c r="C728" s="1" t="s">
        <v>988</v>
      </c>
      <c r="D728" s="1" t="s">
        <v>2002</v>
      </c>
      <c r="E728" s="1" t="s">
        <v>2003</v>
      </c>
      <c r="F728" s="9" t="s">
        <v>2370</v>
      </c>
      <c r="G728" s="1" t="s">
        <v>38</v>
      </c>
      <c r="H72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28" s="11" t="e">
        <f>ABS(NETWORKDAYS.INTL("05/29/24", "05/31/24", 1, {"01/01/2024","01/15/2024","02/19/2024","05/27/2024","07/04/2024","09/02/2024","10/14/2024","11/11/2024","11/28/2024","12/25/2024","12/25/2024","12/26/2024","12/27/2024","12/28/2024","12/29/2024","12/30/2024","31/25/2024","01/01/2024","01/02/2024","01/03/2024","01/04/2024","01/05/2024"}))</f>
        <v>#VALUE!</v>
      </c>
      <c r="J728">
        <f>0</f>
        <v>0</v>
      </c>
      <c r="K728" s="1"/>
      <c r="L728" s="1">
        <v>1</v>
      </c>
      <c r="M728" s="1" t="e">
        <f>ABS(NETWORKDAYS.INTL("06/14/24", "06/14/24", 1, {"01/01/2024","01/15/2024","02/19/2024","05/27/2024","07/04/2024","09/02/2024","10/14/2024","11/11/2024","11/28/2024","12/25/2024","12/25/2024","12/26/2024","12/27/2024","12/28/2024","12/29/2024","12/30/2024","31/25/2024","01/01/2024","01/02/2024","01/03/2024","01/04/2024","01/05/2024"}))</f>
        <v>#VALUE!</v>
      </c>
      <c r="N728" s="1">
        <f>0</f>
        <v>0</v>
      </c>
      <c r="O728" s="1">
        <f>0</f>
        <v>0</v>
      </c>
      <c r="P728" s="1"/>
      <c r="Q728" s="1">
        <v>0</v>
      </c>
      <c r="R728" s="1">
        <v>0</v>
      </c>
      <c r="S728" s="1">
        <f>0</f>
        <v>0</v>
      </c>
      <c r="T728" s="1">
        <f>0</f>
        <v>0</v>
      </c>
      <c r="U728" s="1"/>
      <c r="V728" s="1">
        <v>2</v>
      </c>
      <c r="W728" s="1">
        <v>2</v>
      </c>
      <c r="X728" s="1" t="e">
        <f>ABS(NETWORKDAYS.INTL("06/17/24", "06/19/24", 1, {"01/01/2024","01/15/2024","02/19/2024","05/27/2024","07/04/2024","09/02/2024","10/14/2024","11/11/2024","11/28/2024","12/25/2024","12/25/2024","12/26/2024","12/27/2024","12/28/2024","12/29/2024","12/30/2024","31/25/2024","01/01/2024","01/02/2024","01/03/2024","01/04/2024","01/05/2024"})+NETWORKDAYS.INTL("06/26/24", "06/26/24", 1, {"01/01/2024","01/15/2024","02/19/2024","05/27/2024","07/04/2024","09/02/2024","10/14/2024","11/11/2024","11/28/2024","12/25/2024","12/25/2024","12/26/2024","12/27/2024","12/28/2024","12/29/2024","12/30/2024","31/25/2024","01/01/2024","01/02/2024","01/03/2024","01/04/2024","01/05/2024"}))</f>
        <v>#VALUE!</v>
      </c>
      <c r="Y728" s="1" t="e">
        <f>ABS(NETWORKDAYS.INTL("06/26/24", "06/26/24", 1, {"01/01/2024","01/15/2024","02/19/2024","05/27/2024","07/04/2024","09/02/2024","10/14/2024","11/11/2024","11/28/2024","12/25/2024","12/25/2024","12/26/2024","12/27/2024","12/28/2024","12/29/2024","12/30/2024","31/25/2024","01/01/2024","01/02/2024","01/03/2024","01/04/2024","01/05/2024"}))</f>
        <v>#VALUE!</v>
      </c>
      <c r="Z728" s="1">
        <f>0</f>
        <v>0</v>
      </c>
      <c r="AA728" s="1"/>
      <c r="AB728" s="5">
        <v>45469</v>
      </c>
      <c r="AC728" s="5">
        <v>45503</v>
      </c>
      <c r="AD728" s="1" t="e">
        <f>ABS(NETWORKDAYS.INTL("06/14/24", "05/31/24", 1, {"01/01/2024","01/15/2024","02/19/2024","05/27/2024","07/04/2024","09/02/2024","10/14/2024","11/11/2024","11/28/2024","12/25/2024","12/25/2024","12/26/2024","12/27/2024","12/28/2024","12/29/2024","12/30/2024","31/25/2024","01/01/2024","01/02/2024","01/03/2024","01/04/2024","01/05/2024"}))</f>
        <v>#VALUE!</v>
      </c>
      <c r="AE728" s="1">
        <f>0</f>
        <v>0</v>
      </c>
      <c r="AF728" s="1">
        <f>0</f>
        <v>0</v>
      </c>
      <c r="AG728" s="1" t="e">
        <f>ABS(NETWORKDAYS.INTL("06/17/24", "08/05/24", 1, {"01/01/2024","01/15/2024","02/19/2024","05/27/2024","07/04/2024","09/02/2024","10/14/2024","11/11/2024","11/28/2024","12/25/2024","12/25/2024","12/26/2024","12/27/2024","12/28/2024","12/29/2024","12/30/2024","31/25/2024","01/01/2024","01/02/2024","01/03/2024","01/04/2024","01/05/2024"}))</f>
        <v>#VALUE!</v>
      </c>
      <c r="AH728" s="1" t="e">
        <f>ABS(NETWORKDAYS.INTL("06/17/24", "06/17/24", 1, {"01/01/2024","01/15/2024","02/19/2024","05/27/2024","07/04/2024","09/02/2024","10/14/2024","11/11/2024","11/28/2024","12/25/2024","12/25/2024","12/26/2024","12/27/2024","12/28/2024","12/29/2024","12/30/2024","31/25/2024","01/01/2024","01/02/2024","01/03/2024","01/04/2024","01/05/2024"}))</f>
        <v>#VALUE!</v>
      </c>
      <c r="AI728" s="1" t="e">
        <f>ABS(NETWORKDAYS.INTL("07/30/2024", "06/26/24", 1, {"01/01/2024","01/15/2024","02/19/2024","05/27/2024","07/04/2024","09/02/2024","10/14/2024","11/11/2024","11/28/2024","12/25/2024","12/25/2024","12/26/2024","12/27/2024","12/28/2024","12/29/2024","12/30/2024","31/25/2024","01/01/2024","01/02/2024","01/03/2024","01/04/2024","01/05/2024"}))</f>
        <v>#VALUE!</v>
      </c>
      <c r="AJ728" s="1" t="b">
        <v>1</v>
      </c>
      <c r="AK728" s="1"/>
      <c r="AL728" s="1"/>
      <c r="AM728" s="1"/>
      <c r="AN728" s="1"/>
      <c r="AO728" s="1"/>
      <c r="AP728" s="1" t="b">
        <v>1</v>
      </c>
      <c r="AQ728" s="1"/>
      <c r="AR728" s="1"/>
      <c r="AS728" s="1"/>
      <c r="AT728" s="1"/>
      <c r="AU728" s="1"/>
      <c r="AV728" s="1"/>
      <c r="AW728" s="1"/>
      <c r="AX728" s="1"/>
      <c r="AY728" s="1"/>
      <c r="AZ728" s="1" t="b">
        <v>1</v>
      </c>
    </row>
    <row r="729" spans="1:52" ht="15" customHeight="1" x14ac:dyDescent="0.35">
      <c r="A729" s="1" t="s">
        <v>2371</v>
      </c>
      <c r="B729" s="1" t="s">
        <v>2372</v>
      </c>
      <c r="C729" s="1" t="s">
        <v>1329</v>
      </c>
      <c r="D729" s="1" t="s">
        <v>2373</v>
      </c>
      <c r="E729" s="1" t="s">
        <v>1336</v>
      </c>
      <c r="F729" s="9" t="s">
        <v>2374</v>
      </c>
      <c r="G729" s="1" t="s">
        <v>38</v>
      </c>
      <c r="H72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29" s="11" t="e">
        <f>ABS(NETWORKDAYS.INTL("05/29/24", "06/18/24", 1, {"01/01/2024","01/15/2024","02/19/2024","05/27/2024","07/04/2024","09/02/2024","10/14/2024","11/11/2024","11/28/2024","12/25/2024","12/25/2024","12/26/2024","12/27/2024","12/28/2024","12/29/2024","12/30/2024","31/25/2024","01/01/2024","01/02/2024","01/03/2024","01/04/2024","01/05/2024"}))</f>
        <v>#VALUE!</v>
      </c>
      <c r="J729">
        <f>0</f>
        <v>0</v>
      </c>
      <c r="K729" s="1"/>
      <c r="L729" s="1">
        <v>0</v>
      </c>
      <c r="M729" s="1">
        <f>0</f>
        <v>0</v>
      </c>
      <c r="N729" s="1">
        <f>0</f>
        <v>0</v>
      </c>
      <c r="O729" s="1">
        <f>0</f>
        <v>0</v>
      </c>
      <c r="P729" s="1"/>
      <c r="Q729" s="1">
        <v>0</v>
      </c>
      <c r="R729" s="1">
        <v>0</v>
      </c>
      <c r="S729" s="1">
        <f>0</f>
        <v>0</v>
      </c>
      <c r="T729" s="1">
        <f>0</f>
        <v>0</v>
      </c>
      <c r="U729" s="1"/>
      <c r="V729" s="1">
        <v>0</v>
      </c>
      <c r="W729" s="1">
        <v>0</v>
      </c>
      <c r="X729" s="1">
        <f>0</f>
        <v>0</v>
      </c>
      <c r="Y729" s="1">
        <f>0</f>
        <v>0</v>
      </c>
      <c r="Z729" s="1">
        <f>0</f>
        <v>0</v>
      </c>
      <c r="AA729" s="1"/>
      <c r="AB729" s="5"/>
      <c r="AC729" s="1"/>
      <c r="AD729" s="1">
        <f>0</f>
        <v>0</v>
      </c>
      <c r="AE729" s="1">
        <f>0</f>
        <v>0</v>
      </c>
      <c r="AF729" s="1">
        <f>0</f>
        <v>0</v>
      </c>
      <c r="AG729" s="1">
        <f>0</f>
        <v>0</v>
      </c>
      <c r="AH729" s="1">
        <f>0</f>
        <v>0</v>
      </c>
      <c r="AI729" s="1">
        <f>0</f>
        <v>0</v>
      </c>
      <c r="AJ729" s="1" t="b">
        <v>1</v>
      </c>
      <c r="AK729" s="1"/>
      <c r="AL729" s="1"/>
      <c r="AM729" s="1"/>
      <c r="AN729" s="1"/>
      <c r="AO729" s="1"/>
      <c r="AP729" s="1" t="b">
        <v>1</v>
      </c>
      <c r="AQ729" s="1"/>
      <c r="AR729" s="1"/>
      <c r="AS729" s="1"/>
      <c r="AT729" s="1"/>
      <c r="AU729" s="1"/>
      <c r="AV729" s="1"/>
      <c r="AW729" s="1"/>
      <c r="AX729" s="1"/>
      <c r="AY729" s="1" t="b">
        <v>1</v>
      </c>
      <c r="AZ729" s="1"/>
    </row>
    <row r="730" spans="1:52" ht="15" customHeight="1" x14ac:dyDescent="0.35">
      <c r="A730" s="1" t="s">
        <v>2375</v>
      </c>
      <c r="B730" s="1" t="s">
        <v>2376</v>
      </c>
      <c r="C730" s="1" t="s">
        <v>640</v>
      </c>
      <c r="D730" s="1"/>
      <c r="E730" s="1" t="s">
        <v>2220</v>
      </c>
      <c r="F730" s="9" t="s">
        <v>2377</v>
      </c>
      <c r="G730" s="1" t="s">
        <v>38</v>
      </c>
      <c r="H73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30" s="11">
        <f>0</f>
        <v>0</v>
      </c>
      <c r="J730">
        <f>0</f>
        <v>0</v>
      </c>
      <c r="K730" s="1"/>
      <c r="L730" s="1">
        <v>0</v>
      </c>
      <c r="M730" s="1">
        <f>0</f>
        <v>0</v>
      </c>
      <c r="N730" s="1">
        <f>0</f>
        <v>0</v>
      </c>
      <c r="O730" s="1">
        <f>0</f>
        <v>0</v>
      </c>
      <c r="P730" s="1"/>
      <c r="Q730" s="1">
        <v>0</v>
      </c>
      <c r="R730" s="1">
        <v>0</v>
      </c>
      <c r="S730" s="1">
        <f>0</f>
        <v>0</v>
      </c>
      <c r="T730" s="1">
        <f>0</f>
        <v>0</v>
      </c>
      <c r="U730" s="1"/>
      <c r="V730" s="1">
        <v>0</v>
      </c>
      <c r="W730" s="1">
        <v>0</v>
      </c>
      <c r="X730" s="1">
        <f>0</f>
        <v>0</v>
      </c>
      <c r="Y730" s="1">
        <f>0</f>
        <v>0</v>
      </c>
      <c r="Z730" s="1">
        <f>0</f>
        <v>0</v>
      </c>
      <c r="AA730" s="1"/>
      <c r="AB730" s="5"/>
      <c r="AC730" s="1"/>
      <c r="AD730" s="1">
        <f>0</f>
        <v>0</v>
      </c>
      <c r="AE730" s="1">
        <f>0</f>
        <v>0</v>
      </c>
      <c r="AF730" s="1">
        <f>0</f>
        <v>0</v>
      </c>
      <c r="AG730" s="1">
        <f>0</f>
        <v>0</v>
      </c>
      <c r="AH730" s="1">
        <f>0</f>
        <v>0</v>
      </c>
      <c r="AI730" s="1">
        <f>0</f>
        <v>0</v>
      </c>
      <c r="AJ730" s="1" t="b">
        <v>1</v>
      </c>
      <c r="AK730" s="1"/>
      <c r="AL730" s="1"/>
      <c r="AM730" s="1"/>
      <c r="AN730" s="1"/>
      <c r="AO730" s="1"/>
      <c r="AP730" s="1"/>
      <c r="AQ730" s="1"/>
      <c r="AR730" s="1"/>
      <c r="AS730" s="1"/>
      <c r="AT730" s="1"/>
      <c r="AU730" s="1" t="b">
        <v>1</v>
      </c>
      <c r="AV730" s="1" t="b">
        <v>1</v>
      </c>
      <c r="AW730" s="1"/>
      <c r="AX730" s="1"/>
      <c r="AY730" s="1" t="b">
        <v>1</v>
      </c>
      <c r="AZ730" s="1"/>
    </row>
    <row r="731" spans="1:52" ht="15" customHeight="1" x14ac:dyDescent="0.35">
      <c r="A731" s="1" t="s">
        <v>2378</v>
      </c>
      <c r="B731" s="1" t="s">
        <v>2379</v>
      </c>
      <c r="C731" s="1" t="s">
        <v>816</v>
      </c>
      <c r="D731" s="1" t="s">
        <v>1347</v>
      </c>
      <c r="E731" s="1" t="s">
        <v>1336</v>
      </c>
      <c r="F731" s="9" t="s">
        <v>2380</v>
      </c>
      <c r="G731" s="1" t="s">
        <v>38</v>
      </c>
      <c r="H73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1" s="11" t="e">
        <f>ABS(NETWORKDAYS.INTL("06/11/24", "06/20/24", 1, {"01/01/2024","01/15/2024","02/19/2024","05/27/2024","07/04/2024","09/02/2024","10/14/2024","11/11/2024","11/28/2024","12/25/2024","12/25/2024","12/26/2024","12/27/2024","12/28/2024","12/29/2024","12/30/2024","31/25/2024","01/01/2024","01/02/2024","01/03/2024","01/04/2024","01/05/2024"}))</f>
        <v>#VALUE!</v>
      </c>
      <c r="J731">
        <f>0</f>
        <v>0</v>
      </c>
      <c r="K731" s="1"/>
      <c r="L731" s="1">
        <v>0</v>
      </c>
      <c r="M731" s="1">
        <f>0</f>
        <v>0</v>
      </c>
      <c r="N731" s="1">
        <f>0</f>
        <v>0</v>
      </c>
      <c r="O731" s="1">
        <f>0</f>
        <v>0</v>
      </c>
      <c r="P731" s="1"/>
      <c r="Q731" s="1">
        <v>1</v>
      </c>
      <c r="R731" s="1">
        <v>0</v>
      </c>
      <c r="S731" s="1">
        <f>0</f>
        <v>0</v>
      </c>
      <c r="T731" s="1">
        <f>0</f>
        <v>0</v>
      </c>
      <c r="U731" s="1"/>
      <c r="V731" s="1">
        <v>0</v>
      </c>
      <c r="W731" s="1">
        <v>0</v>
      </c>
      <c r="X731" s="1">
        <f>0</f>
        <v>0</v>
      </c>
      <c r="Y731" s="1">
        <f>0</f>
        <v>0</v>
      </c>
      <c r="Z731" s="1">
        <f>0</f>
        <v>0</v>
      </c>
      <c r="AA731" s="1"/>
      <c r="AB731" s="5"/>
      <c r="AC731" s="1"/>
      <c r="AD731" s="1">
        <f>0</f>
        <v>0</v>
      </c>
      <c r="AE731" s="1">
        <f>0</f>
        <v>0</v>
      </c>
      <c r="AF731" s="1">
        <f>0</f>
        <v>0</v>
      </c>
      <c r="AG731" s="1">
        <f>0</f>
        <v>0</v>
      </c>
      <c r="AH731" s="1">
        <f>0</f>
        <v>0</v>
      </c>
      <c r="AI731" s="1">
        <f>0</f>
        <v>0</v>
      </c>
      <c r="AJ731" s="1" t="b">
        <v>1</v>
      </c>
      <c r="AK731" s="1"/>
      <c r="AL731" s="1"/>
      <c r="AM731" s="1"/>
      <c r="AN731" s="1"/>
      <c r="AO731" s="1"/>
      <c r="AP731" s="1" t="b">
        <v>1</v>
      </c>
      <c r="AQ731" s="1"/>
      <c r="AR731" s="1"/>
      <c r="AS731" s="1"/>
      <c r="AT731" s="1"/>
      <c r="AU731" s="1"/>
      <c r="AV731" s="1"/>
      <c r="AW731" s="1"/>
      <c r="AX731" s="1"/>
      <c r="AY731" s="1" t="b">
        <v>1</v>
      </c>
      <c r="AZ731" s="1"/>
    </row>
    <row r="732" spans="1:52" ht="15" customHeight="1" x14ac:dyDescent="0.35">
      <c r="A732" s="1" t="s">
        <v>2381</v>
      </c>
      <c r="B732" s="1" t="s">
        <v>2382</v>
      </c>
      <c r="C732" s="1" t="s">
        <v>988</v>
      </c>
      <c r="D732" s="1" t="s">
        <v>1706</v>
      </c>
      <c r="E732" s="1" t="s">
        <v>2200</v>
      </c>
      <c r="F732" s="9" t="s">
        <v>2383</v>
      </c>
      <c r="G732" s="1" t="s">
        <v>38</v>
      </c>
      <c r="H73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2" s="11" t="e">
        <f>ABS(NETWORKDAYS.INTL("05/27/24", "05/31/24", 1, {"01/01/2024","01/15/2024","02/19/2024","05/27/2024","07/04/2024","09/02/2024","10/14/2024","11/11/2024","11/28/2024","12/25/2024","12/25/2024","12/26/2024","12/27/2024","12/28/2024","12/29/2024","12/30/2024","31/25/2024","01/01/2024","01/02/2024","01/03/2024","01/04/2024","01/05/2024"}))</f>
        <v>#VALUE!</v>
      </c>
      <c r="J732">
        <f>0</f>
        <v>0</v>
      </c>
      <c r="K732" s="1"/>
      <c r="L732" s="1">
        <v>1</v>
      </c>
      <c r="M732" s="1" t="e">
        <f>ABS(NETWORKDAYS.INTL("06/19/24", "06/19/24", 1, {"01/01/2024","01/15/2024","02/19/2024","05/27/2024","07/04/2024","09/02/2024","10/14/2024","11/11/2024","11/28/2024","12/25/2024","12/25/2024","12/26/2024","12/27/2024","12/28/2024","12/29/2024","12/30/2024","31/25/2024","01/01/2024","01/02/2024","01/03/2024","01/04/2024","01/05/2024"}))</f>
        <v>#VALUE!</v>
      </c>
      <c r="N732" s="1">
        <f>0</f>
        <v>0</v>
      </c>
      <c r="O732" s="1">
        <f>0</f>
        <v>0</v>
      </c>
      <c r="P732" s="1"/>
      <c r="Q732" s="1">
        <v>0</v>
      </c>
      <c r="R732" s="1">
        <v>0</v>
      </c>
      <c r="S732" s="1">
        <f>0</f>
        <v>0</v>
      </c>
      <c r="T732" s="1">
        <f>0</f>
        <v>0</v>
      </c>
      <c r="U732" s="1"/>
      <c r="V732" s="1">
        <v>2</v>
      </c>
      <c r="W732" s="1">
        <v>2</v>
      </c>
      <c r="X732" s="1" t="e">
        <f>ABS(NETWORKDAYS.INTL("06/19/24", "06/20/24",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732" s="1" t="e">
        <f>ABS(NETWORKDAYS.INTL("06/27/24", "06/27/24", 1, {"01/01/2024","01/15/2024","02/19/2024","05/27/2024","07/04/2024","09/02/2024","10/14/2024","11/11/2024","11/28/2024","12/25/2024","12/25/2024","12/26/2024","12/27/2024","12/28/2024","12/29/2024","12/30/2024","31/25/2024","01/01/2024","01/02/2024","01/03/2024","01/04/2024","01/05/2024"}))</f>
        <v>#VALUE!</v>
      </c>
      <c r="Z732" s="1">
        <f>0</f>
        <v>0</v>
      </c>
      <c r="AA732" s="1"/>
      <c r="AB732" s="5">
        <v>45470</v>
      </c>
      <c r="AC732" s="5">
        <v>45503</v>
      </c>
      <c r="AD732" s="1" t="e">
        <f>ABS(NETWORKDAYS.INTL("06/19/24", "05/31/24", 1, {"01/01/2024","01/15/2024","02/19/2024","05/27/2024","07/04/2024","09/02/2024","10/14/2024","11/11/2024","11/28/2024","12/25/2024","12/25/2024","12/26/2024","12/27/2024","12/28/2024","12/29/2024","12/30/2024","31/25/2024","01/01/2024","01/02/2024","01/03/2024","01/04/2024","01/05/2024"}))</f>
        <v>#VALUE!</v>
      </c>
      <c r="AE732" s="1">
        <f>0</f>
        <v>0</v>
      </c>
      <c r="AF732" s="1">
        <f>0</f>
        <v>0</v>
      </c>
      <c r="AG732" s="1" t="e">
        <f>ABS(NETWORKDAYS.INTL("06/19/24", "08/05/24", 1, {"01/01/2024","01/15/2024","02/19/2024","05/27/2024","07/04/2024","09/02/2024","10/14/2024","11/11/2024","11/28/2024","12/25/2024","12/25/2024","12/26/2024","12/27/2024","12/28/2024","12/29/2024","12/30/2024","31/25/2024","01/01/2024","01/02/2024","01/03/2024","01/04/2024","01/05/2024"}))</f>
        <v>#VALUE!</v>
      </c>
      <c r="AH732" s="1" t="e">
        <f>ABS(NETWORKDAYS.INTL("06/19/24", "06/19/24", 1, {"01/01/2024","01/15/2024","02/19/2024","05/27/2024","07/04/2024","09/02/2024","10/14/2024","11/11/2024","11/28/2024","12/25/2024","12/25/2024","12/26/2024","12/27/2024","12/28/2024","12/29/2024","12/30/2024","31/25/2024","01/01/2024","01/02/2024","01/03/2024","01/04/2024","01/05/2024"}))</f>
        <v>#VALUE!</v>
      </c>
      <c r="AI732" s="1" t="e">
        <f>ABS(NETWORKDAYS.INTL("07/30/2024", "06/27/24", 1, {"01/01/2024","01/15/2024","02/19/2024","05/27/2024","07/04/2024","09/02/2024","10/14/2024","11/11/2024","11/28/2024","12/25/2024","12/25/2024","12/26/2024","12/27/2024","12/28/2024","12/29/2024","12/30/2024","31/25/2024","01/01/2024","01/02/2024","01/03/2024","01/04/2024","01/05/2024"}))</f>
        <v>#VALUE!</v>
      </c>
      <c r="AJ732" s="1" t="b">
        <v>1</v>
      </c>
      <c r="AK732" s="1"/>
      <c r="AL732" s="1"/>
      <c r="AM732" s="1"/>
      <c r="AN732" s="1"/>
      <c r="AO732" s="1"/>
      <c r="AP732" s="1" t="b">
        <v>1</v>
      </c>
      <c r="AQ732" s="1"/>
      <c r="AR732" s="1"/>
      <c r="AS732" s="1"/>
      <c r="AT732" s="1"/>
      <c r="AU732" s="1"/>
      <c r="AV732" s="1"/>
      <c r="AW732" s="1"/>
      <c r="AX732" s="1"/>
      <c r="AY732" s="1"/>
      <c r="AZ732" s="1" t="b">
        <v>1</v>
      </c>
    </row>
    <row r="733" spans="1:52" ht="15" customHeight="1" x14ac:dyDescent="0.35">
      <c r="A733" s="1" t="s">
        <v>2384</v>
      </c>
      <c r="B733" s="1" t="s">
        <v>2385</v>
      </c>
      <c r="C733" s="1" t="s">
        <v>1329</v>
      </c>
      <c r="D733" s="1" t="s">
        <v>1628</v>
      </c>
      <c r="E733" s="1" t="s">
        <v>2228</v>
      </c>
      <c r="F733" s="9" t="s">
        <v>2386</v>
      </c>
      <c r="G733" s="1" t="s">
        <v>38</v>
      </c>
      <c r="H73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3" s="11" t="e">
        <f>ABS(NETWORKDAYS.INTL("05/25/24", "06/21/24", 1, {"01/01/2024","01/15/2024","02/19/2024","05/27/2024","07/04/2024","09/02/2024","10/14/2024","11/11/2024","11/28/2024","12/25/2024","12/25/2024","12/26/2024","12/27/2024","12/28/2024","12/29/2024","12/30/2024","31/25/2024","01/01/2024","01/02/2024","01/03/2024","01/04/2024","01/05/2024"}))</f>
        <v>#VALUE!</v>
      </c>
      <c r="J733" t="e">
        <f>ABS(NETWORKDAYS.INTL("06/03/24", "06/05/24", 1, {"01/01/2024","01/15/2024","02/19/2024","05/27/2024","07/04/2024","09/02/2024","10/14/2024","11/11/2024","11/28/2024","12/25/2024","12/25/2024","12/26/2024","12/27/2024","12/28/2024","12/29/2024","12/30/2024","31/25/2024","01/01/2024","01/02/2024","01/03/2024","01/04/2024","01/05/2024"}))</f>
        <v>#VALUE!</v>
      </c>
      <c r="K733" s="1"/>
      <c r="L733" s="1">
        <v>0</v>
      </c>
      <c r="M733" s="1">
        <f>0</f>
        <v>0</v>
      </c>
      <c r="N733" s="1">
        <f>0</f>
        <v>0</v>
      </c>
      <c r="O733" s="1">
        <f>0</f>
        <v>0</v>
      </c>
      <c r="P733" s="1"/>
      <c r="Q733" s="1">
        <v>0</v>
      </c>
      <c r="R733" s="1">
        <v>0</v>
      </c>
      <c r="S733" s="1">
        <f>0</f>
        <v>0</v>
      </c>
      <c r="T733" s="1">
        <f>0</f>
        <v>0</v>
      </c>
      <c r="U733" s="1"/>
      <c r="V733" s="1">
        <v>0</v>
      </c>
      <c r="W733" s="1">
        <v>0</v>
      </c>
      <c r="X733" s="1">
        <f>0</f>
        <v>0</v>
      </c>
      <c r="Y733" s="1">
        <f>0</f>
        <v>0</v>
      </c>
      <c r="Z733" s="1">
        <f>0</f>
        <v>0</v>
      </c>
      <c r="AA733" s="1"/>
      <c r="AB733" s="5"/>
      <c r="AC733" s="1"/>
      <c r="AD733" s="1">
        <f>0</f>
        <v>0</v>
      </c>
      <c r="AE733" s="1">
        <f>0</f>
        <v>0</v>
      </c>
      <c r="AF733" s="1">
        <f>0</f>
        <v>0</v>
      </c>
      <c r="AG733" s="1">
        <f>0</f>
        <v>0</v>
      </c>
      <c r="AH733" s="1">
        <f>0</f>
        <v>0</v>
      </c>
      <c r="AI733" s="1">
        <f>0</f>
        <v>0</v>
      </c>
      <c r="AJ733" s="1" t="b">
        <v>1</v>
      </c>
      <c r="AK733" s="1"/>
      <c r="AL733" s="1"/>
      <c r="AM733" s="1"/>
      <c r="AN733" s="1"/>
      <c r="AO733" s="1"/>
      <c r="AP733" s="1"/>
      <c r="AQ733" s="1"/>
      <c r="AR733" s="1"/>
      <c r="AS733" s="1"/>
      <c r="AT733" s="1"/>
      <c r="AU733" s="1" t="b">
        <v>1</v>
      </c>
      <c r="AV733" s="1"/>
      <c r="AW733" s="1"/>
      <c r="AX733" s="1"/>
      <c r="AY733" s="1" t="b">
        <v>1</v>
      </c>
      <c r="AZ733" s="1"/>
    </row>
    <row r="734" spans="1:52" ht="15" customHeight="1" x14ac:dyDescent="0.35">
      <c r="A734" s="1" t="s">
        <v>2387</v>
      </c>
      <c r="B734" s="1" t="s">
        <v>2388</v>
      </c>
      <c r="C734" s="1" t="s">
        <v>988</v>
      </c>
      <c r="D734" s="1" t="s">
        <v>2389</v>
      </c>
      <c r="E734" s="1" t="s">
        <v>2052</v>
      </c>
      <c r="F734" s="9" t="s">
        <v>2390</v>
      </c>
      <c r="G734" s="1" t="s">
        <v>38</v>
      </c>
      <c r="H73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4" s="11" t="e">
        <f>ABS(NETWORKDAYS.INTL("05/08/24", "05/22/24", 1, {"01/01/2024","01/15/2024","02/19/2024","05/27/2024","07/04/2024","09/02/2024","10/14/2024","11/11/2024","11/28/2024","12/25/2024","12/25/2024","12/26/2024","12/27/2024","12/28/2024","12/29/2024","12/30/2024","31/25/2024","01/01/2024","01/02/2024","01/03/2024","01/04/2024","01/05/2024"}))</f>
        <v>#VALUE!</v>
      </c>
      <c r="J734">
        <f>0</f>
        <v>0</v>
      </c>
      <c r="K734" s="1"/>
      <c r="L734" s="1">
        <v>1</v>
      </c>
      <c r="M734" s="1" t="e">
        <f>ABS(NETWORKDAYS.INTL("05/28/24", "05/28/24", 1, {"01/01/2024","01/15/2024","02/19/2024","05/27/2024","07/04/2024","09/02/2024","10/14/2024","11/11/2024","11/28/2024","12/25/2024","12/25/2024","12/26/2024","12/27/2024","12/28/2024","12/29/2024","12/30/2024","31/25/2024","01/01/2024","01/02/2024","01/03/2024","01/04/2024","01/05/2024"}))</f>
        <v>#VALUE!</v>
      </c>
      <c r="N734" s="1">
        <f>0</f>
        <v>0</v>
      </c>
      <c r="O734" s="1">
        <f>0</f>
        <v>0</v>
      </c>
      <c r="P734" s="1"/>
      <c r="Q734" s="1">
        <v>0</v>
      </c>
      <c r="R734" s="1">
        <v>0</v>
      </c>
      <c r="S734" s="1">
        <f>0</f>
        <v>0</v>
      </c>
      <c r="T734" s="1">
        <f>0</f>
        <v>0</v>
      </c>
      <c r="U734" s="1"/>
      <c r="V734" s="1">
        <v>1</v>
      </c>
      <c r="W734" s="1">
        <v>1</v>
      </c>
      <c r="X734" s="1" t="e">
        <f>ABS(NETWORKDAYS.INTL("06/07/24", "06/12/24", 1, {"01/01/2024","01/15/2024","02/19/2024","05/27/2024","07/04/2024","09/02/2024","10/14/2024","11/11/2024","11/28/2024","12/25/2024","12/25/2024","12/26/2024","12/27/2024","12/28/2024","12/29/2024","12/30/2024","31/25/2024","01/01/2024","01/02/2024","01/03/2024","01/04/2024","01/05/2024"}))</f>
        <v>#VALUE!</v>
      </c>
      <c r="Y734" s="1">
        <f>0</f>
        <v>0</v>
      </c>
      <c r="Z734" s="1">
        <f>0</f>
        <v>0</v>
      </c>
      <c r="AA734" s="1"/>
      <c r="AB734" s="5">
        <v>45455</v>
      </c>
      <c r="AC734" s="5">
        <v>45504</v>
      </c>
      <c r="AD734" s="1" t="e">
        <f>ABS(NETWORKDAYS.INTL("05/28/24", "05/22/24", 1, {"01/01/2024","01/15/2024","02/19/2024","05/27/2024","07/04/2024","09/02/2024","10/14/2024","11/11/2024","11/28/2024","12/25/2024","12/25/2024","12/26/2024","12/27/2024","12/28/2024","12/29/2024","12/30/2024","31/25/2024","01/01/2024","01/02/2024","01/03/2024","01/04/2024","01/05/2024"}))</f>
        <v>#VALUE!</v>
      </c>
      <c r="AE734" s="1">
        <f>0</f>
        <v>0</v>
      </c>
      <c r="AF734" s="1">
        <f>0</f>
        <v>0</v>
      </c>
      <c r="AG734" s="1" t="e">
        <f>ABS(NETWORKDAYS.INTL("06/07/24", "08/05/24", 1, {"01/01/2024","01/15/2024","02/19/2024","05/27/2024","07/04/2024","09/02/2024","10/14/2024","11/11/2024","11/28/2024","12/25/2024","12/25/2024","12/26/2024","12/27/2024","12/28/2024","12/29/2024","12/30/2024","31/25/2024","01/01/2024","01/02/2024","01/03/2024","01/04/2024","01/05/2024"}))</f>
        <v>#VALUE!</v>
      </c>
      <c r="AH734" s="1" t="e">
        <f>ABS(NETWORKDAYS.INTL("06/07/24", "06/07/24", 1, {"01/01/2024","01/15/2024","02/19/2024","05/27/2024","07/04/2024","09/02/2024","10/14/2024","11/11/2024","11/28/2024","12/25/2024","12/25/2024","12/26/2024","12/27/2024","12/28/2024","12/29/2024","12/30/2024","31/25/2024","01/01/2024","01/02/2024","01/03/2024","01/04/2024","01/05/2024"}))</f>
        <v>#VALUE!</v>
      </c>
      <c r="AI734" s="1" t="e">
        <f>ABS(NETWORKDAYS.INTL("07/31/2024", "06/12/24", 1, {"01/01/2024","01/15/2024","02/19/2024","05/27/2024","07/04/2024","09/02/2024","10/14/2024","11/11/2024","11/28/2024","12/25/2024","12/25/2024","12/26/2024","12/27/2024","12/28/2024","12/29/2024","12/30/2024","31/25/2024","01/01/2024","01/02/2024","01/03/2024","01/04/2024","01/05/2024"}))</f>
        <v>#VALUE!</v>
      </c>
      <c r="AJ734" s="1" t="b">
        <v>1</v>
      </c>
      <c r="AK734" s="1"/>
      <c r="AL734" s="1"/>
      <c r="AM734" s="1"/>
      <c r="AN734" s="1"/>
      <c r="AO734" s="1"/>
      <c r="AP734" s="1"/>
      <c r="AQ734" s="1"/>
      <c r="AR734" s="1"/>
      <c r="AS734" s="1"/>
      <c r="AT734" s="1"/>
      <c r="AU734" s="1"/>
      <c r="AV734" s="1"/>
      <c r="AW734" s="1"/>
      <c r="AX734" s="1"/>
      <c r="AY734" s="1"/>
      <c r="AZ734" s="1" t="b">
        <v>1</v>
      </c>
    </row>
    <row r="735" spans="1:52" ht="15" customHeight="1" x14ac:dyDescent="0.35">
      <c r="A735" s="1" t="s">
        <v>2391</v>
      </c>
      <c r="B735" s="1" t="s">
        <v>2392</v>
      </c>
      <c r="C735" s="1" t="s">
        <v>988</v>
      </c>
      <c r="D735" s="1" t="s">
        <v>2061</v>
      </c>
      <c r="E735" s="1" t="s">
        <v>2003</v>
      </c>
      <c r="F735" s="9" t="s">
        <v>2393</v>
      </c>
      <c r="G735" s="1" t="s">
        <v>38</v>
      </c>
      <c r="H73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5" s="11" t="e">
        <f>ABS(NETWORKDAYS.INTL("05/29/24", "05/30/24", 1, {"01/01/2024","01/15/2024","02/19/2024","05/27/2024","07/04/2024","09/02/2024","10/14/2024","11/11/2024","11/28/2024","12/25/2024","12/25/2024","12/26/2024","12/27/2024","12/28/2024","12/29/2024","12/30/2024","31/25/2024","01/01/2024","01/02/2024","01/03/2024","01/04/2024","01/05/2024"}))</f>
        <v>#VALUE!</v>
      </c>
      <c r="J735">
        <f>0</f>
        <v>0</v>
      </c>
      <c r="K735" s="1"/>
      <c r="L735" s="1">
        <v>1</v>
      </c>
      <c r="M735" s="1" t="e">
        <f>ABS(NETWORKDAYS.INTL("06/17/24", "06/17/24", 1, {"01/01/2024","01/15/2024","02/19/2024","05/27/2024","07/04/2024","09/02/2024","10/14/2024","11/11/2024","11/28/2024","12/25/2024","12/25/2024","12/26/2024","12/27/2024","12/28/2024","12/29/2024","12/30/2024","31/25/2024","01/01/2024","01/02/2024","01/03/2024","01/04/2024","01/05/2024"}))</f>
        <v>#VALUE!</v>
      </c>
      <c r="N735" s="1">
        <f>0</f>
        <v>0</v>
      </c>
      <c r="O735" s="1">
        <f>0</f>
        <v>0</v>
      </c>
      <c r="P735" s="1"/>
      <c r="Q735" s="1">
        <v>0</v>
      </c>
      <c r="R735" s="1">
        <v>0</v>
      </c>
      <c r="S735" s="1">
        <f>0</f>
        <v>0</v>
      </c>
      <c r="T735" s="1">
        <f>0</f>
        <v>0</v>
      </c>
      <c r="U735" s="1"/>
      <c r="V735" s="1">
        <v>1</v>
      </c>
      <c r="W735" s="1">
        <v>1</v>
      </c>
      <c r="X735" s="1" t="e">
        <f>ABS(NETWORKDAYS.INTL("06/17/24", "06/17/24", 1, {"01/01/2024","01/15/2024","02/19/2024","05/27/2024","07/04/2024","09/02/2024","10/14/2024","11/11/2024","11/28/2024","12/25/2024","12/25/2024","12/26/2024","12/27/2024","12/28/2024","12/29/2024","12/30/2024","31/25/2024","01/01/2024","01/02/2024","01/03/2024","01/04/2024","01/05/2024"}))</f>
        <v>#VALUE!</v>
      </c>
      <c r="Y735" s="1">
        <f>0</f>
        <v>0</v>
      </c>
      <c r="Z735" s="1">
        <f>0</f>
        <v>0</v>
      </c>
      <c r="AA735" s="1"/>
      <c r="AB735" s="5">
        <v>45468</v>
      </c>
      <c r="AC735" s="5">
        <v>45502</v>
      </c>
      <c r="AD735" s="1" t="e">
        <f>ABS(NETWORKDAYS.INTL("06/17/24", "05/30/24", 1, {"01/01/2024","01/15/2024","02/19/2024","05/27/2024","07/04/2024","09/02/2024","10/14/2024","11/11/2024","11/28/2024","12/25/2024","12/25/2024","12/26/2024","12/27/2024","12/28/2024","12/29/2024","12/30/2024","31/25/2024","01/01/2024","01/02/2024","01/03/2024","01/04/2024","01/05/2024"}))</f>
        <v>#VALUE!</v>
      </c>
      <c r="AE735" s="1">
        <f>0</f>
        <v>0</v>
      </c>
      <c r="AF735" s="1">
        <f>0</f>
        <v>0</v>
      </c>
      <c r="AG735" s="1" t="e">
        <f>ABS(NETWORKDAYS.INTL("06/17/24", "08/05/24", 1, {"01/01/2024","01/15/2024","02/19/2024","05/27/2024","07/04/2024","09/02/2024","10/14/2024","11/11/2024","11/28/2024","12/25/2024","12/25/2024","12/26/2024","12/27/2024","12/28/2024","12/29/2024","12/30/2024","31/25/2024","01/01/2024","01/02/2024","01/03/2024","01/04/2024","01/05/2024"}))</f>
        <v>#VALUE!</v>
      </c>
      <c r="AH735" s="1" t="e">
        <f>ABS(NETWORKDAYS.INTL("06/17/24", "06/17/24", 1, {"01/01/2024","01/15/2024","02/19/2024","05/27/2024","07/04/2024","09/02/2024","10/14/2024","11/11/2024","11/28/2024","12/25/2024","12/25/2024","12/26/2024","12/27/2024","12/28/2024","12/29/2024","12/30/2024","31/25/2024","01/01/2024","01/02/2024","01/03/2024","01/04/2024","01/05/2024"}))</f>
        <v>#VALUE!</v>
      </c>
      <c r="AI735" s="1" t="e">
        <f>ABS(NETWORKDAYS.INTL("7/29/2024", "06/25/24", 1, {"01/01/2024","01/15/2024","02/19/2024","05/27/2024","07/04/2024","09/02/2024","10/14/2024","11/11/2024","11/28/2024","12/25/2024","12/25/2024","12/26/2024","12/27/2024","12/28/2024","12/29/2024","12/30/2024","31/25/2024","01/01/2024","01/02/2024","01/03/2024","01/04/2024","01/05/2024"}))</f>
        <v>#VALUE!</v>
      </c>
      <c r="AJ735" s="1" t="b">
        <v>1</v>
      </c>
      <c r="AK735" s="1"/>
      <c r="AL735" s="1"/>
      <c r="AM735" s="1"/>
      <c r="AN735" s="1"/>
      <c r="AO735" s="1"/>
      <c r="AP735" s="1" t="b">
        <v>1</v>
      </c>
      <c r="AQ735" s="1"/>
      <c r="AR735" s="1"/>
      <c r="AS735" s="1"/>
      <c r="AT735" s="1"/>
      <c r="AU735" s="1"/>
      <c r="AV735" s="1"/>
      <c r="AW735" s="1"/>
      <c r="AX735" s="1"/>
      <c r="AY735" s="1"/>
      <c r="AZ735" s="1" t="b">
        <v>1</v>
      </c>
    </row>
    <row r="736" spans="1:52" ht="15" customHeight="1" x14ac:dyDescent="0.35">
      <c r="A736" s="1" t="s">
        <v>2394</v>
      </c>
      <c r="B736" s="1" t="s">
        <v>2395</v>
      </c>
      <c r="C736" s="1" t="s">
        <v>1329</v>
      </c>
      <c r="D736" s="1" t="s">
        <v>1544</v>
      </c>
      <c r="E736" s="1" t="s">
        <v>1336</v>
      </c>
      <c r="F736" s="9" t="s">
        <v>2396</v>
      </c>
      <c r="G736" s="1" t="s">
        <v>38</v>
      </c>
      <c r="H73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6" s="11" t="e">
        <f>ABS(NETWORKDAYS.INTL("04/23/24", "04/29/24", 1, {"01/01/2024","01/15/2024","02/19/2024","05/27/2024","07/04/2024","09/02/2024","10/14/2024","11/11/2024","11/28/2024","12/25/2024","12/25/2024","12/26/2024","12/27/2024","12/28/2024","12/29/2024","12/30/2024","31/25/2024","01/01/2024","01/02/2024","01/03/2024","01/04/2024","01/05/2024"})+NETWORKDAYS.INTL("05/30/24", "06/18/24", 1, {"01/01/2024","01/15/2024","02/19/2024","05/27/2024","07/04/2024","09/02/2024","10/14/2024","11/11/2024","11/28/2024","12/25/2024","12/25/2024","12/26/2024","12/27/2024","12/28/2024","12/29/2024","12/30/2024","31/25/2024","01/01/2024","01/02/2024","01/03/2024","01/04/2024","01/05/2024"}))</f>
        <v>#VALUE!</v>
      </c>
      <c r="J736">
        <f>0</f>
        <v>0</v>
      </c>
      <c r="K736" s="1"/>
      <c r="L736" s="1">
        <v>0</v>
      </c>
      <c r="M736" s="1">
        <f>0</f>
        <v>0</v>
      </c>
      <c r="N736" s="1">
        <f>0</f>
        <v>0</v>
      </c>
      <c r="O736" s="1">
        <f>0</f>
        <v>0</v>
      </c>
      <c r="P736" s="1"/>
      <c r="Q736" s="1">
        <v>0</v>
      </c>
      <c r="R736" s="1">
        <v>0</v>
      </c>
      <c r="S736" s="1">
        <f>0</f>
        <v>0</v>
      </c>
      <c r="T736" s="1">
        <f>0</f>
        <v>0</v>
      </c>
      <c r="U736" s="1"/>
      <c r="V736" s="1">
        <v>0</v>
      </c>
      <c r="W736" s="1">
        <v>0</v>
      </c>
      <c r="X736" s="1">
        <f>0</f>
        <v>0</v>
      </c>
      <c r="Y736" s="1">
        <f>0</f>
        <v>0</v>
      </c>
      <c r="Z736" s="1">
        <f>0</f>
        <v>0</v>
      </c>
      <c r="AA736" s="1"/>
      <c r="AB736" s="5"/>
      <c r="AC736" s="1"/>
      <c r="AD736" s="1">
        <f>0</f>
        <v>0</v>
      </c>
      <c r="AE736" s="1">
        <f>0</f>
        <v>0</v>
      </c>
      <c r="AF736" s="1">
        <f>0</f>
        <v>0</v>
      </c>
      <c r="AG736" s="1">
        <f>0</f>
        <v>0</v>
      </c>
      <c r="AH736" s="1">
        <f>0</f>
        <v>0</v>
      </c>
      <c r="AI736" s="1">
        <f>0</f>
        <v>0</v>
      </c>
      <c r="AJ736" s="1" t="b">
        <v>1</v>
      </c>
      <c r="AK736" s="1"/>
      <c r="AL736" s="1"/>
      <c r="AM736" s="1"/>
      <c r="AN736" s="1"/>
      <c r="AO736" s="1"/>
      <c r="AP736" s="1" t="b">
        <v>1</v>
      </c>
      <c r="AQ736" s="1"/>
      <c r="AR736" s="1"/>
      <c r="AS736" s="1"/>
      <c r="AT736" s="1"/>
      <c r="AU736" s="1"/>
      <c r="AV736" s="1"/>
      <c r="AW736" s="1"/>
      <c r="AX736" s="1"/>
      <c r="AY736" s="1" t="b">
        <v>1</v>
      </c>
      <c r="AZ736" s="1"/>
    </row>
    <row r="737" spans="1:52" ht="15" customHeight="1" x14ac:dyDescent="0.35">
      <c r="A737" s="1" t="s">
        <v>2397</v>
      </c>
      <c r="B737" s="1" t="s">
        <v>2398</v>
      </c>
      <c r="C737" s="1" t="s">
        <v>988</v>
      </c>
      <c r="D737" s="1" t="s">
        <v>1986</v>
      </c>
      <c r="E737" s="1" t="s">
        <v>1983</v>
      </c>
      <c r="F737" s="9" t="s">
        <v>2399</v>
      </c>
      <c r="G737" s="1" t="s">
        <v>38</v>
      </c>
      <c r="H73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37" s="11" t="e">
        <f>ABS(NETWORKDAYS.INTL("05/28/24", "05/28/24", 1, {"01/01/2024","01/15/2024","02/19/2024","05/27/2024","07/04/2024","09/02/2024","10/14/2024","11/11/2024","11/28/2024","12/25/2024","12/25/2024","12/26/2024","12/27/2024","12/28/2024","12/29/2024","12/30/2024","31/25/2024","01/01/2024","01/02/2024","01/03/2024","01/04/2024","01/05/2024"}))</f>
        <v>#VALUE!</v>
      </c>
      <c r="J737">
        <f>0</f>
        <v>0</v>
      </c>
      <c r="K737" s="1"/>
      <c r="L737" s="1">
        <v>1</v>
      </c>
      <c r="M737" s="1" t="e">
        <f>ABS(NETWORKDAYS.INTL("06/14/24", "06/14/24", 1, {"01/01/2024","01/15/2024","02/19/2024","05/27/2024","07/04/2024","09/02/2024","10/14/2024","11/11/2024","11/28/2024","12/25/2024","12/25/2024","12/26/2024","12/27/2024","12/28/2024","12/29/2024","12/30/2024","31/25/2024","01/01/2024","01/02/2024","01/03/2024","01/04/2024","01/05/2024"}))</f>
        <v>#VALUE!</v>
      </c>
      <c r="N737" s="1">
        <f>0</f>
        <v>0</v>
      </c>
      <c r="O737" s="1">
        <f>0</f>
        <v>0</v>
      </c>
      <c r="P737" s="1"/>
      <c r="Q737" s="1">
        <v>0</v>
      </c>
      <c r="R737" s="1">
        <v>0</v>
      </c>
      <c r="S737" s="1">
        <f>0</f>
        <v>0</v>
      </c>
      <c r="T737" s="1">
        <f>0</f>
        <v>0</v>
      </c>
      <c r="U737" s="1"/>
      <c r="V737" s="1">
        <v>1</v>
      </c>
      <c r="W737" s="1">
        <v>1</v>
      </c>
      <c r="X737" s="1" t="e">
        <f>ABS(NETWORKDAYS.INTL("06/14/24", "06/17/24", 1, {"01/01/2024","01/15/2024","02/19/2024","05/27/2024","07/04/2024","09/02/2024","10/14/2024","11/11/2024","11/28/2024","12/25/2024","12/25/2024","12/26/2024","12/27/2024","12/28/2024","12/29/2024","12/30/2024","31/25/2024","01/01/2024","01/02/2024","01/03/2024","01/04/2024","01/05/2024"}))</f>
        <v>#VALUE!</v>
      </c>
      <c r="Y737" s="1">
        <f>0</f>
        <v>0</v>
      </c>
      <c r="Z737" s="1">
        <f>0</f>
        <v>0</v>
      </c>
      <c r="AA737" s="1"/>
      <c r="AB737" s="5">
        <v>45467</v>
      </c>
      <c r="AC737" s="5">
        <v>45502</v>
      </c>
      <c r="AD737" s="1" t="e">
        <f>ABS(NETWORKDAYS.INTL("06/14/24", "05/28/24", 1, {"01/01/2024","01/15/2024","02/19/2024","05/27/2024","07/04/2024","09/02/2024","10/14/2024","11/11/2024","11/28/2024","12/25/2024","12/25/2024","12/26/2024","12/27/2024","12/28/2024","12/29/2024","12/30/2024","31/25/2024","01/01/2024","01/02/2024","01/03/2024","01/04/2024","01/05/2024"}))</f>
        <v>#VALUE!</v>
      </c>
      <c r="AE737" s="1">
        <f>0</f>
        <v>0</v>
      </c>
      <c r="AF737" s="1">
        <f>0</f>
        <v>0</v>
      </c>
      <c r="AG737" s="1" t="e">
        <f>ABS(NETWORKDAYS.INTL("06/14/24", "08/05/24", 1, {"01/01/2024","01/15/2024","02/19/2024","05/27/2024","07/04/2024","09/02/2024","10/14/2024","11/11/2024","11/28/2024","12/25/2024","12/25/2024","12/26/2024","12/27/2024","12/28/2024","12/29/2024","12/30/2024","31/25/2024","01/01/2024","01/02/2024","01/03/2024","01/04/2024","01/05/2024"}))</f>
        <v>#VALUE!</v>
      </c>
      <c r="AH737" s="1" t="e">
        <f>ABS(NETWORKDAYS.INTL("06/14/24", "06/14/24", 1, {"01/01/2024","01/15/2024","02/19/2024","05/27/2024","07/04/2024","09/02/2024","10/14/2024","11/11/2024","11/28/2024","12/25/2024","12/25/2024","12/26/2024","12/27/2024","12/28/2024","12/29/2024","12/30/2024","31/25/2024","01/01/2024","01/02/2024","01/03/2024","01/04/2024","01/05/2024"}))</f>
        <v>#VALUE!</v>
      </c>
      <c r="AI737" s="1" t="e">
        <f>ABS(NETWORKDAYS.INTL("7/29/2024", "06/24/24", 1, {"01/01/2024","01/15/2024","02/19/2024","05/27/2024","07/04/2024","09/02/2024","10/14/2024","11/11/2024","11/28/2024","12/25/2024","12/25/2024","12/26/2024","12/27/2024","12/28/2024","12/29/2024","12/30/2024","31/25/2024","01/01/2024","01/02/2024","01/03/2024","01/04/2024","01/05/2024"}))</f>
        <v>#VALUE!</v>
      </c>
      <c r="AJ737" s="1" t="b">
        <v>1</v>
      </c>
      <c r="AK737" s="1"/>
      <c r="AL737" s="1"/>
      <c r="AM737" s="1"/>
      <c r="AN737" s="1"/>
      <c r="AO737" s="1"/>
      <c r="AP737" s="1" t="b">
        <v>1</v>
      </c>
      <c r="AQ737" s="1"/>
      <c r="AR737" s="1"/>
      <c r="AS737" s="1"/>
      <c r="AT737" s="1"/>
      <c r="AU737" s="1"/>
      <c r="AV737" s="1"/>
      <c r="AW737" s="1"/>
      <c r="AX737" s="1"/>
      <c r="AY737" s="1"/>
      <c r="AZ737" s="1" t="b">
        <v>1</v>
      </c>
    </row>
    <row r="738" spans="1:52" ht="15" customHeight="1" x14ac:dyDescent="0.35">
      <c r="A738" s="1" t="s">
        <v>2400</v>
      </c>
      <c r="B738" s="1" t="s">
        <v>2401</v>
      </c>
      <c r="C738" s="1" t="s">
        <v>1692</v>
      </c>
      <c r="D738" s="1" t="s">
        <v>2402</v>
      </c>
      <c r="E738" s="1" t="s">
        <v>1983</v>
      </c>
      <c r="F738" s="9" t="s">
        <v>2403</v>
      </c>
      <c r="G738" s="1" t="s">
        <v>38</v>
      </c>
      <c r="H73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8" s="11" t="e">
        <f>ABS(NETWORKDAYS.INTL("05/29/24", "06/20/24", 1, {"01/01/2024","01/15/2024","02/19/2024","05/27/2024","07/04/2024","09/02/2024","10/14/2024","11/11/2024","11/28/2024","12/25/2024","12/25/2024","12/26/2024","12/27/2024","12/28/2024","12/29/2024","12/30/2024","31/25/2024","01/01/2024","01/02/2024","01/03/2024","01/04/2024","01/05/2024"}))</f>
        <v>#VALUE!</v>
      </c>
      <c r="J738">
        <f>0</f>
        <v>0</v>
      </c>
      <c r="K738" s="1"/>
      <c r="L738" s="1">
        <v>1</v>
      </c>
      <c r="M738" s="1" t="e">
        <f>ABS(NETWORKDAYS.INTL("06/20/24", "06/20/24", 1, {"01/01/2024","01/15/2024","02/19/2024","05/27/2024","07/04/2024","09/02/2024","10/14/2024","11/11/2024","11/28/2024","12/25/2024","12/25/2024","12/26/2024","12/27/2024","12/28/2024","12/29/2024","12/30/2024","31/25/2024","01/01/2024","01/02/2024","01/03/2024","01/04/2024","01/05/2024"}))</f>
        <v>#VALUE!</v>
      </c>
      <c r="N738" s="1">
        <f>0</f>
        <v>0</v>
      </c>
      <c r="O738" s="1">
        <f>0</f>
        <v>0</v>
      </c>
      <c r="P738" s="1"/>
      <c r="Q738" s="1">
        <v>0</v>
      </c>
      <c r="R738" s="1">
        <v>0</v>
      </c>
      <c r="S738" s="1">
        <f>0</f>
        <v>0</v>
      </c>
      <c r="T738" s="1">
        <f>0</f>
        <v>0</v>
      </c>
      <c r="U738" s="1"/>
      <c r="V738" s="1">
        <v>1</v>
      </c>
      <c r="W738" s="1">
        <v>1</v>
      </c>
      <c r="X738" s="1" t="e">
        <f>ABS(NETWORKDAYS.INTL("06/20/2024", "07/18/2024", 1, {"01/01/2024","01/15/2024","02/19/2024","05/27/2024","07/04/2024","09/02/2024","10/14/2024","11/11/2024","11/28/2024","12/25/2024","12/25/2024","12/26/2024","12/27/2024","12/28/2024","12/29/2024","12/30/2024","31/25/2024","01/01/2024","01/02/2024","01/03/2024","01/04/2024","01/05/2024"}))</f>
        <v>#VALUE!</v>
      </c>
      <c r="Y738" s="1" t="e">
        <f>ABS(NETWORKDAYS.INTL("07/30/2024", "08/05/24", 1, {"01/01/2024","01/15/2024","02/19/2024","05/27/2024","07/04/2024","09/02/2024","10/14/2024","11/11/2024","11/28/2024","12/25/2024","12/25/2024","12/26/2024","12/27/2024","12/28/2024","12/29/2024","12/30/2024","31/25/2024","01/01/2024","01/02/2024","01/03/2024","01/04/2024","01/05/2024"}))</f>
        <v>#VALUE!</v>
      </c>
      <c r="Z738" s="1">
        <f>0</f>
        <v>0</v>
      </c>
      <c r="AA738" s="1"/>
      <c r="AB738" s="5"/>
      <c r="AC738" s="1"/>
      <c r="AD738" s="1" t="e">
        <f>ABS(NETWORKDAYS.INTL("06/20/24", "06/20/24", 1, {"01/01/2024","01/15/2024","02/19/2024","05/27/2024","07/04/2024","09/02/2024","10/14/2024","11/11/2024","11/28/2024","12/25/2024","12/25/2024","12/26/2024","12/27/2024","12/28/2024","12/29/2024","12/30/2024","31/25/2024","01/01/2024","01/02/2024","01/03/2024","01/04/2024","01/05/2024"}))</f>
        <v>#VALUE!</v>
      </c>
      <c r="AE738" s="1">
        <f>0</f>
        <v>0</v>
      </c>
      <c r="AF738" s="1">
        <f>0</f>
        <v>0</v>
      </c>
      <c r="AG738" s="1" t="e">
        <f>ABS(NETWORKDAYS.INTL("06/20/24", "08/05/24", 1, {"01/01/2024","01/15/2024","02/19/2024","05/27/2024","07/04/2024","09/02/2024","10/14/2024","11/11/2024","11/28/2024","12/25/2024","12/25/2024","12/26/2024","12/27/2024","12/28/2024","12/29/2024","12/30/2024","31/25/2024","01/01/2024","01/02/2024","01/03/2024","01/04/2024","01/05/2024"}))</f>
        <v>#VALUE!</v>
      </c>
      <c r="AH738" s="1" t="e">
        <f>ABS(NETWORKDAYS.INTL("06/20/2024", "06/20/24", 1, {"01/01/2024","01/15/2024","02/19/2024","05/27/2024","07/04/2024","09/02/2024","10/14/2024","11/11/2024","11/28/2024","12/25/2024","12/25/2024","12/26/2024","12/27/2024","12/28/2024","12/29/2024","12/30/2024","31/25/2024","01/01/2024","01/02/2024","01/03/2024","01/04/2024","01/05/2024"}))</f>
        <v>#VALUE!</v>
      </c>
      <c r="AI738" s="1">
        <f>0</f>
        <v>0</v>
      </c>
      <c r="AJ738" s="1" t="b">
        <v>1</v>
      </c>
      <c r="AK738" s="1"/>
      <c r="AL738" s="1"/>
      <c r="AM738" s="1"/>
      <c r="AN738" s="1"/>
      <c r="AO738" s="1"/>
      <c r="AP738" s="1" t="b">
        <v>1</v>
      </c>
      <c r="AQ738" s="1"/>
      <c r="AR738" s="1"/>
      <c r="AS738" s="1"/>
      <c r="AT738" s="1"/>
      <c r="AU738" s="1"/>
      <c r="AV738" s="1"/>
      <c r="AW738" s="1"/>
      <c r="AX738" s="1"/>
      <c r="AY738" s="1"/>
      <c r="AZ738" s="1" t="b">
        <v>1</v>
      </c>
    </row>
    <row r="739" spans="1:52" ht="15" customHeight="1" x14ac:dyDescent="0.35">
      <c r="A739" s="1" t="s">
        <v>2404</v>
      </c>
      <c r="B739" s="1" t="s">
        <v>2405</v>
      </c>
      <c r="C739" s="1" t="s">
        <v>1329</v>
      </c>
      <c r="D739" s="1" t="s">
        <v>2406</v>
      </c>
      <c r="E739" s="1" t="s">
        <v>1336</v>
      </c>
      <c r="F739" s="9" t="s">
        <v>2407</v>
      </c>
      <c r="G739" s="1" t="s">
        <v>38</v>
      </c>
      <c r="H73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39" s="11" t="e">
        <f>ABS(NETWORKDAYS.INTL("05/31/24", "06/13/24", 1, {"01/01/2024","01/15/2024","02/19/2024","05/27/2024","07/04/2024","09/02/2024","10/14/2024","11/11/2024","11/28/2024","12/25/2024","12/25/2024","12/26/2024","12/27/2024","12/28/2024","12/29/2024","12/30/2024","31/25/2024","01/01/2024","01/02/2024","01/03/2024","01/04/2024","01/05/2024"}))</f>
        <v>#VALUE!</v>
      </c>
      <c r="J739">
        <f>0</f>
        <v>0</v>
      </c>
      <c r="K739" s="1"/>
      <c r="L739" s="1">
        <v>0</v>
      </c>
      <c r="M739" s="1">
        <f>0</f>
        <v>0</v>
      </c>
      <c r="N739" s="1">
        <f>0</f>
        <v>0</v>
      </c>
      <c r="O739" s="1">
        <f>0</f>
        <v>0</v>
      </c>
      <c r="P739" s="1"/>
      <c r="Q739" s="1">
        <v>0</v>
      </c>
      <c r="R739" s="1">
        <v>0</v>
      </c>
      <c r="S739" s="1">
        <f>0</f>
        <v>0</v>
      </c>
      <c r="T739" s="1">
        <f>0</f>
        <v>0</v>
      </c>
      <c r="U739" s="1"/>
      <c r="V739" s="1">
        <v>0</v>
      </c>
      <c r="W739" s="1">
        <v>0</v>
      </c>
      <c r="X739" s="1">
        <f>0</f>
        <v>0</v>
      </c>
      <c r="Y739" s="1">
        <f>0</f>
        <v>0</v>
      </c>
      <c r="Z739" s="1">
        <f>0</f>
        <v>0</v>
      </c>
      <c r="AA739" s="1"/>
      <c r="AB739" s="5"/>
      <c r="AC739" s="1"/>
      <c r="AD739" s="1">
        <f>0</f>
        <v>0</v>
      </c>
      <c r="AE739" s="1">
        <f>0</f>
        <v>0</v>
      </c>
      <c r="AF739" s="1">
        <f>0</f>
        <v>0</v>
      </c>
      <c r="AG739" s="1">
        <f>0</f>
        <v>0</v>
      </c>
      <c r="AH739" s="1">
        <f>0</f>
        <v>0</v>
      </c>
      <c r="AI739" s="1">
        <f>0</f>
        <v>0</v>
      </c>
      <c r="AJ739" s="1" t="b">
        <v>1</v>
      </c>
      <c r="AK739" s="1"/>
      <c r="AL739" s="1"/>
      <c r="AM739" s="1"/>
      <c r="AN739" s="1"/>
      <c r="AO739" s="1"/>
      <c r="AP739" s="1" t="b">
        <v>1</v>
      </c>
      <c r="AQ739" s="1"/>
      <c r="AR739" s="1"/>
      <c r="AS739" s="1"/>
      <c r="AT739" s="1"/>
      <c r="AU739" s="1"/>
      <c r="AV739" s="1"/>
      <c r="AW739" s="1"/>
      <c r="AX739" s="1"/>
      <c r="AY739" s="1" t="b">
        <v>1</v>
      </c>
      <c r="AZ739" s="1"/>
    </row>
    <row r="740" spans="1:52" ht="15" customHeight="1" x14ac:dyDescent="0.35">
      <c r="A740" s="1" t="s">
        <v>2408</v>
      </c>
      <c r="B740" s="1" t="s">
        <v>2409</v>
      </c>
      <c r="C740" s="1" t="s">
        <v>988</v>
      </c>
      <c r="D740" s="1" t="s">
        <v>2008</v>
      </c>
      <c r="E740" s="1" t="s">
        <v>1983</v>
      </c>
      <c r="F740" s="9" t="s">
        <v>2410</v>
      </c>
      <c r="G740" s="1" t="s">
        <v>38</v>
      </c>
      <c r="H74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0" s="11" t="e">
        <f>ABS(NETWORKDAYS.INTL("05/08/24", "05/23/24", 1, {"01/01/2024","01/15/2024","02/19/2024","05/27/2024","07/04/2024","09/02/2024","10/14/2024","11/11/2024","11/28/2024","12/25/2024","12/25/2024","12/26/2024","12/27/2024","12/28/2024","12/29/2024","12/30/2024","31/25/2024","01/01/2024","01/02/2024","01/03/2024","01/04/2024","01/05/2024"}))</f>
        <v>#VALUE!</v>
      </c>
      <c r="J740">
        <f>0</f>
        <v>0</v>
      </c>
      <c r="K740" s="1"/>
      <c r="L740" s="1">
        <v>1</v>
      </c>
      <c r="M740" s="1" t="e">
        <f>ABS(NETWORKDAYS.INTL("05/28/24", "05/28/24", 1, {"01/01/2024","01/15/2024","02/19/2024","05/27/2024","07/04/2024","09/02/2024","10/14/2024","11/11/2024","11/28/2024","12/25/2024","12/25/2024","12/26/2024","12/27/2024","12/28/2024","12/29/2024","12/30/2024","31/25/2024","01/01/2024","01/02/2024","01/03/2024","01/04/2024","01/05/2024"}))</f>
        <v>#VALUE!</v>
      </c>
      <c r="N740" s="1">
        <f>0</f>
        <v>0</v>
      </c>
      <c r="O740" s="1">
        <f>0</f>
        <v>0</v>
      </c>
      <c r="P740" s="1"/>
      <c r="Q740" s="1">
        <v>1</v>
      </c>
      <c r="R740" s="1">
        <v>1</v>
      </c>
      <c r="S740" s="1">
        <f>0</f>
        <v>0</v>
      </c>
      <c r="T740" s="1">
        <f>0</f>
        <v>0</v>
      </c>
      <c r="U740" s="1"/>
      <c r="V740" s="1">
        <v>2</v>
      </c>
      <c r="W740" s="1">
        <v>2</v>
      </c>
      <c r="X740" s="1" t="e">
        <f>ABS(NETWORKDAYS.INTL("06/06/24", "06/06/24", 1, {"01/01/2024","01/15/2024","02/19/2024","05/27/2024","07/04/2024","09/02/2024","10/14/2024","11/11/2024","11/28/2024","12/25/2024","12/25/2024","12/26/2024","12/27/2024","12/28/2024","12/29/2024","12/30/2024","31/25/2024","01/01/2024","01/02/2024","01/03/2024","01/04/2024","01/05/2024"})+NETWORKDAYS.INTL("06/14/24", "06/14/24", 1, {"01/01/2024","01/15/2024","02/19/2024","05/27/2024","07/04/2024","09/02/2024","10/14/2024","11/11/2024","11/28/2024","12/25/2024","12/25/2024","12/26/2024","12/27/2024","12/28/2024","12/29/2024","12/30/2024","31/25/2024","01/01/2024","01/02/2024","01/03/2024","01/04/2024","01/05/2024"}))</f>
        <v>#VALUE!</v>
      </c>
      <c r="Y740" s="1" t="e">
        <f>ABS(NETWORKDAYS.INTL("06/07/24", "06/12/24", 1, {"01/01/2024","01/15/2024","02/19/2024","05/27/2024","07/04/2024","09/02/2024","10/14/2024","11/11/2024","11/28/2024","12/25/2024","12/25/2024","12/26/2024","12/27/2024","12/28/2024","12/29/2024","12/30/2024","31/25/2024","01/01/2024","01/02/2024","01/03/2024","01/04/2024","01/05/2024"}))</f>
        <v>#VALUE!</v>
      </c>
      <c r="Z740" s="1" t="e">
        <f>ABS(NETWORKDAYS.INTL("06/07/24", "06/11/24", 1, {"01/01/2024","01/15/2024","02/19/2024","05/27/2024","07/04/2024","09/02/2024","10/14/2024","11/11/2024","11/28/2024","12/25/2024","12/25/2024","12/26/2024","12/27/2024","12/28/2024","12/29/2024","12/30/2024","31/25/2024","01/01/2024","01/02/2024","01/03/2024","01/04/2024","01/05/2024"}))</f>
        <v>#VALUE!</v>
      </c>
      <c r="AA740" s="1"/>
      <c r="AB740" s="5">
        <v>45457</v>
      </c>
      <c r="AC740" s="5">
        <v>45503</v>
      </c>
      <c r="AD740" s="1" t="e">
        <f>ABS(NETWORKDAYS.INTL("05/28/24", "05/23/24", 1, {"01/01/2024","01/15/2024","02/19/2024","05/27/2024","07/04/2024","09/02/2024","10/14/2024","11/11/2024","11/28/2024","12/25/2024","12/25/2024","12/26/2024","12/27/2024","12/28/2024","12/29/2024","12/30/2024","31/25/2024","01/01/2024","01/02/2024","01/03/2024","01/04/2024","01/05/2024"}))</f>
        <v>#VALUE!</v>
      </c>
      <c r="AE740" s="1">
        <f>0</f>
        <v>0</v>
      </c>
      <c r="AF740" s="1" t="e">
        <f>ABS(NETWORKDAYS.INTL("06/06/24", "05/23/24", 1, {"01/01/2024","01/15/2024","02/19/2024","05/27/2024","07/04/2024","09/02/2024","10/14/2024","11/11/2024","11/28/2024","12/25/2024","12/25/2024","12/26/2024","12/27/2024","12/28/2024","12/29/2024","12/30/2024","31/25/2024","01/01/2024","01/02/2024","01/03/2024","01/04/2024","01/05/2024"}))</f>
        <v>#VALUE!</v>
      </c>
      <c r="AG740" s="1" t="e">
        <f>ABS(NETWORKDAYS.INTL("06/06/24", "06/06/24", 1, {"01/01/2024","01/15/2024","02/19/2024","05/27/2024","07/04/2024","09/02/2024","10/14/2024","11/11/2024","11/28/2024","12/25/2024","12/25/2024","12/26/2024","12/27/2024","12/28/2024","12/29/2024","12/30/2024","31/25/2024","01/01/2024","01/02/2024","01/03/2024","01/04/2024","01/05/2024"}))</f>
        <v>#VALUE!</v>
      </c>
      <c r="AH740" s="1" t="e">
        <f>ABS(NETWORKDAYS.INTL("06/06/24", "06/06/24", 1, {"01/01/2024","01/15/2024","02/19/2024","05/27/2024","07/04/2024","09/02/2024","10/14/2024","11/11/2024","11/28/2024","12/25/2024","12/25/2024","12/26/2024","12/27/2024","12/28/2024","12/29/2024","12/30/2024","31/25/2024","01/01/2024","01/02/2024","01/03/2024","01/04/2024","01/05/2024"}))</f>
        <v>#VALUE!</v>
      </c>
      <c r="AI740" s="1" t="e">
        <f>ABS(NETWORKDAYS.INTL("7/30/2024", "06/14/24", 1, {"01/01/2024","01/15/2024","02/19/2024","05/27/2024","07/04/2024","09/02/2024","10/14/2024","11/11/2024","11/28/2024","12/25/2024","12/25/2024","12/26/2024","12/27/2024","12/28/2024","12/29/2024","12/30/2024","31/25/2024","01/01/2024","01/02/2024","01/03/2024","01/04/2024","01/05/2024"}))</f>
        <v>#VALUE!</v>
      </c>
      <c r="AJ740" s="1" t="b">
        <v>1</v>
      </c>
      <c r="AK740" s="1"/>
      <c r="AL740" s="1"/>
      <c r="AM740" s="1"/>
      <c r="AN740" s="1"/>
      <c r="AO740" s="1"/>
      <c r="AP740" s="1" t="b">
        <v>1</v>
      </c>
      <c r="AQ740" s="1"/>
      <c r="AR740" s="1"/>
      <c r="AS740" s="1"/>
      <c r="AT740" s="1"/>
      <c r="AU740" s="1"/>
      <c r="AV740" s="1"/>
      <c r="AW740" s="1"/>
      <c r="AX740" s="1"/>
      <c r="AY740" s="1"/>
      <c r="AZ740" s="1" t="b">
        <v>1</v>
      </c>
    </row>
    <row r="741" spans="1:52" ht="15" customHeight="1" x14ac:dyDescent="0.35">
      <c r="A741" s="1" t="s">
        <v>2411</v>
      </c>
      <c r="B741" s="1" t="s">
        <v>2412</v>
      </c>
      <c r="C741" s="1" t="s">
        <v>988</v>
      </c>
      <c r="D741" s="1" t="s">
        <v>2049</v>
      </c>
      <c r="E741" s="1" t="s">
        <v>1983</v>
      </c>
      <c r="F741" s="9" t="s">
        <v>2413</v>
      </c>
      <c r="G741" s="1" t="s">
        <v>38</v>
      </c>
      <c r="H74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1" s="11" t="e">
        <f>ABS(NETWORKDAYS.INTL("05/29/24", "05/31/24", 1, {"01/01/2024","01/15/2024","02/19/2024","05/27/2024","07/04/2024","09/02/2024","10/14/2024","11/11/2024","11/28/2024","12/25/2024","12/25/2024","12/26/2024","12/27/2024","12/28/2024","12/29/2024","12/30/2024","31/25/2024","01/01/2024","01/02/2024","01/03/2024","01/04/2024","01/05/2024"}))</f>
        <v>#VALUE!</v>
      </c>
      <c r="J741">
        <f>0</f>
        <v>0</v>
      </c>
      <c r="K741" s="1"/>
      <c r="L741" s="1">
        <v>1</v>
      </c>
      <c r="M741" s="1" t="e">
        <f>ABS(NETWORKDAYS.INTL("06/18/24", "06/18/24", 1, {"01/01/2024","01/15/2024","02/19/2024","05/27/2024","07/04/2024","09/02/2024","10/14/2024","11/11/2024","11/28/2024","12/25/2024","12/25/2024","12/26/2024","12/27/2024","12/28/2024","12/29/2024","12/30/2024","31/25/2024","01/01/2024","01/02/2024","01/03/2024","01/04/2024","01/05/2024"}))</f>
        <v>#VALUE!</v>
      </c>
      <c r="N741" s="1">
        <f>0</f>
        <v>0</v>
      </c>
      <c r="O741" s="1">
        <f>0</f>
        <v>0</v>
      </c>
      <c r="P741" s="1"/>
      <c r="Q741" s="1">
        <v>0</v>
      </c>
      <c r="R741" s="1">
        <v>0</v>
      </c>
      <c r="S741" s="1">
        <f>0</f>
        <v>0</v>
      </c>
      <c r="T741" s="1">
        <f>0</f>
        <v>0</v>
      </c>
      <c r="U741" s="1"/>
      <c r="V741" s="1">
        <v>1</v>
      </c>
      <c r="W741" s="1">
        <v>1</v>
      </c>
      <c r="X741" s="1" t="e">
        <f>ABS(NETWORKDAYS.INTL("06/18/24", "06/20/24", 1, {"01/01/2024","01/15/2024","02/19/2024","05/27/2024","07/04/2024","09/02/2024","10/14/2024","11/11/2024","11/28/2024","12/25/2024","12/25/2024","12/26/2024","12/27/2024","12/28/2024","12/29/2024","12/30/2024","31/25/2024","01/01/2024","01/02/2024","01/03/2024","01/04/2024","01/05/2024"}))</f>
        <v>#VALUE!</v>
      </c>
      <c r="Y741" s="1">
        <f>0</f>
        <v>0</v>
      </c>
      <c r="Z741" s="1">
        <f>0</f>
        <v>0</v>
      </c>
      <c r="AA741" s="1"/>
      <c r="AB741" s="5">
        <v>45469</v>
      </c>
      <c r="AC741" s="1"/>
      <c r="AD741" s="1" t="e">
        <f>ABS(NETWORKDAYS.INTL("06/18/24", "05/31/24", 1, {"01/01/2024","01/15/2024","02/19/2024","05/27/2024","07/04/2024","09/02/2024","10/14/2024","11/11/2024","11/28/2024","12/25/2024","12/25/2024","12/26/2024","12/27/2024","12/28/2024","12/29/2024","12/30/2024","31/25/2024","01/01/2024","01/02/2024","01/03/2024","01/04/2024","01/05/2024"}))</f>
        <v>#VALUE!</v>
      </c>
      <c r="AE741" s="1">
        <f>0</f>
        <v>0</v>
      </c>
      <c r="AF741" s="1">
        <f>0</f>
        <v>0</v>
      </c>
      <c r="AG741" s="1" t="e">
        <f>ABS(NETWORKDAYS.INTL("06/18/24", "08/05/24", 1, {"01/01/2024","01/15/2024","02/19/2024","05/27/2024","07/04/2024","09/02/2024","10/14/2024","11/11/2024","11/28/2024","12/25/2024","12/25/2024","12/26/2024","12/27/2024","12/28/2024","12/29/2024","12/30/2024","31/25/2024","01/01/2024","01/02/2024","01/03/2024","01/04/2024","01/05/2024"}))</f>
        <v>#VALUE!</v>
      </c>
      <c r="AH741" s="1" t="e">
        <f>ABS(NETWORKDAYS.INTL("06/18/24", "06/18/24", 1, {"01/01/2024","01/15/2024","02/19/2024","05/27/2024","07/04/2024","09/02/2024","10/14/2024","11/11/2024","11/28/2024","12/25/2024","12/25/2024","12/26/2024","12/27/2024","12/28/2024","12/29/2024","12/30/2024","31/25/2024","01/01/2024","01/02/2024","01/03/2024","01/04/2024","01/05/2024"}))</f>
        <v>#VALUE!</v>
      </c>
      <c r="AI741" s="1">
        <f>0</f>
        <v>0</v>
      </c>
      <c r="AJ741" s="1" t="b">
        <v>1</v>
      </c>
      <c r="AK741" s="1"/>
      <c r="AL741" s="1"/>
      <c r="AM741" s="1"/>
      <c r="AN741" s="1"/>
      <c r="AO741" s="1"/>
      <c r="AP741" s="1" t="b">
        <v>1</v>
      </c>
      <c r="AQ741" s="1"/>
      <c r="AR741" s="1"/>
      <c r="AS741" s="1"/>
      <c r="AT741" s="1"/>
      <c r="AU741" s="1"/>
      <c r="AV741" s="1"/>
      <c r="AW741" s="1"/>
      <c r="AX741" s="1"/>
      <c r="AY741" s="1"/>
      <c r="AZ741" s="1" t="b">
        <v>1</v>
      </c>
    </row>
    <row r="742" spans="1:52" ht="15" customHeight="1" x14ac:dyDescent="0.35">
      <c r="A742" s="1" t="s">
        <v>2414</v>
      </c>
      <c r="B742" s="1" t="s">
        <v>2415</v>
      </c>
      <c r="C742" s="1" t="s">
        <v>988</v>
      </c>
      <c r="D742" s="1" t="s">
        <v>2084</v>
      </c>
      <c r="E742" s="1" t="s">
        <v>1983</v>
      </c>
      <c r="F742" s="9" t="s">
        <v>2416</v>
      </c>
      <c r="G742" s="1" t="s">
        <v>38</v>
      </c>
      <c r="H74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2" s="11" t="e">
        <f>ABS(NETWORKDAYS.INTL("05/29/24", "05/29/24", 1, {"01/01/2024","01/15/2024","02/19/2024","05/27/2024","07/04/2024","09/02/2024","10/14/2024","11/11/2024","11/28/2024","12/25/2024","12/25/2024","12/26/2024","12/27/2024","12/28/2024","12/29/2024","12/30/2024","31/25/2024","01/01/2024","01/02/2024","01/03/2024","01/04/2024","01/05/2024"}))</f>
        <v>#VALUE!</v>
      </c>
      <c r="J742">
        <f>0</f>
        <v>0</v>
      </c>
      <c r="K742" s="1"/>
      <c r="L742" s="1">
        <v>1</v>
      </c>
      <c r="M742" s="1" t="e">
        <f>ABS(NETWORKDAYS.INTL("06/18/24", "06/18/24", 1, {"01/01/2024","01/15/2024","02/19/2024","05/27/2024","07/04/2024","09/02/2024","10/14/2024","11/11/2024","11/28/2024","12/25/2024","12/25/2024","12/26/2024","12/27/2024","12/28/2024","12/29/2024","12/30/2024","31/25/2024","01/01/2024","01/02/2024","01/03/2024","01/04/2024","01/05/2024"}))</f>
        <v>#VALUE!</v>
      </c>
      <c r="N742" s="1">
        <f>0</f>
        <v>0</v>
      </c>
      <c r="O742" s="1">
        <f>0</f>
        <v>0</v>
      </c>
      <c r="P742" s="1"/>
      <c r="Q742" s="1">
        <v>0</v>
      </c>
      <c r="R742" s="1">
        <v>0</v>
      </c>
      <c r="S742" s="1">
        <f>0</f>
        <v>0</v>
      </c>
      <c r="T742" s="1">
        <f>0</f>
        <v>0</v>
      </c>
      <c r="U742" s="1"/>
      <c r="V742" s="1">
        <v>2</v>
      </c>
      <c r="W742" s="1">
        <v>2</v>
      </c>
      <c r="X742" s="1" t="e">
        <f>ABS(NETWORKDAYS.INTL("06/18/24", "06/19/24",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742" s="1" t="e">
        <f>ABS(NETWORKDAYS.INTL("06/24/24", "06/24/24", 1, {"01/01/2024","01/15/2024","02/19/2024","05/27/2024","07/04/2024","09/02/2024","10/14/2024","11/11/2024","11/28/2024","12/25/2024","12/25/2024","12/26/2024","12/27/2024","12/28/2024","12/29/2024","12/30/2024","31/25/2024","01/01/2024","01/02/2024","01/03/2024","01/04/2024","01/05/2024"}))</f>
        <v>#VALUE!</v>
      </c>
      <c r="Z742" s="1">
        <f>0</f>
        <v>0</v>
      </c>
      <c r="AA742" s="1"/>
      <c r="AB742" s="5">
        <v>45470</v>
      </c>
      <c r="AC742" s="5">
        <v>45503</v>
      </c>
      <c r="AD742" s="1" t="e">
        <f>ABS(NETWORKDAYS.INTL("06/18/24", "05/29/24", 1, {"01/01/2024","01/15/2024","02/19/2024","05/27/2024","07/04/2024","09/02/2024","10/14/2024","11/11/2024","11/28/2024","12/25/2024","12/25/2024","12/26/2024","12/27/2024","12/28/2024","12/29/2024","12/30/2024","31/25/2024","01/01/2024","01/02/2024","01/03/2024","01/04/2024","01/05/2024"}))</f>
        <v>#VALUE!</v>
      </c>
      <c r="AE742" s="1">
        <f>0</f>
        <v>0</v>
      </c>
      <c r="AF742" s="1">
        <f>0</f>
        <v>0</v>
      </c>
      <c r="AG742" s="1" t="e">
        <f>ABS(NETWORKDAYS.INTL("06/18/24", "08/05/24", 1, {"01/01/2024","01/15/2024","02/19/2024","05/27/2024","07/04/2024","09/02/2024","10/14/2024","11/11/2024","11/28/2024","12/25/2024","12/25/2024","12/26/2024","12/27/2024","12/28/2024","12/29/2024","12/30/2024","31/25/2024","01/01/2024","01/02/2024","01/03/2024","01/04/2024","01/05/2024"}))</f>
        <v>#VALUE!</v>
      </c>
      <c r="AH742" s="1" t="e">
        <f>ABS(NETWORKDAYS.INTL("06/18/24", "06/18/24", 1, {"01/01/2024","01/15/2024","02/19/2024","05/27/2024","07/04/2024","09/02/2024","10/14/2024","11/11/2024","11/28/2024","12/25/2024","12/25/2024","12/26/2024","12/27/2024","12/28/2024","12/29/2024","12/30/2024","31/25/2024","01/01/2024","01/02/2024","01/03/2024","01/04/2024","01/05/2024"}))</f>
        <v>#VALUE!</v>
      </c>
      <c r="AI742" s="1" t="e">
        <f>ABS(NETWORKDAYS.INTL("07/30/2024", "06/27/24", 1, {"01/01/2024","01/15/2024","02/19/2024","05/27/2024","07/04/2024","09/02/2024","10/14/2024","11/11/2024","11/28/2024","12/25/2024","12/25/2024","12/26/2024","12/27/2024","12/28/2024","12/29/2024","12/30/2024","31/25/2024","01/01/2024","01/02/2024","01/03/2024","01/04/2024","01/05/2024"}))</f>
        <v>#VALUE!</v>
      </c>
      <c r="AJ742" s="1" t="b">
        <v>1</v>
      </c>
      <c r="AK742" s="1"/>
      <c r="AL742" s="1"/>
      <c r="AM742" s="1"/>
      <c r="AN742" s="1"/>
      <c r="AO742" s="1"/>
      <c r="AP742" s="1" t="b">
        <v>1</v>
      </c>
      <c r="AQ742" s="1"/>
      <c r="AR742" s="1"/>
      <c r="AS742" s="1"/>
      <c r="AT742" s="1"/>
      <c r="AU742" s="1"/>
      <c r="AV742" s="1"/>
      <c r="AW742" s="1"/>
      <c r="AX742" s="1"/>
      <c r="AY742" s="1"/>
      <c r="AZ742" s="1" t="b">
        <v>1</v>
      </c>
    </row>
    <row r="743" spans="1:52" ht="15" customHeight="1" x14ac:dyDescent="0.35">
      <c r="A743" s="1" t="s">
        <v>2417</v>
      </c>
      <c r="B743" s="1" t="s">
        <v>2418</v>
      </c>
      <c r="C743" s="1" t="s">
        <v>988</v>
      </c>
      <c r="D743" s="1" t="s">
        <v>2419</v>
      </c>
      <c r="E743" s="1" t="s">
        <v>1983</v>
      </c>
      <c r="F743" s="9" t="s">
        <v>2420</v>
      </c>
      <c r="G743" s="1" t="s">
        <v>38</v>
      </c>
      <c r="H74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3" s="11" t="e">
        <f>ABS(NETWORKDAYS.INTL("05/29/24", "05/29/24", 1, {"01/01/2024","01/15/2024","02/19/2024","05/27/2024","07/04/2024","09/02/2024","10/14/2024","11/11/2024","11/28/2024","12/25/2024","12/25/2024","12/26/2024","12/27/2024","12/28/2024","12/29/2024","12/30/2024","31/25/2024","01/01/2024","01/02/2024","01/03/2024","01/04/2024","01/05/2024"}))</f>
        <v>#VALUE!</v>
      </c>
      <c r="J743">
        <f>0</f>
        <v>0</v>
      </c>
      <c r="K743" s="1"/>
      <c r="L743" s="1">
        <v>1</v>
      </c>
      <c r="M743" s="1" t="e">
        <f>ABS(NETWORKDAYS.INTL("06/20/24", "06/20/24", 1, {"01/01/2024","01/15/2024","02/19/2024","05/27/2024","07/04/2024","09/02/2024","10/14/2024","11/11/2024","11/28/2024","12/25/2024","12/25/2024","12/26/2024","12/27/2024","12/28/2024","12/29/2024","12/30/2024","31/25/2024","01/01/2024","01/02/2024","01/03/2024","01/04/2024","01/05/2024"}))</f>
        <v>#VALUE!</v>
      </c>
      <c r="N743" s="1">
        <f>0</f>
        <v>0</v>
      </c>
      <c r="O743" s="1">
        <f>0</f>
        <v>0</v>
      </c>
      <c r="P743" s="1"/>
      <c r="Q743" s="1">
        <v>0</v>
      </c>
      <c r="R743" s="1">
        <v>0</v>
      </c>
      <c r="S743" s="1">
        <f>0</f>
        <v>0</v>
      </c>
      <c r="T743" s="1">
        <f>0</f>
        <v>0</v>
      </c>
      <c r="U743" s="1"/>
      <c r="V743" s="1">
        <v>2</v>
      </c>
      <c r="W743" s="1">
        <v>1</v>
      </c>
      <c r="X743" s="1" t="e">
        <f>ABS(NETWORKDAYS.INTL("06/20/24", "06/21/24", 1, {"01/01/2024","01/15/2024","02/19/2024","05/27/2024","07/04/2024","09/02/2024","10/14/2024","11/11/2024","11/28/2024","12/25/2024","12/25/2024","12/26/2024","12/27/2024","12/28/2024","12/29/2024","12/30/2024","31/25/2024","01/01/2024","01/02/2024","01/03/2024","01/04/2024","01/05/2024"}))</f>
        <v>#VALUE!</v>
      </c>
      <c r="Y743" s="1" t="e">
        <f>ABS(NETWORKDAYS.INTL("07/10/2024", "07/10/2024", 1, {"01/01/2024","01/15/2024","02/19/2024","05/27/2024","07/04/2024","09/02/2024","10/14/2024","11/11/2024","11/28/2024","12/25/2024","12/25/2024","12/26/2024","12/27/2024","12/28/2024","12/29/2024","12/30/2024","31/25/2024","01/01/2024","01/02/2024","01/03/2024","01/04/2024","01/05/2024"}))</f>
        <v>#VALUE!</v>
      </c>
      <c r="Z743" s="1">
        <f>0</f>
        <v>0</v>
      </c>
      <c r="AA743" s="1"/>
      <c r="AB743" s="5">
        <v>45483</v>
      </c>
      <c r="AC743" s="5">
        <v>45503</v>
      </c>
      <c r="AD743" s="1" t="e">
        <f>ABS(NETWORKDAYS.INTL("06/20/24", "05/29/24", 1, {"01/01/2024","01/15/2024","02/19/2024","05/27/2024","07/04/2024","09/02/2024","10/14/2024","11/11/2024","11/28/2024","12/25/2024","12/25/2024","12/26/2024","12/27/2024","12/28/2024","12/29/2024","12/30/2024","31/25/2024","01/01/2024","01/02/2024","01/03/2024","01/04/2024","01/05/2024"}))</f>
        <v>#VALUE!</v>
      </c>
      <c r="AE743" s="1">
        <f>0</f>
        <v>0</v>
      </c>
      <c r="AF743" s="1">
        <f>0</f>
        <v>0</v>
      </c>
      <c r="AG743" s="1" t="e">
        <f>ABS(NETWORKDAYS.INTL("06/20/24", "08/05/24", 1, {"01/01/2024","01/15/2024","02/19/2024","05/27/2024","07/04/2024","09/02/2024","10/14/2024","11/11/2024","11/28/2024","12/25/2024","12/25/2024","12/26/2024","12/27/2024","12/28/2024","12/29/2024","12/30/2024","31/25/2024","01/01/2024","01/02/2024","01/03/2024","01/04/2024","01/05/2024"}))</f>
        <v>#VALUE!</v>
      </c>
      <c r="AH743" s="1" t="e">
        <f>ABS(NETWORKDAYS.INTL("06/20/24", "06/20/24", 1, {"01/01/2024","01/15/2024","02/19/2024","05/27/2024","07/04/2024","09/02/2024","10/14/2024","11/11/2024","11/28/2024","12/25/2024","12/25/2024","12/26/2024","12/27/2024","12/28/2024","12/29/2024","12/30/2024","31/25/2024","01/01/2024","01/02/2024","01/03/2024","01/04/2024","01/05/2024"}))</f>
        <v>#VALUE!</v>
      </c>
      <c r="AI743" s="1" t="e">
        <f>ABS(NETWORKDAYS.INTL("07/30/2024", "07/10/2024", 1, {"01/01/2024","01/15/2024","02/19/2024","05/27/2024","07/04/2024","09/02/2024","10/14/2024","11/11/2024","11/28/2024","12/25/2024","12/25/2024","12/26/2024","12/27/2024","12/28/2024","12/29/2024","12/30/2024","31/25/2024","01/01/2024","01/02/2024","01/03/2024","01/04/2024","01/05/2024"}))</f>
        <v>#VALUE!</v>
      </c>
      <c r="AJ743" s="1" t="b">
        <v>1</v>
      </c>
      <c r="AK743" s="1"/>
      <c r="AL743" s="1"/>
      <c r="AM743" s="1"/>
      <c r="AN743" s="1"/>
      <c r="AO743" s="1"/>
      <c r="AP743" s="1" t="b">
        <v>1</v>
      </c>
      <c r="AQ743" s="1"/>
      <c r="AR743" s="1"/>
      <c r="AS743" s="1"/>
      <c r="AT743" s="1"/>
      <c r="AU743" s="1"/>
      <c r="AV743" s="1"/>
      <c r="AW743" s="1"/>
      <c r="AX743" s="1"/>
      <c r="AY743" s="1"/>
      <c r="AZ743" s="1" t="b">
        <v>1</v>
      </c>
    </row>
    <row r="744" spans="1:52" ht="15" customHeight="1" x14ac:dyDescent="0.35">
      <c r="A744" s="1" t="s">
        <v>2421</v>
      </c>
      <c r="B744" s="1" t="s">
        <v>2422</v>
      </c>
      <c r="C744" s="1" t="s">
        <v>988</v>
      </c>
      <c r="D744" s="1" t="s">
        <v>2049</v>
      </c>
      <c r="E744" s="1" t="s">
        <v>1983</v>
      </c>
      <c r="F744" s="9" t="s">
        <v>2423</v>
      </c>
      <c r="G744" s="1" t="s">
        <v>38</v>
      </c>
      <c r="H74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4" s="11" t="e">
        <f>ABS(NETWORKDAYS.INTL("05/29/24", "05/31/24", 1, {"01/01/2024","01/15/2024","02/19/2024","05/27/2024","07/04/2024","09/02/2024","10/14/2024","11/11/2024","11/28/2024","12/25/2024","12/25/2024","12/26/2024","12/27/2024","12/28/2024","12/29/2024","12/30/2024","31/25/2024","01/01/2024","01/02/2024","01/03/2024","01/04/2024","01/05/2024"}))</f>
        <v>#VALUE!</v>
      </c>
      <c r="J744">
        <f>0</f>
        <v>0</v>
      </c>
      <c r="K744" s="1"/>
      <c r="L744" s="1">
        <v>1</v>
      </c>
      <c r="M744" s="1" t="e">
        <f>ABS(NETWORKDAYS.INTL("06/19/24", "06/19/24", 1, {"01/01/2024","01/15/2024","02/19/2024","05/27/2024","07/04/2024","09/02/2024","10/14/2024","11/11/2024","11/28/2024","12/25/2024","12/25/2024","12/26/2024","12/27/2024","12/28/2024","12/29/2024","12/30/2024","31/25/2024","01/01/2024","01/02/2024","01/03/2024","01/04/2024","01/05/2024"}))</f>
        <v>#VALUE!</v>
      </c>
      <c r="N744" s="1">
        <f>0</f>
        <v>0</v>
      </c>
      <c r="O744" s="1">
        <f>0</f>
        <v>0</v>
      </c>
      <c r="P744" s="1"/>
      <c r="Q744" s="1">
        <v>0</v>
      </c>
      <c r="R744" s="1">
        <v>0</v>
      </c>
      <c r="S744" s="1">
        <f>0</f>
        <v>0</v>
      </c>
      <c r="T744" s="1">
        <f>0</f>
        <v>0</v>
      </c>
      <c r="U744" s="1"/>
      <c r="V744" s="1">
        <v>1</v>
      </c>
      <c r="W744" s="1">
        <v>1</v>
      </c>
      <c r="X744" s="1" t="e">
        <f>ABS(NETWORKDAYS.INTL("06/19/24", "06/20/24", 1, {"01/01/2024","01/15/2024","02/19/2024","05/27/2024","07/04/2024","09/02/2024","10/14/2024","11/11/2024","11/28/2024","12/25/2024","12/25/2024","12/26/2024","12/27/2024","12/28/2024","12/29/2024","12/30/2024","31/25/2024","01/01/2024","01/02/2024","01/03/2024","01/04/2024","01/05/2024"}))</f>
        <v>#VALUE!</v>
      </c>
      <c r="Y744" s="1">
        <f>0</f>
        <v>0</v>
      </c>
      <c r="Z744" s="1">
        <f>0</f>
        <v>0</v>
      </c>
      <c r="AA744" s="1"/>
      <c r="AB744" s="5">
        <v>45469</v>
      </c>
      <c r="AC744" s="5">
        <v>45503</v>
      </c>
      <c r="AD744" s="1" t="e">
        <f>ABS(NETWORKDAYS.INTL("06/19/24", "05/31/24", 1, {"01/01/2024","01/15/2024","02/19/2024","05/27/2024","07/04/2024","09/02/2024","10/14/2024","11/11/2024","11/28/2024","12/25/2024","12/25/2024","12/26/2024","12/27/2024","12/28/2024","12/29/2024","12/30/2024","31/25/2024","01/01/2024","01/02/2024","01/03/2024","01/04/2024","01/05/2024"}))</f>
        <v>#VALUE!</v>
      </c>
      <c r="AE744" s="1">
        <f>0</f>
        <v>0</v>
      </c>
      <c r="AF744" s="1">
        <f>0</f>
        <v>0</v>
      </c>
      <c r="AG744" s="1" t="e">
        <f>ABS(NETWORKDAYS.INTL("06/19/24", "08/05/24", 1, {"01/01/2024","01/15/2024","02/19/2024","05/27/2024","07/04/2024","09/02/2024","10/14/2024","11/11/2024","11/28/2024","12/25/2024","12/25/2024","12/26/2024","12/27/2024","12/28/2024","12/29/2024","12/30/2024","31/25/2024","01/01/2024","01/02/2024","01/03/2024","01/04/2024","01/05/2024"}))</f>
        <v>#VALUE!</v>
      </c>
      <c r="AH744" s="1" t="e">
        <f>ABS(NETWORKDAYS.INTL("06/19/24", "06/19/24", 1, {"01/01/2024","01/15/2024","02/19/2024","05/27/2024","07/04/2024","09/02/2024","10/14/2024","11/11/2024","11/28/2024","12/25/2024","12/25/2024","12/26/2024","12/27/2024","12/28/2024","12/29/2024","12/30/2024","31/25/2024","01/01/2024","01/02/2024","01/03/2024","01/04/2024","01/05/2024"}))</f>
        <v>#VALUE!</v>
      </c>
      <c r="AI744" s="1" t="e">
        <f>ABS(NETWORKDAYS.INTL("07/30/2024", "06/26/24", 1, {"01/01/2024","01/15/2024","02/19/2024","05/27/2024","07/04/2024","09/02/2024","10/14/2024","11/11/2024","11/28/2024","12/25/2024","12/25/2024","12/26/2024","12/27/2024","12/28/2024","12/29/2024","12/30/2024","31/25/2024","01/01/2024","01/02/2024","01/03/2024","01/04/2024","01/05/2024"}))</f>
        <v>#VALUE!</v>
      </c>
      <c r="AJ744" s="1" t="b">
        <v>1</v>
      </c>
      <c r="AK744" s="1"/>
      <c r="AL744" s="1"/>
      <c r="AM744" s="1"/>
      <c r="AN744" s="1"/>
      <c r="AO744" s="1"/>
      <c r="AP744" s="1" t="b">
        <v>1</v>
      </c>
      <c r="AQ744" s="1"/>
      <c r="AR744" s="1"/>
      <c r="AS744" s="1"/>
      <c r="AT744" s="1"/>
      <c r="AU744" s="1"/>
      <c r="AV744" s="1"/>
      <c r="AW744" s="1"/>
      <c r="AX744" s="1"/>
      <c r="AY744" s="1"/>
      <c r="AZ744" s="1" t="b">
        <v>1</v>
      </c>
    </row>
    <row r="745" spans="1:52" ht="15" customHeight="1" x14ac:dyDescent="0.35">
      <c r="A745" s="1" t="s">
        <v>2424</v>
      </c>
      <c r="B745" s="1" t="s">
        <v>2425</v>
      </c>
      <c r="C745" s="1" t="s">
        <v>988</v>
      </c>
      <c r="D745" s="1" t="s">
        <v>1725</v>
      </c>
      <c r="E745" s="1" t="s">
        <v>1983</v>
      </c>
      <c r="F745" s="9" t="s">
        <v>2426</v>
      </c>
      <c r="G745" s="1" t="s">
        <v>38</v>
      </c>
      <c r="H74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5" s="11" t="e">
        <f>ABS(NETWORKDAYS.INTL("05/20/24", "05/22/24", 1, {"01/01/2024","01/15/2024","02/19/2024","05/27/2024","07/04/2024","09/02/2024","10/14/2024","11/11/2024","11/28/2024","12/25/2024","12/25/2024","12/26/2024","12/27/2024","12/28/2024","12/29/2024","12/30/2024","31/25/2024","01/01/2024","01/02/2024","01/03/2024","01/04/2024","01/05/2024"}))</f>
        <v>#VALUE!</v>
      </c>
      <c r="J745">
        <f>0</f>
        <v>0</v>
      </c>
      <c r="K745" s="1"/>
      <c r="L745" s="1">
        <v>1</v>
      </c>
      <c r="M745" s="1" t="e">
        <f>ABS(NETWORKDAYS.INTL("06/20/24", "06/20/24", 1, {"01/01/2024","01/15/2024","02/19/2024","05/27/2024","07/04/2024","09/02/2024","10/14/2024","11/11/2024","11/28/2024","12/25/2024","12/25/2024","12/26/2024","12/27/2024","12/28/2024","12/29/2024","12/30/2024","31/25/2024","01/01/2024","01/02/2024","01/03/2024","01/04/2024","01/05/2024"}))</f>
        <v>#VALUE!</v>
      </c>
      <c r="N745" s="1">
        <f>0</f>
        <v>0</v>
      </c>
      <c r="O745" s="1">
        <f>0</f>
        <v>0</v>
      </c>
      <c r="P745" s="1"/>
      <c r="Q745" s="1">
        <v>0</v>
      </c>
      <c r="R745" s="1">
        <v>0</v>
      </c>
      <c r="S745" s="1">
        <f>0</f>
        <v>0</v>
      </c>
      <c r="T745" s="1">
        <f>0</f>
        <v>0</v>
      </c>
      <c r="U745" s="1"/>
      <c r="V745" s="1">
        <v>1</v>
      </c>
      <c r="W745" s="1">
        <v>1</v>
      </c>
      <c r="X745" s="1" t="e">
        <f>ABS(NETWORKDAYS.INTL("06/20/24", "06/21/24", 1, {"01/01/2024","01/15/2024","02/19/2024","05/27/2024","07/04/2024","09/02/2024","10/14/2024","11/11/2024","11/28/2024","12/25/2024","12/25/2024","12/26/2024","12/27/2024","12/28/2024","12/29/2024","12/30/2024","31/25/2024","01/01/2024","01/02/2024","01/03/2024","01/04/2024","01/05/2024"}))</f>
        <v>#VALUE!</v>
      </c>
      <c r="Y745" s="1">
        <f>0</f>
        <v>0</v>
      </c>
      <c r="Z745" s="1">
        <f>0</f>
        <v>0</v>
      </c>
      <c r="AA745" s="1"/>
      <c r="AB745" s="5">
        <v>45474</v>
      </c>
      <c r="AC745" s="5">
        <v>45504</v>
      </c>
      <c r="AD745" s="1" t="e">
        <f>ABS(NETWORKDAYS.INTL("06/20/24", "05/22/24", 1, {"01/01/2024","01/15/2024","02/19/2024","05/27/2024","07/04/2024","09/02/2024","10/14/2024","11/11/2024","11/28/2024","12/25/2024","12/25/2024","12/26/2024","12/27/2024","12/28/2024","12/29/2024","12/30/2024","31/25/2024","01/01/2024","01/02/2024","01/03/2024","01/04/2024","01/05/2024"}))</f>
        <v>#VALUE!</v>
      </c>
      <c r="AE745" s="1">
        <f>0</f>
        <v>0</v>
      </c>
      <c r="AF745" s="1">
        <f>0</f>
        <v>0</v>
      </c>
      <c r="AG745" s="1" t="e">
        <f>ABS(NETWORKDAYS.INTL("06/20/24", "08/05/24", 1, {"01/01/2024","01/15/2024","02/19/2024","05/27/2024","07/04/2024","09/02/2024","10/14/2024","11/11/2024","11/28/2024","12/25/2024","12/25/2024","12/26/2024","12/27/2024","12/28/2024","12/29/2024","12/30/2024","31/25/2024","01/01/2024","01/02/2024","01/03/2024","01/04/2024","01/05/2024"}))</f>
        <v>#VALUE!</v>
      </c>
      <c r="AH745" s="1" t="e">
        <f>ABS(NETWORKDAYS.INTL("06/20/24", "06/20/24", 1, {"01/01/2024","01/15/2024","02/19/2024","05/27/2024","07/04/2024","09/02/2024","10/14/2024","11/11/2024","11/28/2024","12/25/2024","12/25/2024","12/26/2024","12/27/2024","12/28/2024","12/29/2024","12/30/2024","31/25/2024","01/01/2024","01/02/2024","01/03/2024","01/04/2024","01/05/2024"}))</f>
        <v>#VALUE!</v>
      </c>
      <c r="AI745" s="1" t="e">
        <f>ABS(NETWORKDAYS.INTL("07/31/2024", "07/01/24", 1, {"01/01/2024","01/15/2024","02/19/2024","05/27/2024","07/04/2024","09/02/2024","10/14/2024","11/11/2024","11/28/2024","12/25/2024","12/25/2024","12/26/2024","12/27/2024","12/28/2024","12/29/2024","12/30/2024","31/25/2024","01/01/2024","01/02/2024","01/03/2024","01/04/2024","01/05/2024"}))</f>
        <v>#VALUE!</v>
      </c>
      <c r="AJ745" s="1" t="b">
        <v>1</v>
      </c>
      <c r="AK745" s="1"/>
      <c r="AL745" s="1"/>
      <c r="AM745" s="1"/>
      <c r="AN745" s="1"/>
      <c r="AO745" s="1"/>
      <c r="AP745" s="1" t="b">
        <v>1</v>
      </c>
      <c r="AQ745" s="1"/>
      <c r="AR745" s="1"/>
      <c r="AS745" s="1"/>
      <c r="AT745" s="1"/>
      <c r="AU745" s="1"/>
      <c r="AV745" s="1"/>
      <c r="AW745" s="1"/>
      <c r="AX745" s="1"/>
      <c r="AY745" s="1"/>
      <c r="AZ745" s="1" t="b">
        <v>1</v>
      </c>
    </row>
    <row r="746" spans="1:52" ht="15" customHeight="1" x14ac:dyDescent="0.35">
      <c r="A746" s="1" t="s">
        <v>2427</v>
      </c>
      <c r="B746" s="1" t="s">
        <v>2428</v>
      </c>
      <c r="C746" s="1" t="s">
        <v>988</v>
      </c>
      <c r="D746" s="1" t="s">
        <v>2429</v>
      </c>
      <c r="E746" s="1" t="s">
        <v>1983</v>
      </c>
      <c r="F746" s="9" t="s">
        <v>2430</v>
      </c>
      <c r="G746" s="1" t="s">
        <v>38</v>
      </c>
      <c r="H74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6" s="11" t="e">
        <f>ABS(NETWORKDAYS.INTL("05/29/24", "05/31/24", 1, {"01/01/2024","01/15/2024","02/19/2024","05/27/2024","07/04/2024","09/02/2024","10/14/2024","11/11/2024","11/28/2024","12/25/2024","12/25/2024","12/26/2024","12/27/2024","12/28/2024","12/29/2024","12/30/2024","31/25/2024","01/01/2024","01/02/2024","01/03/2024","01/04/2024","01/05/2024"}))</f>
        <v>#VALUE!</v>
      </c>
      <c r="J746">
        <f>0</f>
        <v>0</v>
      </c>
      <c r="K746" s="1"/>
      <c r="L746" s="1">
        <v>1</v>
      </c>
      <c r="M746" s="1" t="e">
        <f>ABS(NETWORKDAYS.INTL("06/19/24", "06/19/24", 1, {"01/01/2024","01/15/2024","02/19/2024","05/27/2024","07/04/2024","09/02/2024","10/14/2024","11/11/2024","11/28/2024","12/25/2024","12/25/2024","12/26/2024","12/27/2024","12/28/2024","12/29/2024","12/30/2024","31/25/2024","01/01/2024","01/02/2024","01/03/2024","01/04/2024","01/05/2024"}))</f>
        <v>#VALUE!</v>
      </c>
      <c r="N746" s="1">
        <f>0</f>
        <v>0</v>
      </c>
      <c r="O746" s="1">
        <f>0</f>
        <v>0</v>
      </c>
      <c r="P746" s="1"/>
      <c r="Q746" s="1">
        <v>0</v>
      </c>
      <c r="R746" s="1">
        <v>0</v>
      </c>
      <c r="S746" s="1">
        <f>0</f>
        <v>0</v>
      </c>
      <c r="T746" s="1">
        <f>0</f>
        <v>0</v>
      </c>
      <c r="U746" s="1"/>
      <c r="V746" s="1">
        <v>2</v>
      </c>
      <c r="W746" s="1">
        <v>1</v>
      </c>
      <c r="X746" s="1" t="e">
        <f>ABS(NETWORKDAYS.INTL("06/19/24", "06/21/24", 1, {"01/01/2024","01/15/2024","02/19/2024","05/27/2024","07/04/2024","09/02/2024","10/14/2024","11/11/2024","11/28/2024","12/25/2024","12/25/2024","12/26/2024","12/27/2024","12/28/2024","12/29/2024","12/30/2024","31/25/2024","01/01/2024","01/02/2024","01/03/2024","01/04/2024","01/05/2024"}))</f>
        <v>#VALUE!</v>
      </c>
      <c r="Y746" s="1" t="e">
        <f>ABS(NETWORKDAYS.INTL("07/02/24", "07/02/24", 1, {"01/01/2024","01/15/2024","02/19/2024","05/27/2024","07/04/2024","09/02/2024","10/14/2024","11/11/2024","11/28/2024","12/25/2024","12/25/2024","12/26/2024","12/27/2024","12/28/2024","12/29/2024","12/30/2024","31/25/2024","01/01/2024","01/02/2024","01/03/2024","01/04/2024","01/05/2024"}))</f>
        <v>#VALUE!</v>
      </c>
      <c r="Z746" s="1">
        <f>0</f>
        <v>0</v>
      </c>
      <c r="AA746" s="1"/>
      <c r="AB746" s="5">
        <v>45483</v>
      </c>
      <c r="AC746" s="5">
        <v>45503</v>
      </c>
      <c r="AD746" s="1" t="e">
        <f>ABS(NETWORKDAYS.INTL("06/19/24", "05/31/24", 1, {"01/01/2024","01/15/2024","02/19/2024","05/27/2024","07/04/2024","09/02/2024","10/14/2024","11/11/2024","11/28/2024","12/25/2024","12/25/2024","12/26/2024","12/27/2024","12/28/2024","12/29/2024","12/30/2024","31/25/2024","01/01/2024","01/02/2024","01/03/2024","01/04/2024","01/05/2024"}))</f>
        <v>#VALUE!</v>
      </c>
      <c r="AE746" s="1">
        <f>0</f>
        <v>0</v>
      </c>
      <c r="AF746" s="1">
        <f>0</f>
        <v>0</v>
      </c>
      <c r="AG746" s="1" t="e">
        <f>ABS(NETWORKDAYS.INTL("06/19/24", "08/05/24", 1, {"01/01/2024","01/15/2024","02/19/2024","05/27/2024","07/04/2024","09/02/2024","10/14/2024","11/11/2024","11/28/2024","12/25/2024","12/25/2024","12/26/2024","12/27/2024","12/28/2024","12/29/2024","12/30/2024","31/25/2024","01/01/2024","01/02/2024","01/03/2024","01/04/2024","01/05/2024"}))</f>
        <v>#VALUE!</v>
      </c>
      <c r="AH746" s="1" t="e">
        <f>ABS(NETWORKDAYS.INTL("06/19/24", "06/19/24", 1, {"01/01/2024","01/15/2024","02/19/2024","05/27/2024","07/04/2024","09/02/2024","10/14/2024","11/11/2024","11/28/2024","12/25/2024","12/25/2024","12/26/2024","12/27/2024","12/28/2024","12/29/2024","12/30/2024","31/25/2024","01/01/2024","01/02/2024","01/03/2024","01/04/2024","01/05/2024"}))</f>
        <v>#VALUE!</v>
      </c>
      <c r="AI746" s="1" t="e">
        <f>ABS(NETWORKDAYS.INTL("07/30/2024", "07/10/2024", 1, {"01/01/2024","01/15/2024","02/19/2024","05/27/2024","07/04/2024","09/02/2024","10/14/2024","11/11/2024","11/28/2024","12/25/2024","12/25/2024","12/26/2024","12/27/2024","12/28/2024","12/29/2024","12/30/2024","31/25/2024","01/01/2024","01/02/2024","01/03/2024","01/04/2024","01/05/2024"}))</f>
        <v>#VALUE!</v>
      </c>
      <c r="AJ746" s="1" t="b">
        <v>1</v>
      </c>
      <c r="AK746" s="1"/>
      <c r="AL746" s="1"/>
      <c r="AM746" s="1"/>
      <c r="AN746" s="1"/>
      <c r="AO746" s="1"/>
      <c r="AP746" s="1" t="b">
        <v>1</v>
      </c>
      <c r="AQ746" s="1"/>
      <c r="AR746" s="1"/>
      <c r="AS746" s="1"/>
      <c r="AT746" s="1"/>
      <c r="AU746" s="1"/>
      <c r="AV746" s="1"/>
      <c r="AW746" s="1"/>
      <c r="AX746" s="1"/>
      <c r="AY746" s="1"/>
      <c r="AZ746" s="1" t="b">
        <v>1</v>
      </c>
    </row>
    <row r="747" spans="1:52" ht="15" customHeight="1" x14ac:dyDescent="0.35">
      <c r="A747" s="1" t="s">
        <v>2431</v>
      </c>
      <c r="B747" s="1" t="s">
        <v>2432</v>
      </c>
      <c r="C747" s="1" t="s">
        <v>988</v>
      </c>
      <c r="D747" s="1" t="s">
        <v>2318</v>
      </c>
      <c r="E747" s="1" t="s">
        <v>1983</v>
      </c>
      <c r="F747" s="9" t="s">
        <v>2433</v>
      </c>
      <c r="G747" s="1" t="s">
        <v>38</v>
      </c>
      <c r="H74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7" s="11" t="e">
        <f>ABS(NETWORKDAYS.INTL("05/30/24", "05/30/24", 1, {"01/01/2024","01/15/2024","02/19/2024","05/27/2024","07/04/2024","09/02/2024","10/14/2024","11/11/2024","11/28/2024","12/25/2024","12/25/2024","12/26/2024","12/27/2024","12/28/2024","12/29/2024","12/30/2024","31/25/2024","01/01/2024","01/02/2024","01/03/2024","01/04/2024","01/05/2024"}))</f>
        <v>#VALUE!</v>
      </c>
      <c r="J747">
        <f>0</f>
        <v>0</v>
      </c>
      <c r="K747" s="1"/>
      <c r="L747" s="1">
        <v>1</v>
      </c>
      <c r="M747" s="1" t="e">
        <f>ABS(NETWORKDAYS.INTL("06/17/24", "06/17/24", 1, {"01/01/2024","01/15/2024","02/19/2024","05/27/2024","07/04/2024","09/02/2024","10/14/2024","11/11/2024","11/28/2024","12/25/2024","12/25/2024","12/26/2024","12/27/2024","12/28/2024","12/29/2024","12/30/2024","31/25/2024","01/01/2024","01/02/2024","01/03/2024","01/04/2024","01/05/2024"}))</f>
        <v>#VALUE!</v>
      </c>
      <c r="N747" s="1">
        <f>0</f>
        <v>0</v>
      </c>
      <c r="O747" s="1">
        <f>0</f>
        <v>0</v>
      </c>
      <c r="P747" s="1"/>
      <c r="Q747" s="1">
        <v>0</v>
      </c>
      <c r="R747" s="1">
        <v>0</v>
      </c>
      <c r="S747" s="1">
        <f>0</f>
        <v>0</v>
      </c>
      <c r="T747" s="1">
        <f>0</f>
        <v>0</v>
      </c>
      <c r="U747" s="1"/>
      <c r="V747" s="1">
        <v>1</v>
      </c>
      <c r="W747" s="1">
        <v>1</v>
      </c>
      <c r="X747" s="1" t="e">
        <f>ABS(NETWORKDAYS.INTL("06/17/24", "06/18/24", 1, {"01/01/2024","01/15/2024","02/19/2024","05/27/2024","07/04/2024","09/02/2024","10/14/2024","11/11/2024","11/28/2024","12/25/2024","12/25/2024","12/26/2024","12/27/2024","12/28/2024","12/29/2024","12/30/2024","31/25/2024","01/01/2024","01/02/2024","01/03/2024","01/04/2024","01/05/2024"}))</f>
        <v>#VALUE!</v>
      </c>
      <c r="Y747" s="1">
        <f>0</f>
        <v>0</v>
      </c>
      <c r="Z747" s="1">
        <f>0</f>
        <v>0</v>
      </c>
      <c r="AA747" s="1"/>
      <c r="AB747" s="5">
        <v>45461</v>
      </c>
      <c r="AC747" s="5">
        <v>45504</v>
      </c>
      <c r="AD747" s="1" t="e">
        <f>ABS(NETWORKDAYS.INTL("06/17/24", "05/30/24", 1, {"01/01/2024","01/15/2024","02/19/2024","05/27/2024","07/04/2024","09/02/2024","10/14/2024","11/11/2024","11/28/2024","12/25/2024","12/25/2024","12/26/2024","12/27/2024","12/28/2024","12/29/2024","12/30/2024","31/25/2024","01/01/2024","01/02/2024","01/03/2024","01/04/2024","01/05/2024"}))</f>
        <v>#VALUE!</v>
      </c>
      <c r="AE747" s="1">
        <f>0</f>
        <v>0</v>
      </c>
      <c r="AF747" s="1">
        <f>0</f>
        <v>0</v>
      </c>
      <c r="AG747" s="1" t="e">
        <f>ABS(NETWORKDAYS.INTL("06/17/24", "08/05/24", 1, {"01/01/2024","01/15/2024","02/19/2024","05/27/2024","07/04/2024","09/02/2024","10/14/2024","11/11/2024","11/28/2024","12/25/2024","12/25/2024","12/26/2024","12/27/2024","12/28/2024","12/29/2024","12/30/2024","31/25/2024","01/01/2024","01/02/2024","01/03/2024","01/04/2024","01/05/2024"}))</f>
        <v>#VALUE!</v>
      </c>
      <c r="AH747" s="1" t="e">
        <f>ABS(NETWORKDAYS.INTL("06/17/24", "06/17/24", 1, {"01/01/2024","01/15/2024","02/19/2024","05/27/2024","07/04/2024","09/02/2024","10/14/2024","11/11/2024","11/28/2024","12/25/2024","12/25/2024","12/26/2024","12/27/2024","12/28/2024","12/29/2024","12/30/2024","31/25/2024","01/01/2024","01/02/2024","01/03/2024","01/04/2024","01/05/2024"}))</f>
        <v>#VALUE!</v>
      </c>
      <c r="AI747" s="1" t="e">
        <f>ABS(NETWORKDAYS.INTL("07/31/2024", "06/18/24", 1, {"01/01/2024","01/15/2024","02/19/2024","05/27/2024","07/04/2024","09/02/2024","10/14/2024","11/11/2024","11/28/2024","12/25/2024","12/25/2024","12/26/2024","12/27/2024","12/28/2024","12/29/2024","12/30/2024","31/25/2024","01/01/2024","01/02/2024","01/03/2024","01/04/2024","01/05/2024"}))</f>
        <v>#VALUE!</v>
      </c>
      <c r="AJ747" s="1" t="b">
        <v>1</v>
      </c>
      <c r="AK747" s="1"/>
      <c r="AL747" s="1"/>
      <c r="AM747" s="1"/>
      <c r="AN747" s="1"/>
      <c r="AO747" s="1"/>
      <c r="AP747" s="1" t="b">
        <v>1</v>
      </c>
      <c r="AQ747" s="1"/>
      <c r="AR747" s="1"/>
      <c r="AS747" s="1"/>
      <c r="AT747" s="1"/>
      <c r="AU747" s="1"/>
      <c r="AV747" s="1"/>
      <c r="AW747" s="1"/>
      <c r="AX747" s="1"/>
      <c r="AY747" s="1"/>
      <c r="AZ747" s="1" t="b">
        <v>1</v>
      </c>
    </row>
    <row r="748" spans="1:52" ht="15" customHeight="1" x14ac:dyDescent="0.35">
      <c r="A748" s="1" t="s">
        <v>2434</v>
      </c>
      <c r="B748" s="1" t="s">
        <v>2435</v>
      </c>
      <c r="C748" s="1" t="s">
        <v>988</v>
      </c>
      <c r="D748" s="1" t="s">
        <v>1725</v>
      </c>
      <c r="E748" s="1" t="s">
        <v>1983</v>
      </c>
      <c r="F748" s="9" t="s">
        <v>2436</v>
      </c>
      <c r="G748" s="1" t="s">
        <v>38</v>
      </c>
      <c r="H74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8" s="11" t="e">
        <f>ABS(NETWORKDAYS.INTL("05/29/24", "05/31/24", 1, {"01/01/2024","01/15/2024","02/19/2024","05/27/2024","07/04/2024","09/02/2024","10/14/2024","11/11/2024","11/28/2024","12/25/2024","12/25/2024","12/26/2024","12/27/2024","12/28/2024","12/29/2024","12/30/2024","31/25/2024","01/01/2024","01/02/2024","01/03/2024","01/04/2024","01/05/2024"}))</f>
        <v>#VALUE!</v>
      </c>
      <c r="J748">
        <f>0</f>
        <v>0</v>
      </c>
      <c r="K748" s="1"/>
      <c r="L748" s="1">
        <v>1</v>
      </c>
      <c r="M748" s="1" t="e">
        <f>ABS(NETWORKDAYS.INTL("06/18/24", "06/18/24", 1, {"01/01/2024","01/15/2024","02/19/2024","05/27/2024","07/04/2024","09/02/2024","10/14/2024","11/11/2024","11/28/2024","12/25/2024","12/25/2024","12/26/2024","12/27/2024","12/28/2024","12/29/2024","12/30/2024","31/25/2024","01/01/2024","01/02/2024","01/03/2024","01/04/2024","01/05/2024"}))</f>
        <v>#VALUE!</v>
      </c>
      <c r="N748" s="1">
        <f>0</f>
        <v>0</v>
      </c>
      <c r="O748" s="1">
        <f>0</f>
        <v>0</v>
      </c>
      <c r="P748" s="1"/>
      <c r="Q748" s="1">
        <v>0</v>
      </c>
      <c r="R748" s="1">
        <v>0</v>
      </c>
      <c r="S748" s="1">
        <f>0</f>
        <v>0</v>
      </c>
      <c r="T748" s="1">
        <f>0</f>
        <v>0</v>
      </c>
      <c r="U748" s="1"/>
      <c r="V748" s="1">
        <v>1</v>
      </c>
      <c r="W748" s="1">
        <v>1</v>
      </c>
      <c r="X748" s="1" t="e">
        <f>ABS(NETWORKDAYS.INTL("06/18/24", "06/20/24", 1, {"01/01/2024","01/15/2024","02/19/2024","05/27/2024","07/04/2024","09/02/2024","10/14/2024","11/11/2024","11/28/2024","12/25/2024","12/25/2024","12/26/2024","12/27/2024","12/28/2024","12/29/2024","12/30/2024","31/25/2024","01/01/2024","01/02/2024","01/03/2024","01/04/2024","01/05/2024"}))</f>
        <v>#VALUE!</v>
      </c>
      <c r="Y748" s="1">
        <f>0</f>
        <v>0</v>
      </c>
      <c r="Z748" s="1">
        <f>0</f>
        <v>0</v>
      </c>
      <c r="AA748" s="1"/>
      <c r="AB748" s="5">
        <v>45469</v>
      </c>
      <c r="AC748" s="5">
        <v>45503</v>
      </c>
      <c r="AD748" s="1" t="e">
        <f>ABS(NETWORKDAYS.INTL("06/18/24", "05/31/24", 1, {"01/01/2024","01/15/2024","02/19/2024","05/27/2024","07/04/2024","09/02/2024","10/14/2024","11/11/2024","11/28/2024","12/25/2024","12/25/2024","12/26/2024","12/27/2024","12/28/2024","12/29/2024","12/30/2024","31/25/2024","01/01/2024","01/02/2024","01/03/2024","01/04/2024","01/05/2024"}))</f>
        <v>#VALUE!</v>
      </c>
      <c r="AE748" s="1">
        <f>0</f>
        <v>0</v>
      </c>
      <c r="AF748" s="1">
        <f>0</f>
        <v>0</v>
      </c>
      <c r="AG748" s="1" t="e">
        <f>ABS(NETWORKDAYS.INTL("06/18/24", "08/05/24", 1, {"01/01/2024","01/15/2024","02/19/2024","05/27/2024","07/04/2024","09/02/2024","10/14/2024","11/11/2024","11/28/2024","12/25/2024","12/25/2024","12/26/2024","12/27/2024","12/28/2024","12/29/2024","12/30/2024","31/25/2024","01/01/2024","01/02/2024","01/03/2024","01/04/2024","01/05/2024"}))</f>
        <v>#VALUE!</v>
      </c>
      <c r="AH748" s="1" t="e">
        <f>ABS(NETWORKDAYS.INTL("06/18/24", "06/18/24", 1, {"01/01/2024","01/15/2024","02/19/2024","05/27/2024","07/04/2024","09/02/2024","10/14/2024","11/11/2024","11/28/2024","12/25/2024","12/25/2024","12/26/2024","12/27/2024","12/28/2024","12/29/2024","12/30/2024","31/25/2024","01/01/2024","01/02/2024","01/03/2024","01/04/2024","01/05/2024"}))</f>
        <v>#VALUE!</v>
      </c>
      <c r="AI748" s="1" t="e">
        <f>ABS(NETWORKDAYS.INTL("07/30/2024", "06/26/24", 1, {"01/01/2024","01/15/2024","02/19/2024","05/27/2024","07/04/2024","09/02/2024","10/14/2024","11/11/2024","11/28/2024","12/25/2024","12/25/2024","12/26/2024","12/27/2024","12/28/2024","12/29/2024","12/30/2024","31/25/2024","01/01/2024","01/02/2024","01/03/2024","01/04/2024","01/05/2024"}))</f>
        <v>#VALUE!</v>
      </c>
      <c r="AJ748" s="1" t="b">
        <v>1</v>
      </c>
      <c r="AK748" s="1"/>
      <c r="AL748" s="1"/>
      <c r="AM748" s="1"/>
      <c r="AN748" s="1"/>
      <c r="AO748" s="1"/>
      <c r="AP748" s="1" t="b">
        <v>1</v>
      </c>
      <c r="AQ748" s="1"/>
      <c r="AR748" s="1"/>
      <c r="AS748" s="1"/>
      <c r="AT748" s="1"/>
      <c r="AU748" s="1"/>
      <c r="AV748" s="1"/>
      <c r="AW748" s="1"/>
      <c r="AX748" s="1"/>
      <c r="AY748" s="1"/>
      <c r="AZ748" s="1" t="b">
        <v>1</v>
      </c>
    </row>
    <row r="749" spans="1:52" ht="15" customHeight="1" x14ac:dyDescent="0.35">
      <c r="A749" s="1" t="s">
        <v>2437</v>
      </c>
      <c r="B749" s="1" t="s">
        <v>2438</v>
      </c>
      <c r="C749" s="1" t="s">
        <v>1377</v>
      </c>
      <c r="D749" s="1" t="s">
        <v>2272</v>
      </c>
      <c r="E749" s="1" t="s">
        <v>1983</v>
      </c>
      <c r="F749" s="9" t="s">
        <v>2439</v>
      </c>
      <c r="G749" s="1" t="s">
        <v>38</v>
      </c>
      <c r="H74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49" s="11" t="e">
        <f>ABS(NETWORKDAYS.INTL("05/30/24", "06/13/24", 1, {"01/01/2024","01/15/2024","02/19/2024","05/27/2024","07/04/2024","09/02/2024","10/14/2024","11/11/2024","11/28/2024","12/25/2024","12/25/2024","12/26/2024","12/27/2024","12/28/2024","12/29/2024","12/30/2024","31/25/2024","01/01/2024","01/02/2024","01/03/2024","01/04/2024","01/05/2024"}))</f>
        <v>#VALUE!</v>
      </c>
      <c r="J749">
        <f>0</f>
        <v>0</v>
      </c>
      <c r="K749" s="1"/>
      <c r="L749" s="1">
        <v>1</v>
      </c>
      <c r="M749" s="1" t="e">
        <f>ABS(NETWORKDAYS.INTL("06/14/24", "06/14/24", 1, {"01/01/2024","01/15/2024","02/19/2024","05/27/2024","07/04/2024","09/02/2024","10/14/2024","11/11/2024","11/28/2024","12/25/2024","12/25/2024","12/26/2024","12/27/2024","12/28/2024","12/29/2024","12/30/2024","31/25/2024","01/01/2024","01/02/2024","01/03/2024","01/04/2024","01/05/2024"}))</f>
        <v>#VALUE!</v>
      </c>
      <c r="N749" s="1">
        <f>0</f>
        <v>0</v>
      </c>
      <c r="O749" s="1">
        <f>0</f>
        <v>0</v>
      </c>
      <c r="P749" s="1"/>
      <c r="Q749" s="1">
        <v>0</v>
      </c>
      <c r="R749" s="1">
        <v>0</v>
      </c>
      <c r="S749" s="1">
        <f>0</f>
        <v>0</v>
      </c>
      <c r="T749" s="1">
        <f>0</f>
        <v>0</v>
      </c>
      <c r="U749" s="1"/>
      <c r="V749" s="1">
        <v>1</v>
      </c>
      <c r="W749" s="1">
        <v>1</v>
      </c>
      <c r="X749" s="1" t="e">
        <f>ABS(NETWORKDAYS.INTL("06/14/24", "06/14/24", 1, {"01/01/2024","01/15/2024","02/19/2024","05/27/2024","07/04/2024","09/02/2024","10/14/2024","11/11/2024","11/28/2024","12/25/2024","12/25/2024","12/26/2024","12/27/2024","12/28/2024","12/29/2024","12/30/2024","31/25/2024","01/01/2024","01/02/2024","01/03/2024","01/04/2024","01/05/2024"}))</f>
        <v>#VALUE!</v>
      </c>
      <c r="Y749" s="1" t="e">
        <f>ABS(NETWORKDAYS.INTL("06/14/24", "06/14/24", 1, {"01/01/2024","01/15/2024","02/19/2024","05/27/2024","07/04/2024","09/02/2024","10/14/2024","11/11/2024","11/28/2024","12/25/2024","12/25/2024","12/26/2024","12/27/2024","12/28/2024","12/29/2024","12/30/2024","31/25/2024","01/01/2024","01/02/2024","01/03/2024","01/04/2024","01/05/2024"}))</f>
        <v>#VALUE!</v>
      </c>
      <c r="Z749" s="1">
        <f>0</f>
        <v>0</v>
      </c>
      <c r="AA749" s="1"/>
      <c r="AB749" s="5">
        <v>45457</v>
      </c>
      <c r="AC749" s="1"/>
      <c r="AD749" s="1" t="e">
        <f>ABS(NETWORKDAYS.INTL("06/14/24", "06/13/24", 1, {"01/01/2024","01/15/2024","02/19/2024","05/27/2024","07/04/2024","09/02/2024","10/14/2024","11/11/2024","11/28/2024","12/25/2024","12/25/2024","12/26/2024","12/27/2024","12/28/2024","12/29/2024","12/30/2024","31/25/2024","01/01/2024","01/02/2024","01/03/2024","01/04/2024","01/05/2024"}))</f>
        <v>#VALUE!</v>
      </c>
      <c r="AE749" s="1">
        <f>0</f>
        <v>0</v>
      </c>
      <c r="AF749" s="1">
        <f>0</f>
        <v>0</v>
      </c>
      <c r="AG749" s="1" t="e">
        <f>ABS(NETWORKDAYS.INTL("06/14/24", "08/05/24", 1, {"01/01/2024","01/15/2024","02/19/2024","05/27/2024","07/04/2024","09/02/2024","10/14/2024","11/11/2024","11/28/2024","12/25/2024","12/25/2024","12/26/2024","12/27/2024","12/28/2024","12/29/2024","12/30/2024","31/25/2024","01/01/2024","01/02/2024","01/03/2024","01/04/2024","01/05/2024"}))</f>
        <v>#VALUE!</v>
      </c>
      <c r="AH749" s="1" t="e">
        <f>ABS(NETWORKDAYS.INTL("06/14/24", "06/14/24", 1, {"01/01/2024","01/15/2024","02/19/2024","05/27/2024","07/04/2024","09/02/2024","10/14/2024","11/11/2024","11/28/2024","12/25/2024","12/25/2024","12/26/2024","12/27/2024","12/28/2024","12/29/2024","12/30/2024","31/25/2024","01/01/2024","01/02/2024","01/03/2024","01/04/2024","01/05/2024"}))</f>
        <v>#VALUE!</v>
      </c>
      <c r="AI749" s="1">
        <f>0</f>
        <v>0</v>
      </c>
      <c r="AJ749" s="1" t="b">
        <v>1</v>
      </c>
      <c r="AK749" s="1"/>
      <c r="AL749" s="1"/>
      <c r="AM749" s="1"/>
      <c r="AN749" s="1"/>
      <c r="AO749" s="1"/>
      <c r="AP749" s="1" t="b">
        <v>1</v>
      </c>
      <c r="AQ749" s="1"/>
      <c r="AR749" s="1"/>
      <c r="AS749" s="1"/>
      <c r="AT749" s="1"/>
      <c r="AU749" s="1"/>
      <c r="AV749" s="1"/>
      <c r="AW749" s="1"/>
      <c r="AX749" s="1"/>
      <c r="AY749" s="1"/>
      <c r="AZ749" s="1" t="b">
        <v>1</v>
      </c>
    </row>
    <row r="750" spans="1:52" ht="15" customHeight="1" x14ac:dyDescent="0.35">
      <c r="A750" s="1" t="s">
        <v>2440</v>
      </c>
      <c r="B750" s="1" t="s">
        <v>2441</v>
      </c>
      <c r="C750" s="1" t="s">
        <v>640</v>
      </c>
      <c r="D750" s="1"/>
      <c r="E750" s="1" t="s">
        <v>2220</v>
      </c>
      <c r="F750" s="9" t="s">
        <v>2442</v>
      </c>
      <c r="G750" s="1" t="s">
        <v>38</v>
      </c>
      <c r="H75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0" s="11">
        <f>0</f>
        <v>0</v>
      </c>
      <c r="J750">
        <f>0</f>
        <v>0</v>
      </c>
      <c r="K750" s="1"/>
      <c r="L750" s="1">
        <v>0</v>
      </c>
      <c r="M750" s="1">
        <f>0</f>
        <v>0</v>
      </c>
      <c r="N750" s="1">
        <f>0</f>
        <v>0</v>
      </c>
      <c r="O750" s="1">
        <f>0</f>
        <v>0</v>
      </c>
      <c r="P750" s="1"/>
      <c r="Q750" s="1">
        <v>0</v>
      </c>
      <c r="R750" s="1">
        <v>0</v>
      </c>
      <c r="S750" s="1">
        <f>0</f>
        <v>0</v>
      </c>
      <c r="T750" s="1">
        <f>0</f>
        <v>0</v>
      </c>
      <c r="U750" s="1"/>
      <c r="V750" s="1">
        <v>0</v>
      </c>
      <c r="W750" s="1">
        <v>0</v>
      </c>
      <c r="X750" s="1">
        <f>0</f>
        <v>0</v>
      </c>
      <c r="Y750" s="1">
        <f>0</f>
        <v>0</v>
      </c>
      <c r="Z750" s="1">
        <f>0</f>
        <v>0</v>
      </c>
      <c r="AA750" s="1"/>
      <c r="AB750" s="5"/>
      <c r="AC750" s="1"/>
      <c r="AD750" s="1">
        <f>0</f>
        <v>0</v>
      </c>
      <c r="AE750" s="1">
        <f>0</f>
        <v>0</v>
      </c>
      <c r="AF750" s="1">
        <f>0</f>
        <v>0</v>
      </c>
      <c r="AG750" s="1">
        <f>0</f>
        <v>0</v>
      </c>
      <c r="AH750" s="1">
        <f>0</f>
        <v>0</v>
      </c>
      <c r="AI750" s="1">
        <f>0</f>
        <v>0</v>
      </c>
      <c r="AJ750" s="1" t="b">
        <v>1</v>
      </c>
      <c r="AK750" s="1"/>
      <c r="AL750" s="1"/>
      <c r="AM750" s="1"/>
      <c r="AN750" s="1"/>
      <c r="AO750" s="1"/>
      <c r="AP750" s="1"/>
      <c r="AQ750" s="1"/>
      <c r="AR750" s="1"/>
      <c r="AS750" s="1"/>
      <c r="AT750" s="1"/>
      <c r="AU750" s="1" t="b">
        <v>1</v>
      </c>
      <c r="AV750" s="1" t="b">
        <v>1</v>
      </c>
      <c r="AW750" s="1"/>
      <c r="AX750" s="1"/>
      <c r="AY750" s="1" t="b">
        <v>1</v>
      </c>
      <c r="AZ750" s="1"/>
    </row>
    <row r="751" spans="1:52" ht="15" customHeight="1" x14ac:dyDescent="0.35">
      <c r="A751" s="1" t="s">
        <v>2443</v>
      </c>
      <c r="B751" s="1" t="s">
        <v>2444</v>
      </c>
      <c r="C751" s="1" t="s">
        <v>640</v>
      </c>
      <c r="D751" s="1"/>
      <c r="E751" s="1" t="s">
        <v>2220</v>
      </c>
      <c r="F751" s="9" t="s">
        <v>2445</v>
      </c>
      <c r="G751" s="1" t="s">
        <v>38</v>
      </c>
      <c r="H75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51" s="11">
        <f>0</f>
        <v>0</v>
      </c>
      <c r="J751">
        <f>0</f>
        <v>0</v>
      </c>
      <c r="K751" s="1"/>
      <c r="L751" s="1">
        <v>0</v>
      </c>
      <c r="M751" s="1">
        <f>0</f>
        <v>0</v>
      </c>
      <c r="N751" s="1">
        <f>0</f>
        <v>0</v>
      </c>
      <c r="O751" s="1">
        <f>0</f>
        <v>0</v>
      </c>
      <c r="P751" s="1"/>
      <c r="Q751" s="1">
        <v>0</v>
      </c>
      <c r="R751" s="1">
        <v>0</v>
      </c>
      <c r="S751" s="1">
        <f>0</f>
        <v>0</v>
      </c>
      <c r="T751" s="1">
        <f>0</f>
        <v>0</v>
      </c>
      <c r="U751" s="1"/>
      <c r="V751" s="1">
        <v>0</v>
      </c>
      <c r="W751" s="1">
        <v>0</v>
      </c>
      <c r="X751" s="1">
        <f>0</f>
        <v>0</v>
      </c>
      <c r="Y751" s="1">
        <f>0</f>
        <v>0</v>
      </c>
      <c r="Z751" s="1">
        <f>0</f>
        <v>0</v>
      </c>
      <c r="AA751" s="1"/>
      <c r="AB751" s="5"/>
      <c r="AC751" s="1"/>
      <c r="AD751" s="1">
        <f>0</f>
        <v>0</v>
      </c>
      <c r="AE751" s="1">
        <f>0</f>
        <v>0</v>
      </c>
      <c r="AF751" s="1">
        <f>0</f>
        <v>0</v>
      </c>
      <c r="AG751" s="1">
        <f>0</f>
        <v>0</v>
      </c>
      <c r="AH751" s="1">
        <f>0</f>
        <v>0</v>
      </c>
      <c r="AI751" s="1">
        <f>0</f>
        <v>0</v>
      </c>
      <c r="AJ751" s="1" t="b">
        <v>1</v>
      </c>
      <c r="AK751" s="1"/>
      <c r="AL751" s="1"/>
      <c r="AM751" s="1"/>
      <c r="AN751" s="1"/>
      <c r="AO751" s="1"/>
      <c r="AP751" s="1"/>
      <c r="AQ751" s="1"/>
      <c r="AR751" s="1"/>
      <c r="AS751" s="1"/>
      <c r="AT751" s="1"/>
      <c r="AU751" s="1" t="b">
        <v>1</v>
      </c>
      <c r="AV751" s="1" t="b">
        <v>1</v>
      </c>
      <c r="AW751" s="1"/>
      <c r="AX751" s="1"/>
      <c r="AY751" s="1" t="b">
        <v>1</v>
      </c>
      <c r="AZ751" s="1"/>
    </row>
    <row r="752" spans="1:52" ht="15" customHeight="1" x14ac:dyDescent="0.35">
      <c r="A752" s="1" t="s">
        <v>2446</v>
      </c>
      <c r="B752" s="1" t="s">
        <v>2447</v>
      </c>
      <c r="C752" s="1" t="s">
        <v>988</v>
      </c>
      <c r="D752" s="1" t="s">
        <v>2429</v>
      </c>
      <c r="E752" s="1" t="s">
        <v>1983</v>
      </c>
      <c r="F752" s="9" t="s">
        <v>2448</v>
      </c>
      <c r="G752" s="1" t="s">
        <v>38</v>
      </c>
      <c r="H75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2" s="11" t="e">
        <f>ABS(NETWORKDAYS.INTL("05/30/24", "05/31/24", 1, {"01/01/2024","01/15/2024","02/19/2024","05/27/2024","07/04/2024","09/02/2024","10/14/2024","11/11/2024","11/28/2024","12/25/2024","12/25/2024","12/26/2024","12/27/2024","12/28/2024","12/29/2024","12/30/2024","31/25/2024","01/01/2024","01/02/2024","01/03/2024","01/04/2024","01/05/2024"}))</f>
        <v>#VALUE!</v>
      </c>
      <c r="J752">
        <f>0</f>
        <v>0</v>
      </c>
      <c r="K752" s="1"/>
      <c r="L752" s="1">
        <v>1</v>
      </c>
      <c r="M752" s="1" t="e">
        <f>ABS(NETWORKDAYS.INTL("06/19/24", "06/19/24", 1, {"01/01/2024","01/15/2024","02/19/2024","05/27/2024","07/04/2024","09/02/2024","10/14/2024","11/11/2024","11/28/2024","12/25/2024","12/25/2024","12/26/2024","12/27/2024","12/28/2024","12/29/2024","12/30/2024","31/25/2024","01/01/2024","01/02/2024","01/03/2024","01/04/2024","01/05/2024"}))</f>
        <v>#VALUE!</v>
      </c>
      <c r="N752" s="1">
        <f>0</f>
        <v>0</v>
      </c>
      <c r="O752" s="1">
        <f>0</f>
        <v>0</v>
      </c>
      <c r="P752" s="1"/>
      <c r="Q752" s="1">
        <v>0</v>
      </c>
      <c r="R752" s="1">
        <v>0</v>
      </c>
      <c r="S752" s="1">
        <f>0</f>
        <v>0</v>
      </c>
      <c r="T752" s="1">
        <f>0</f>
        <v>0</v>
      </c>
      <c r="U752" s="1"/>
      <c r="V752" s="1">
        <v>1</v>
      </c>
      <c r="W752" s="1">
        <v>1</v>
      </c>
      <c r="X752" s="1" t="e">
        <f>ABS(NETWORKDAYS.INTL("06/19/24", "06/21/24", 1, {"01/01/2024","01/15/2024","02/19/2024","05/27/2024","07/04/2024","09/02/2024","10/14/2024","11/11/2024","11/28/2024","12/25/2024","12/25/2024","12/26/2024","12/27/2024","12/28/2024","12/29/2024","12/30/2024","31/25/2024","01/01/2024","01/02/2024","01/03/2024","01/04/2024","01/05/2024"}))</f>
        <v>#VALUE!</v>
      </c>
      <c r="Y752" s="1">
        <f>0</f>
        <v>0</v>
      </c>
      <c r="Z752" s="1">
        <f>0</f>
        <v>0</v>
      </c>
      <c r="AA752" s="1"/>
      <c r="AB752" s="5">
        <v>45473</v>
      </c>
      <c r="AC752" s="5">
        <v>45504</v>
      </c>
      <c r="AD752" s="1" t="e">
        <f>ABS(NETWORKDAYS.INTL("06/19/24", "05/31/24", 1, {"01/01/2024","01/15/2024","02/19/2024","05/27/2024","07/04/2024","09/02/2024","10/14/2024","11/11/2024","11/28/2024","12/25/2024","12/25/2024","12/26/2024","12/27/2024","12/28/2024","12/29/2024","12/30/2024","31/25/2024","01/01/2024","01/02/2024","01/03/2024","01/04/2024","01/05/2024"}))</f>
        <v>#VALUE!</v>
      </c>
      <c r="AE752" s="1">
        <f>0</f>
        <v>0</v>
      </c>
      <c r="AF752" s="1">
        <f>0</f>
        <v>0</v>
      </c>
      <c r="AG752" s="1" t="e">
        <f>ABS(NETWORKDAYS.INTL("06/19/24", "08/05/24", 1, {"01/01/2024","01/15/2024","02/19/2024","05/27/2024","07/04/2024","09/02/2024","10/14/2024","11/11/2024","11/28/2024","12/25/2024","12/25/2024","12/26/2024","12/27/2024","12/28/2024","12/29/2024","12/30/2024","31/25/2024","01/01/2024","01/02/2024","01/03/2024","01/04/2024","01/05/2024"}))</f>
        <v>#VALUE!</v>
      </c>
      <c r="AH752" s="1" t="e">
        <f>ABS(NETWORKDAYS.INTL("06/19/24", "06/19/24", 1, {"01/01/2024","01/15/2024","02/19/2024","05/27/2024","07/04/2024","09/02/2024","10/14/2024","11/11/2024","11/28/2024","12/25/2024","12/25/2024","12/26/2024","12/27/2024","12/28/2024","12/29/2024","12/30/2024","31/25/2024","01/01/2024","01/02/2024","01/03/2024","01/04/2024","01/05/2024"}))</f>
        <v>#VALUE!</v>
      </c>
      <c r="AI752" s="1" t="e">
        <f>ABS(NETWORKDAYS.INTL("07/31/2024", "06/30/24", 1, {"01/01/2024","01/15/2024","02/19/2024","05/27/2024","07/04/2024","09/02/2024","10/14/2024","11/11/2024","11/28/2024","12/25/2024","12/25/2024","12/26/2024","12/27/2024","12/28/2024","12/29/2024","12/30/2024","31/25/2024","01/01/2024","01/02/2024","01/03/2024","01/04/2024","01/05/2024"}))</f>
        <v>#VALUE!</v>
      </c>
      <c r="AJ752" s="1" t="b">
        <v>1</v>
      </c>
      <c r="AK752" s="1"/>
      <c r="AL752" s="1"/>
      <c r="AM752" s="1"/>
      <c r="AN752" s="1"/>
      <c r="AO752" s="1"/>
      <c r="AP752" s="1" t="b">
        <v>1</v>
      </c>
      <c r="AQ752" s="1"/>
      <c r="AR752" s="1"/>
      <c r="AS752" s="1"/>
      <c r="AT752" s="1"/>
      <c r="AU752" s="1"/>
      <c r="AV752" s="1"/>
      <c r="AW752" s="1"/>
      <c r="AX752" s="1"/>
      <c r="AY752" s="1"/>
      <c r="AZ752" s="1" t="b">
        <v>1</v>
      </c>
    </row>
    <row r="753" spans="1:52" ht="15" customHeight="1" x14ac:dyDescent="0.35">
      <c r="A753" s="1" t="s">
        <v>2449</v>
      </c>
      <c r="B753" s="1" t="s">
        <v>2450</v>
      </c>
      <c r="C753" s="1" t="s">
        <v>988</v>
      </c>
      <c r="D753" s="1" t="s">
        <v>2259</v>
      </c>
      <c r="E753" s="1" t="s">
        <v>1983</v>
      </c>
      <c r="F753" s="9" t="s">
        <v>2451</v>
      </c>
      <c r="G753" s="1" t="s">
        <v>38</v>
      </c>
      <c r="H75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3" s="11" t="e">
        <f>ABS(NETWORKDAYS.INTL("05/31/24", "05/31/24", 1, {"01/01/2024","01/15/2024","02/19/2024","05/27/2024","07/04/2024","09/02/2024","10/14/2024","11/11/2024","11/28/2024","12/25/2024","12/25/2024","12/26/2024","12/27/2024","12/28/2024","12/29/2024","12/30/2024","31/25/2024","01/01/2024","01/02/2024","01/03/2024","01/04/2024","01/05/2024"}))</f>
        <v>#VALUE!</v>
      </c>
      <c r="J753">
        <f>0</f>
        <v>0</v>
      </c>
      <c r="K753" s="1"/>
      <c r="L753" s="1">
        <v>1</v>
      </c>
      <c r="M753" s="1" t="e">
        <f>ABS(NETWORKDAYS.INTL("06/19/24", "06/19/24", 1, {"01/01/2024","01/15/2024","02/19/2024","05/27/2024","07/04/2024","09/02/2024","10/14/2024","11/11/2024","11/28/2024","12/25/2024","12/25/2024","12/26/2024","12/27/2024","12/28/2024","12/29/2024","12/30/2024","31/25/2024","01/01/2024","01/02/2024","01/03/2024","01/04/2024","01/05/2024"}))</f>
        <v>#VALUE!</v>
      </c>
      <c r="N753" s="1">
        <f>0</f>
        <v>0</v>
      </c>
      <c r="O753" s="1">
        <f>0</f>
        <v>0</v>
      </c>
      <c r="P753" s="1"/>
      <c r="Q753" s="1">
        <v>0</v>
      </c>
      <c r="R753" s="1">
        <v>0</v>
      </c>
      <c r="S753" s="1">
        <f>0</f>
        <v>0</v>
      </c>
      <c r="T753" s="1">
        <f>0</f>
        <v>0</v>
      </c>
      <c r="U753" s="1"/>
      <c r="V753" s="1">
        <v>1</v>
      </c>
      <c r="W753" s="1">
        <v>1</v>
      </c>
      <c r="X753" s="1" t="e">
        <f>ABS(NETWORKDAYS.INTL("06/19/24", "06/21/24", 1, {"01/01/2024","01/15/2024","02/19/2024","05/27/2024","07/04/2024","09/02/2024","10/14/2024","11/11/2024","11/28/2024","12/25/2024","12/25/2024","12/26/2024","12/27/2024","12/28/2024","12/29/2024","12/30/2024","31/25/2024","01/01/2024","01/02/2024","01/03/2024","01/04/2024","01/05/2024"}))</f>
        <v>#VALUE!</v>
      </c>
      <c r="Y753" s="1">
        <f>0</f>
        <v>0</v>
      </c>
      <c r="Z753" s="1">
        <f>0</f>
        <v>0</v>
      </c>
      <c r="AA753" s="1"/>
      <c r="AB753" s="5">
        <v>45470</v>
      </c>
      <c r="AC753" s="5">
        <v>45504</v>
      </c>
      <c r="AD753" s="1" t="e">
        <f>ABS(NETWORKDAYS.INTL("06/19/24", "05/31/24", 1, {"01/01/2024","01/15/2024","02/19/2024","05/27/2024","07/04/2024","09/02/2024","10/14/2024","11/11/2024","11/28/2024","12/25/2024","12/25/2024","12/26/2024","12/27/2024","12/28/2024","12/29/2024","12/30/2024","31/25/2024","01/01/2024","01/02/2024","01/03/2024","01/04/2024","01/05/2024"}))</f>
        <v>#VALUE!</v>
      </c>
      <c r="AE753" s="1">
        <f>0</f>
        <v>0</v>
      </c>
      <c r="AF753" s="1">
        <f>0</f>
        <v>0</v>
      </c>
      <c r="AG753" s="1" t="e">
        <f>ABS(NETWORKDAYS.INTL("06/19/24", "08/05/24", 1, {"01/01/2024","01/15/2024","02/19/2024","05/27/2024","07/04/2024","09/02/2024","10/14/2024","11/11/2024","11/28/2024","12/25/2024","12/25/2024","12/26/2024","12/27/2024","12/28/2024","12/29/2024","12/30/2024","31/25/2024","01/01/2024","01/02/2024","01/03/2024","01/04/2024","01/05/2024"}))</f>
        <v>#VALUE!</v>
      </c>
      <c r="AH753" s="1" t="e">
        <f>ABS(NETWORKDAYS.INTL("06/19/24", "06/19/24", 1, {"01/01/2024","01/15/2024","02/19/2024","05/27/2024","07/04/2024","09/02/2024","10/14/2024","11/11/2024","11/28/2024","12/25/2024","12/25/2024","12/26/2024","12/27/2024","12/28/2024","12/29/2024","12/30/2024","31/25/2024","01/01/2024","01/02/2024","01/03/2024","01/04/2024","01/05/2024"}))</f>
        <v>#VALUE!</v>
      </c>
      <c r="AI753" s="1" t="e">
        <f>ABS(NETWORKDAYS.INTL("07/31/2024", "06/27/24", 1, {"01/01/2024","01/15/2024","02/19/2024","05/27/2024","07/04/2024","09/02/2024","10/14/2024","11/11/2024","11/28/2024","12/25/2024","12/25/2024","12/26/2024","12/27/2024","12/28/2024","12/29/2024","12/30/2024","31/25/2024","01/01/2024","01/02/2024","01/03/2024","01/04/2024","01/05/2024"}))</f>
        <v>#VALUE!</v>
      </c>
      <c r="AJ753" s="1" t="b">
        <v>1</v>
      </c>
      <c r="AK753" s="1"/>
      <c r="AL753" s="1"/>
      <c r="AM753" s="1"/>
      <c r="AN753" s="1"/>
      <c r="AO753" s="1"/>
      <c r="AP753" s="1" t="b">
        <v>1</v>
      </c>
      <c r="AQ753" s="1"/>
      <c r="AR753" s="1"/>
      <c r="AS753" s="1"/>
      <c r="AT753" s="1"/>
      <c r="AU753" s="1"/>
      <c r="AV753" s="1"/>
      <c r="AW753" s="1"/>
      <c r="AX753" s="1"/>
      <c r="AY753" s="1"/>
      <c r="AZ753" s="1" t="b">
        <v>1</v>
      </c>
    </row>
    <row r="754" spans="1:52" ht="15" customHeight="1" x14ac:dyDescent="0.35">
      <c r="A754" s="1" t="s">
        <v>2452</v>
      </c>
      <c r="B754" s="1" t="s">
        <v>2453</v>
      </c>
      <c r="C754" s="1" t="s">
        <v>988</v>
      </c>
      <c r="D754" s="1" t="s">
        <v>1986</v>
      </c>
      <c r="E754" s="1" t="s">
        <v>1983</v>
      </c>
      <c r="F754" s="9" t="s">
        <v>2454</v>
      </c>
      <c r="G754" s="1" t="s">
        <v>38</v>
      </c>
      <c r="H75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4" s="11" t="e">
        <f>ABS(NETWORKDAYS.INTL("05/30/24", "05/30/24", 1, {"01/01/2024","01/15/2024","02/19/2024","05/27/2024","07/04/2024","09/02/2024","10/14/2024","11/11/2024","11/28/2024","12/25/2024","12/25/2024","12/26/2024","12/27/2024","12/28/2024","12/29/2024","12/30/2024","31/25/2024","01/01/2024","01/02/2024","01/03/2024","01/04/2024","01/05/2024"}))</f>
        <v>#VALUE!</v>
      </c>
      <c r="J754">
        <f>0</f>
        <v>0</v>
      </c>
      <c r="K754" s="1"/>
      <c r="L754" s="1">
        <v>1</v>
      </c>
      <c r="M754" s="1" t="e">
        <f>ABS(NETWORKDAYS.INTL("06/06/24", "06/11/24", 1, {"01/01/2024","01/15/2024","02/19/2024","05/27/2024","07/04/2024","09/02/2024","10/14/2024","11/11/2024","11/28/2024","12/25/2024","12/25/2024","12/26/2024","12/27/2024","12/28/2024","12/29/2024","12/30/2024","31/25/2024","01/01/2024","01/02/2024","01/03/2024","01/04/2024","01/05/2024"}))</f>
        <v>#VALUE!</v>
      </c>
      <c r="N754" s="1">
        <f>0</f>
        <v>0</v>
      </c>
      <c r="O754" s="1">
        <f>0</f>
        <v>0</v>
      </c>
      <c r="P754" s="1"/>
      <c r="Q754" s="1">
        <v>0</v>
      </c>
      <c r="R754" s="1">
        <v>0</v>
      </c>
      <c r="S754" s="1">
        <f>0</f>
        <v>0</v>
      </c>
      <c r="T754" s="1">
        <f>0</f>
        <v>0</v>
      </c>
      <c r="U754" s="1"/>
      <c r="V754" s="1">
        <v>2</v>
      </c>
      <c r="W754" s="1">
        <v>2</v>
      </c>
      <c r="X754" s="1" t="e">
        <f>ABS(NETWORKDAYS.INTL("06/13/24", "06/14/24", 1, {"01/01/2024","01/15/2024","02/19/2024","05/27/2024","07/04/2024","09/02/2024","10/14/2024","11/11/2024","11/28/2024","12/25/2024","12/25/2024","12/26/2024","12/27/2024","12/28/2024","12/29/2024","12/30/2024","31/25/2024","01/01/2024","01/02/2024","01/03/2024","01/04/2024","01/05/2024"})+NETWORKDAYS.INTL("06/27/24", "06/27/24", 1, {"01/01/2024","01/15/2024","02/19/2024","05/27/2024","07/04/2024","09/02/2024","10/14/2024","11/11/2024","11/28/2024","12/25/2024","12/25/2024","12/26/2024","12/27/2024","12/28/2024","12/29/2024","12/30/2024","31/25/2024","01/01/2024","01/02/2024","01/03/2024","01/04/2024","01/05/2024"}))</f>
        <v>#VALUE!</v>
      </c>
      <c r="Y754" s="1" t="e">
        <f>ABS(NETWORKDAYS.INTL("06/14/24", "06/17/24", 1, {"01/01/2024","01/15/2024","02/19/2024","05/27/2024","07/04/2024","09/02/2024","10/14/2024","11/11/2024","11/28/2024","12/25/2024","12/25/2024","12/26/2024","12/27/2024","12/28/2024","12/29/2024","12/30/2024","31/25/2024","01/01/2024","01/02/2024","01/03/2024","01/04/2024","01/05/2024"}))</f>
        <v>#VALUE!</v>
      </c>
      <c r="Z754" s="1">
        <f>0</f>
        <v>0</v>
      </c>
      <c r="AA754" s="1"/>
      <c r="AB754" s="5">
        <v>45470</v>
      </c>
      <c r="AC754" s="5">
        <v>45503</v>
      </c>
      <c r="AD754" s="1" t="e">
        <f>ABS(NETWORKDAYS.INTL("06/06/24", "05/30/24", 1, {"01/01/2024","01/15/2024","02/19/2024","05/27/2024","07/04/2024","09/02/2024","10/14/2024","11/11/2024","11/28/2024","12/25/2024","12/25/2024","12/26/2024","12/27/2024","12/28/2024","12/29/2024","12/30/2024","31/25/2024","01/01/2024","01/02/2024","01/03/2024","01/04/2024","01/05/2024"}))</f>
        <v>#VALUE!</v>
      </c>
      <c r="AE754" s="1">
        <f>0</f>
        <v>0</v>
      </c>
      <c r="AF754" s="1">
        <f>0</f>
        <v>0</v>
      </c>
      <c r="AG754" s="1" t="e">
        <f>ABS(NETWORKDAYS.INTL("06/13/24", "08/05/24", 1, {"01/01/2024","01/15/2024","02/19/2024","05/27/2024","07/04/2024","09/02/2024","10/14/2024","11/11/2024","11/28/2024","12/25/2024","12/25/2024","12/26/2024","12/27/2024","12/28/2024","12/29/2024","12/30/2024","31/25/2024","01/01/2024","01/02/2024","01/03/2024","01/04/2024","01/05/2024"}))</f>
        <v>#VALUE!</v>
      </c>
      <c r="AH754" s="1" t="e">
        <f>ABS(NETWORKDAYS.INTL("06/13/24", "06/13/24", 1, {"01/01/2024","01/15/2024","02/19/2024","05/27/2024","07/04/2024","09/02/2024","10/14/2024","11/11/2024","11/28/2024","12/25/2024","12/25/2024","12/26/2024","12/27/2024","12/28/2024","12/29/2024","12/30/2024","31/25/2024","01/01/2024","01/02/2024","01/03/2024","01/04/2024","01/05/2024"}))</f>
        <v>#VALUE!</v>
      </c>
      <c r="AI754" s="1" t="e">
        <f>ABS(NETWORKDAYS.INTL("7/30/2024", "06/27/24", 1, {"01/01/2024","01/15/2024","02/19/2024","05/27/2024","07/04/2024","09/02/2024","10/14/2024","11/11/2024","11/28/2024","12/25/2024","12/25/2024","12/26/2024","12/27/2024","12/28/2024","12/29/2024","12/30/2024","31/25/2024","01/01/2024","01/02/2024","01/03/2024","01/04/2024","01/05/2024"}))</f>
        <v>#VALUE!</v>
      </c>
      <c r="AJ754" s="1" t="b">
        <v>1</v>
      </c>
      <c r="AK754" s="1"/>
      <c r="AL754" s="1"/>
      <c r="AM754" s="1"/>
      <c r="AN754" s="1"/>
      <c r="AO754" s="1"/>
      <c r="AP754" s="1" t="b">
        <v>1</v>
      </c>
      <c r="AQ754" s="1"/>
      <c r="AR754" s="1"/>
      <c r="AS754" s="1"/>
      <c r="AT754" s="1"/>
      <c r="AU754" s="1"/>
      <c r="AV754" s="1"/>
      <c r="AW754" s="1"/>
      <c r="AX754" s="1"/>
      <c r="AY754" s="1"/>
      <c r="AZ754" s="1" t="b">
        <v>1</v>
      </c>
    </row>
    <row r="755" spans="1:52" ht="15" customHeight="1" x14ac:dyDescent="0.35">
      <c r="A755" s="1" t="s">
        <v>2455</v>
      </c>
      <c r="B755" s="1" t="s">
        <v>2456</v>
      </c>
      <c r="C755" s="1" t="s">
        <v>988</v>
      </c>
      <c r="D755" s="1" t="s">
        <v>1717</v>
      </c>
      <c r="E755" s="1" t="s">
        <v>1983</v>
      </c>
      <c r="F755" s="9" t="s">
        <v>2457</v>
      </c>
      <c r="G755" s="1" t="s">
        <v>38</v>
      </c>
      <c r="H75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5" s="11" t="e">
        <f>ABS(NETWORKDAYS.INTL("05/29/24", "05/31/24", 1, {"01/01/2024","01/15/2024","02/19/2024","05/27/2024","07/04/2024","09/02/2024","10/14/2024","11/11/2024","11/28/2024","12/25/2024","12/25/2024","12/26/2024","12/27/2024","12/28/2024","12/29/2024","12/30/2024","31/25/2024","01/01/2024","01/02/2024","01/03/2024","01/04/2024","01/05/2024"}))</f>
        <v>#VALUE!</v>
      </c>
      <c r="J755">
        <f>0</f>
        <v>0</v>
      </c>
      <c r="K755" s="1"/>
      <c r="L755" s="1">
        <v>1</v>
      </c>
      <c r="M755" s="1" t="e">
        <f>ABS(NETWORKDAYS.INTL("06/19/24", "06/19/24", 1, {"01/01/2024","01/15/2024","02/19/2024","05/27/2024","07/04/2024","09/02/2024","10/14/2024","11/11/2024","11/28/2024","12/25/2024","12/25/2024","12/26/2024","12/27/2024","12/28/2024","12/29/2024","12/30/2024","31/25/2024","01/01/2024","01/02/2024","01/03/2024","01/04/2024","01/05/2024"}))</f>
        <v>#VALUE!</v>
      </c>
      <c r="N755" s="1">
        <f>0</f>
        <v>0</v>
      </c>
      <c r="O755" s="1">
        <f>0</f>
        <v>0</v>
      </c>
      <c r="P755" s="1"/>
      <c r="Q755" s="1">
        <v>0</v>
      </c>
      <c r="R755" s="1">
        <v>0</v>
      </c>
      <c r="S755" s="1">
        <f>0</f>
        <v>0</v>
      </c>
      <c r="T755" s="1">
        <f>0</f>
        <v>0</v>
      </c>
      <c r="U755" s="1"/>
      <c r="V755" s="1">
        <v>2</v>
      </c>
      <c r="W755" s="1">
        <v>1</v>
      </c>
      <c r="X755" s="1" t="e">
        <f>ABS(NETWORKDAYS.INTL("06/19/24", "06/21/24", 1, {"01/01/2024","01/15/2024","02/19/2024","05/27/2024","07/04/2024","09/02/2024","10/14/2024","11/11/2024","11/28/2024","12/25/2024","12/25/2024","12/26/2024","12/27/2024","12/28/2024","12/29/2024","12/30/2024","31/25/2024","01/01/2024","01/02/2024","01/03/2024","01/04/2024","01/05/2024"}))</f>
        <v>#VALUE!</v>
      </c>
      <c r="Y755" s="1" t="e">
        <f>ABS(NETWORKDAYS.INTL("07/01/24", "07/01/24", 1, {"01/01/2024","01/15/2024","02/19/2024","05/27/2024","07/04/2024","09/02/2024","10/14/2024","11/11/2024","11/28/2024","12/25/2024","12/25/2024","12/26/2024","12/27/2024","12/28/2024","12/29/2024","12/30/2024","31/25/2024","01/01/2024","01/02/2024","01/03/2024","01/04/2024","01/05/2024"}))</f>
        <v>#VALUE!</v>
      </c>
      <c r="Z755" s="1">
        <f>0</f>
        <v>0</v>
      </c>
      <c r="AA755" s="1"/>
      <c r="AB755" s="5">
        <v>45483</v>
      </c>
      <c r="AC755" s="5">
        <v>45503</v>
      </c>
      <c r="AD755" s="1" t="e">
        <f>ABS(NETWORKDAYS.INTL("06/19/24", "05/31/24", 1, {"01/01/2024","01/15/2024","02/19/2024","05/27/2024","07/04/2024","09/02/2024","10/14/2024","11/11/2024","11/28/2024","12/25/2024","12/25/2024","12/26/2024","12/27/2024","12/28/2024","12/29/2024","12/30/2024","31/25/2024","01/01/2024","01/02/2024","01/03/2024","01/04/2024","01/05/2024"}))</f>
        <v>#VALUE!</v>
      </c>
      <c r="AE755" s="1">
        <f>0</f>
        <v>0</v>
      </c>
      <c r="AF755" s="1">
        <f>0</f>
        <v>0</v>
      </c>
      <c r="AG755" s="1" t="e">
        <f>ABS(NETWORKDAYS.INTL("06/19/2024", "08/05/24", 1, {"01/01/2024","01/15/2024","02/19/2024","05/27/2024","07/04/2024","09/02/2024","10/14/2024","11/11/2024","11/28/2024","12/25/2024","12/25/2024","12/26/2024","12/27/2024","12/28/2024","12/29/2024","12/30/2024","31/25/2024","01/01/2024","01/02/2024","01/03/2024","01/04/2024","01/05/2024"}))</f>
        <v>#VALUE!</v>
      </c>
      <c r="AH755" s="1" t="e">
        <f>ABS(NETWORKDAYS.INTL("06/19/24", "06/19/2024", 1, {"01/01/2024","01/15/2024","02/19/2024","05/27/2024","07/04/2024","09/02/2024","10/14/2024","11/11/2024","11/28/2024","12/25/2024","12/25/2024","12/26/2024","12/27/2024","12/28/2024","12/29/2024","12/30/2024","31/25/2024","01/01/2024","01/02/2024","01/03/2024","01/04/2024","01/05/2024"}))</f>
        <v>#VALUE!</v>
      </c>
      <c r="AI755" s="1" t="e">
        <f>ABS(NETWORKDAYS.INTL("07/30/2024", "07/10/2024", 1, {"01/01/2024","01/15/2024","02/19/2024","05/27/2024","07/04/2024","09/02/2024","10/14/2024","11/11/2024","11/28/2024","12/25/2024","12/25/2024","12/26/2024","12/27/2024","12/28/2024","12/29/2024","12/30/2024","31/25/2024","01/01/2024","01/02/2024","01/03/2024","01/04/2024","01/05/2024"}))</f>
        <v>#VALUE!</v>
      </c>
      <c r="AJ755" s="1" t="b">
        <v>1</v>
      </c>
      <c r="AK755" s="1"/>
      <c r="AL755" s="1"/>
      <c r="AM755" s="1"/>
      <c r="AN755" s="1"/>
      <c r="AO755" s="1"/>
      <c r="AP755" s="1" t="b">
        <v>1</v>
      </c>
      <c r="AQ755" s="1"/>
      <c r="AR755" s="1"/>
      <c r="AS755" s="1"/>
      <c r="AT755" s="1"/>
      <c r="AU755" s="1"/>
      <c r="AV755" s="1"/>
      <c r="AW755" s="1"/>
      <c r="AX755" s="1"/>
      <c r="AY755" s="1"/>
      <c r="AZ755" s="1" t="b">
        <v>1</v>
      </c>
    </row>
    <row r="756" spans="1:52" ht="15" customHeight="1" x14ac:dyDescent="0.35">
      <c r="A756" s="1" t="s">
        <v>2458</v>
      </c>
      <c r="B756" s="1" t="s">
        <v>2459</v>
      </c>
      <c r="C756" s="1" t="s">
        <v>612</v>
      </c>
      <c r="D756" s="1" t="s">
        <v>2460</v>
      </c>
      <c r="E756" s="1" t="s">
        <v>2461</v>
      </c>
      <c r="F756" s="9" t="s">
        <v>2462</v>
      </c>
      <c r="G756" s="1" t="s">
        <v>38</v>
      </c>
      <c r="H75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6" s="11" t="e">
        <f>ABS(NETWORKDAYS.INTL("04/08/24", "04/11/24", 1, {"01/01/2024","01/15/2024","02/19/2024","05/27/2024","07/04/2024","09/02/2024","10/14/2024","11/11/2024","11/28/2024","12/25/2024","12/25/2024","12/26/2024","12/27/2024","12/28/2024","12/29/2024","12/30/2024","31/25/2024","01/01/2024","01/02/2024","01/03/2024","01/04/2024","01/05/2024"}))</f>
        <v>#VALUE!</v>
      </c>
      <c r="J756">
        <f>0</f>
        <v>0</v>
      </c>
      <c r="K756" s="1"/>
      <c r="L756" s="1">
        <v>0</v>
      </c>
      <c r="M756" s="1">
        <f>0</f>
        <v>0</v>
      </c>
      <c r="N756" s="1">
        <f>0</f>
        <v>0</v>
      </c>
      <c r="O756" s="1">
        <f>0</f>
        <v>0</v>
      </c>
      <c r="P756" s="1"/>
      <c r="Q756" s="1">
        <v>2</v>
      </c>
      <c r="R756" s="1">
        <v>2</v>
      </c>
      <c r="S756" s="1" t="e">
        <f>ABS(NETWORKDAYS.INTL("05/13/24", "05/15/24", 1, {"01/01/2024","01/15/2024","02/19/2024","05/27/2024","07/04/2024","09/02/2024","10/14/2024","11/11/2024","11/28/2024","12/25/2024","12/25/2024","12/26/2024","12/27/2024","12/28/2024","12/29/2024","12/30/2024","31/25/2024","01/01/2024","01/02/2024","01/03/2024","01/04/2024","01/05/2024"})+NETWORKDAYS.INTL("05/15/24", "05/23/24", 1, {"01/01/2024","01/15/2024","02/19/2024","05/27/2024","07/04/2024","09/02/2024","10/14/2024","11/11/2024","11/28/2024","12/25/2024","12/25/2024","12/26/2024","12/27/2024","12/28/2024","12/29/2024","12/30/2024","31/25/2024","01/01/2024","01/02/2024","01/03/2024","01/04/2024","01/05/2024"}))</f>
        <v>#VALUE!</v>
      </c>
      <c r="T756" s="1">
        <f>0</f>
        <v>0</v>
      </c>
      <c r="U756" s="1"/>
      <c r="V756" s="1">
        <v>2</v>
      </c>
      <c r="W756" s="1">
        <v>1</v>
      </c>
      <c r="X756" s="1" t="e">
        <f>ABS(NETWORKDAYS.INTL("06/06/24", "06/11/24", 1, {"01/01/2024","01/15/2024","02/19/2024","05/27/2024","07/04/2024","09/02/2024","10/14/2024","11/11/2024","11/28/2024","12/25/2024","12/25/2024","12/26/2024","12/27/2024","12/28/2024","12/29/2024","12/30/2024","31/25/2024","01/01/2024","01/02/2024","01/03/2024","01/04/2024","01/05/2024"}))</f>
        <v>#VALUE!</v>
      </c>
      <c r="Y756" s="1" t="e">
        <f>ABS(NETWORKDAYS.INTL("06/11/24", "06/11/24", 1, {"01/01/2024","01/15/2024","02/19/2024","05/27/2024","07/04/2024","09/02/2024","10/14/2024","11/11/2024","11/28/2024","12/25/2024","12/25/2024","12/26/2024","12/27/2024","12/28/2024","12/29/2024","12/30/2024","31/25/2024","01/01/2024","01/02/2024","01/03/2024","01/04/2024","01/05/2024"}))</f>
        <v>#VALUE!</v>
      </c>
      <c r="Z756" s="1">
        <f>0</f>
        <v>0</v>
      </c>
      <c r="AA756" s="1"/>
      <c r="AB756" s="5"/>
      <c r="AC756" s="1"/>
      <c r="AD756" s="1">
        <f>0</f>
        <v>0</v>
      </c>
      <c r="AE756" s="1">
        <f>0</f>
        <v>0</v>
      </c>
      <c r="AF756" s="1" t="e">
        <f>ABS(NETWORKDAYS.INTL("05/13/24", "05/13/24", 1, {"01/01/2024","01/15/2024","02/19/2024","05/27/2024","07/04/2024","09/02/2024","10/14/2024","11/11/2024","11/28/2024","12/25/2024","12/25/2024","12/26/2024","12/27/2024","12/28/2024","12/29/2024","12/30/2024","31/25/2024","01/01/2024","01/02/2024","01/03/2024","01/04/2024","01/05/2024"}))</f>
        <v>#VALUE!</v>
      </c>
      <c r="AG756" s="1" t="e">
        <f>ABS(NETWORKDAYS.INTL("06/06/24", "05/13/24", 1, {"01/01/2024","01/15/2024","02/19/2024","05/27/2024","07/04/2024","09/02/2024","10/14/2024","11/11/2024","11/28/2024","12/25/2024","12/25/2024","12/26/2024","12/27/2024","12/28/2024","12/29/2024","12/30/2024","31/25/2024","01/01/2024","01/02/2024","01/03/2024","01/04/2024","01/05/2024"}))</f>
        <v>#VALUE!</v>
      </c>
      <c r="AH756" s="1" t="e">
        <f>ABS(NETWORKDAYS.INTL("06/06/24", "06/06/24", 1, {"01/01/2024","01/15/2024","02/19/2024","05/27/2024","07/04/2024","09/02/2024","10/14/2024","11/11/2024","11/28/2024","12/25/2024","12/25/2024","12/26/2024","12/27/2024","12/28/2024","12/29/2024","12/30/2024","31/25/2024","01/01/2024","01/02/2024","01/03/2024","01/04/2024","01/05/2024"}))</f>
        <v>#VALUE!</v>
      </c>
      <c r="AI756" s="1">
        <f>0</f>
        <v>0</v>
      </c>
      <c r="AJ756" s="1" t="b">
        <v>1</v>
      </c>
      <c r="AK756" s="1"/>
      <c r="AL756" s="1"/>
      <c r="AM756" s="1"/>
      <c r="AN756" s="1"/>
      <c r="AO756" s="1"/>
      <c r="AP756" s="1"/>
      <c r="AQ756" s="1"/>
      <c r="AR756" s="1"/>
      <c r="AS756" s="1"/>
      <c r="AT756" s="1"/>
      <c r="AU756" s="1" t="b">
        <v>1</v>
      </c>
      <c r="AV756" s="1"/>
      <c r="AW756" s="1"/>
      <c r="AX756" s="1"/>
      <c r="AY756" s="1" t="b">
        <v>1</v>
      </c>
      <c r="AZ756" s="1"/>
    </row>
    <row r="757" spans="1:52" ht="15" customHeight="1" x14ac:dyDescent="0.35">
      <c r="A757" s="1" t="s">
        <v>2463</v>
      </c>
      <c r="B757" s="1" t="s">
        <v>2464</v>
      </c>
      <c r="C757" s="1" t="s">
        <v>988</v>
      </c>
      <c r="D757" s="1" t="s">
        <v>2465</v>
      </c>
      <c r="E757" s="1" t="s">
        <v>1983</v>
      </c>
      <c r="F757" s="9" t="s">
        <v>2466</v>
      </c>
      <c r="G757" s="1" t="s">
        <v>38</v>
      </c>
      <c r="H75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57" s="11" t="e">
        <f>ABS(NETWORKDAYS.INTL("06/11/24", "06/11/24", 1, {"01/01/2024","01/15/2024","02/19/2024","05/27/2024","07/04/2024","09/02/2024","10/14/2024","11/11/2024","11/28/2024","12/25/2024","12/25/2024","12/26/2024","12/27/2024","12/28/2024","12/29/2024","12/30/2024","31/25/2024","01/01/2024","01/02/2024","01/03/2024","01/04/2024","01/05/2024"}))</f>
        <v>#VALUE!</v>
      </c>
      <c r="J757">
        <f>0</f>
        <v>0</v>
      </c>
      <c r="K757" s="1"/>
      <c r="L757" s="1">
        <v>1</v>
      </c>
      <c r="M757" s="1" t="e">
        <f>ABS(NETWORKDAYS.INTL("06/13/24", "06/13/24", 1, {"01/01/2024","01/15/2024","02/19/2024","05/27/2024","07/04/2024","09/02/2024","10/14/2024","11/11/2024","11/28/2024","12/25/2024","12/25/2024","12/26/2024","12/27/2024","12/28/2024","12/29/2024","12/30/2024","31/25/2024","01/01/2024","01/02/2024","01/03/2024","01/04/2024","01/05/2024"}))</f>
        <v>#VALUE!</v>
      </c>
      <c r="N757" s="1">
        <f>0</f>
        <v>0</v>
      </c>
      <c r="O757" s="1">
        <f>0</f>
        <v>0</v>
      </c>
      <c r="P757" s="1"/>
      <c r="Q757" s="1">
        <v>0</v>
      </c>
      <c r="R757" s="1">
        <v>0</v>
      </c>
      <c r="S757" s="1">
        <f>0</f>
        <v>0</v>
      </c>
      <c r="T757" s="1">
        <f>0</f>
        <v>0</v>
      </c>
      <c r="U757" s="1"/>
      <c r="V757" s="1">
        <v>1</v>
      </c>
      <c r="W757" s="1">
        <v>1</v>
      </c>
      <c r="X757" s="1" t="e">
        <f>ABS(NETWORKDAYS.INTL("06/13/24", "06/13/24", 1, {"01/01/2024","01/15/2024","02/19/2024","05/27/2024","07/04/2024","09/02/2024","10/14/2024","11/11/2024","11/28/2024","12/25/2024","12/25/2024","12/26/2024","12/27/2024","12/28/2024","12/29/2024","12/30/2024","31/25/2024","01/01/2024","01/02/2024","01/03/2024","01/04/2024","01/05/2024"}))</f>
        <v>#VALUE!</v>
      </c>
      <c r="Y757" s="1">
        <f>0</f>
        <v>0</v>
      </c>
      <c r="Z757" s="1">
        <f>0</f>
        <v>0</v>
      </c>
      <c r="AA757" s="1"/>
      <c r="AB757" s="5">
        <v>45456</v>
      </c>
      <c r="AC757" s="5">
        <v>45504</v>
      </c>
      <c r="AD757" s="1" t="e">
        <f>ABS(NETWORKDAYS.INTL("06/13/24", "06/11/24", 1, {"01/01/2024","01/15/2024","02/19/2024","05/27/2024","07/04/2024","09/02/2024","10/14/2024","11/11/2024","11/28/2024","12/25/2024","12/25/2024","12/26/2024","12/27/2024","12/28/2024","12/29/2024","12/30/2024","31/25/2024","01/01/2024","01/02/2024","01/03/2024","01/04/2024","01/05/2024"}))</f>
        <v>#VALUE!</v>
      </c>
      <c r="AE757" s="1">
        <f>0</f>
        <v>0</v>
      </c>
      <c r="AF757" s="1">
        <f>0</f>
        <v>0</v>
      </c>
      <c r="AG757" s="1" t="e">
        <f>ABS(NETWORKDAYS.INTL("06/13/24", "08/05/24", 1, {"01/01/2024","01/15/2024","02/19/2024","05/27/2024","07/04/2024","09/02/2024","10/14/2024","11/11/2024","11/28/2024","12/25/2024","12/25/2024","12/26/2024","12/27/2024","12/28/2024","12/29/2024","12/30/2024","31/25/2024","01/01/2024","01/02/2024","01/03/2024","01/04/2024","01/05/2024"}))</f>
        <v>#VALUE!</v>
      </c>
      <c r="AH757" s="1" t="e">
        <f>ABS(NETWORKDAYS.INTL("06/13/24", "06/13/24", 1, {"01/01/2024","01/15/2024","02/19/2024","05/27/2024","07/04/2024","09/02/2024","10/14/2024","11/11/2024","11/28/2024","12/25/2024","12/25/2024","12/26/2024","12/27/2024","12/28/2024","12/29/2024","12/30/2024","31/25/2024","01/01/2024","01/02/2024","01/03/2024","01/04/2024","01/05/2024"}))</f>
        <v>#VALUE!</v>
      </c>
      <c r="AI757" s="1" t="e">
        <f>ABS(NETWORKDAYS.INTL("07/31/2024", "06/13/24", 1, {"01/01/2024","01/15/2024","02/19/2024","05/27/2024","07/04/2024","09/02/2024","10/14/2024","11/11/2024","11/28/2024","12/25/2024","12/25/2024","12/26/2024","12/27/2024","12/28/2024","12/29/2024","12/30/2024","31/25/2024","01/01/2024","01/02/2024","01/03/2024","01/04/2024","01/05/2024"}))</f>
        <v>#VALUE!</v>
      </c>
      <c r="AJ757" s="1" t="b">
        <v>1</v>
      </c>
      <c r="AK757" s="1"/>
      <c r="AL757" s="1"/>
      <c r="AM757" s="1"/>
      <c r="AN757" s="1"/>
      <c r="AO757" s="1"/>
      <c r="AP757" s="1" t="b">
        <v>1</v>
      </c>
      <c r="AQ757" s="1"/>
      <c r="AR757" s="1"/>
      <c r="AS757" s="1"/>
      <c r="AT757" s="1"/>
      <c r="AU757" s="1"/>
      <c r="AV757" s="1"/>
      <c r="AW757" s="1"/>
      <c r="AX757" s="1"/>
      <c r="AY757" s="1"/>
      <c r="AZ757" s="1" t="b">
        <v>1</v>
      </c>
    </row>
    <row r="758" spans="1:52" ht="15" customHeight="1" x14ac:dyDescent="0.35">
      <c r="A758" s="1" t="s">
        <v>2467</v>
      </c>
      <c r="B758" s="1" t="s">
        <v>2468</v>
      </c>
      <c r="C758" s="1" t="s">
        <v>629</v>
      </c>
      <c r="D758" s="1" t="s">
        <v>1741</v>
      </c>
      <c r="E758" s="1" t="s">
        <v>1983</v>
      </c>
      <c r="F758" s="9" t="s">
        <v>2469</v>
      </c>
      <c r="G758" s="1" t="s">
        <v>38</v>
      </c>
      <c r="H75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8" s="11" t="e">
        <f>ABS(NETWORKDAYS.INTL("06/03/24", "06/03/24", 1, {"01/01/2024","01/15/2024","02/19/2024","05/27/2024","07/04/2024","09/02/2024","10/14/2024","11/11/2024","11/28/2024","12/25/2024","12/25/2024","12/26/2024","12/27/2024","12/28/2024","12/29/2024","12/30/2024","31/25/2024","01/01/2024","01/02/2024","01/03/2024","01/04/2024","01/05/2024"}))</f>
        <v>#VALUE!</v>
      </c>
      <c r="J758">
        <f>0</f>
        <v>0</v>
      </c>
      <c r="K758" s="1"/>
      <c r="L758" s="1">
        <v>1</v>
      </c>
      <c r="M758" s="1" t="e">
        <f>ABS(NETWORKDAYS.INTL("06/18/24", "06/18/24", 1, {"01/01/2024","01/15/2024","02/19/2024","05/27/2024","07/04/2024","09/02/2024","10/14/2024","11/11/2024","11/28/2024","12/25/2024","12/25/2024","12/26/2024","12/27/2024","12/28/2024","12/29/2024","12/30/2024","31/25/2024","01/01/2024","01/02/2024","01/03/2024","01/04/2024","01/05/2024"}))</f>
        <v>#VALUE!</v>
      </c>
      <c r="N758" s="1">
        <f>0</f>
        <v>0</v>
      </c>
      <c r="O758" s="1">
        <f>0</f>
        <v>0</v>
      </c>
      <c r="P758" s="1"/>
      <c r="Q758" s="1">
        <v>0</v>
      </c>
      <c r="R758" s="1">
        <v>0</v>
      </c>
      <c r="S758" s="1">
        <f>0</f>
        <v>0</v>
      </c>
      <c r="T758" s="1">
        <f>0</f>
        <v>0</v>
      </c>
      <c r="U758" s="1"/>
      <c r="V758" s="1">
        <v>1</v>
      </c>
      <c r="W758" s="1">
        <v>1</v>
      </c>
      <c r="X758" s="1" t="e">
        <f>ABS(NETWORKDAYS.INTL("06/18/24", "06/19/24", 1, {"01/01/2024","01/15/2024","02/19/2024","05/27/2024","07/04/2024","09/02/2024","10/14/2024","11/11/2024","11/28/2024","12/25/2024","12/25/2024","12/26/2024","12/27/2024","12/28/2024","12/29/2024","12/30/2024","31/25/2024","01/01/2024","01/02/2024","01/03/2024","01/04/2024","01/05/2024"}))</f>
        <v>#VALUE!</v>
      </c>
      <c r="Y758" s="1" t="e">
        <f>ABS(NETWORKDAYS.INTL("07/30/2024", "07/30/2024", 1, {"01/01/2024","01/15/2024","02/19/2024","05/27/2024","07/04/2024","09/02/2024","10/14/2024","11/11/2024","11/28/2024","12/25/2024","12/25/2024","12/26/2024","12/27/2024","12/28/2024","12/29/2024","12/30/2024","31/25/2024","01/01/2024","01/02/2024","01/03/2024","01/04/2024","01/05/2024"}))</f>
        <v>#VALUE!</v>
      </c>
      <c r="Z758" s="1">
        <f>0</f>
        <v>0</v>
      </c>
      <c r="AA758" s="1"/>
      <c r="AB758" s="5">
        <v>45482</v>
      </c>
      <c r="AC758" s="1"/>
      <c r="AD758" s="1" t="e">
        <f>ABS(NETWORKDAYS.INTL("06/18/24", "06/03/24", 1, {"01/01/2024","01/15/2024","02/19/2024","05/27/2024","07/04/2024","09/02/2024","10/14/2024","11/11/2024","11/28/2024","12/25/2024","12/25/2024","12/26/2024","12/27/2024","12/28/2024","12/29/2024","12/30/2024","31/25/2024","01/01/2024","01/02/2024","01/03/2024","01/04/2024","01/05/2024"}))</f>
        <v>#VALUE!</v>
      </c>
      <c r="AE758" s="1">
        <f>0</f>
        <v>0</v>
      </c>
      <c r="AF758" s="1">
        <f>0</f>
        <v>0</v>
      </c>
      <c r="AG758" s="1" t="e">
        <f>ABS(NETWORKDAYS.INTL("06/18/24", "08/05/24", 1, {"01/01/2024","01/15/2024","02/19/2024","05/27/2024","07/04/2024","09/02/2024","10/14/2024","11/11/2024","11/28/2024","12/25/2024","12/25/2024","12/26/2024","12/27/2024","12/28/2024","12/29/2024","12/30/2024","31/25/2024","01/01/2024","01/02/2024","01/03/2024","01/04/2024","01/05/2024"}))</f>
        <v>#VALUE!</v>
      </c>
      <c r="AH758" s="1" t="e">
        <f>ABS(NETWORKDAYS.INTL("06/18/24", "06/18/24", 1, {"01/01/2024","01/15/2024","02/19/2024","05/27/2024","07/04/2024","09/02/2024","10/14/2024","11/11/2024","11/28/2024","12/25/2024","12/25/2024","12/26/2024","12/27/2024","12/28/2024","12/29/2024","12/30/2024","31/25/2024","01/01/2024","01/02/2024","01/03/2024","01/04/2024","01/05/2024"}))</f>
        <v>#VALUE!</v>
      </c>
      <c r="AI758" s="1">
        <f>0</f>
        <v>0</v>
      </c>
      <c r="AJ758" s="1" t="b">
        <v>1</v>
      </c>
      <c r="AK758" s="1"/>
      <c r="AL758" s="1"/>
      <c r="AM758" s="1"/>
      <c r="AN758" s="1"/>
      <c r="AO758" s="1"/>
      <c r="AP758" s="1" t="b">
        <v>1</v>
      </c>
      <c r="AQ758" s="1"/>
      <c r="AR758" s="1"/>
      <c r="AS758" s="1"/>
      <c r="AT758" s="1"/>
      <c r="AU758" s="1"/>
      <c r="AV758" s="1"/>
      <c r="AW758" s="1"/>
      <c r="AX758" s="1"/>
      <c r="AY758" s="1"/>
      <c r="AZ758" s="1" t="b">
        <v>1</v>
      </c>
    </row>
    <row r="759" spans="1:52" ht="15" customHeight="1" x14ac:dyDescent="0.35">
      <c r="A759" s="1" t="s">
        <v>2470</v>
      </c>
      <c r="B759" s="1" t="s">
        <v>2471</v>
      </c>
      <c r="C759" s="1" t="s">
        <v>1157</v>
      </c>
      <c r="D759" s="1" t="s">
        <v>1741</v>
      </c>
      <c r="E759" s="1" t="s">
        <v>1983</v>
      </c>
      <c r="F759" s="9" t="s">
        <v>2472</v>
      </c>
      <c r="G759" s="1" t="s">
        <v>38</v>
      </c>
      <c r="H75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59" s="11" t="e">
        <f>ABS(NETWORKDAYS.INTL("06/03/24", "06/03/24", 1, {"01/01/2024","01/15/2024","02/19/2024","05/27/2024","07/04/2024","09/02/2024","10/14/2024","11/11/2024","11/28/2024","12/25/2024","12/25/2024","12/26/2024","12/27/2024","12/28/2024","12/29/2024","12/30/2024","31/25/2024","01/01/2024","01/02/2024","01/03/2024","01/04/2024","01/05/2024"}))</f>
        <v>#VALUE!</v>
      </c>
      <c r="J759">
        <f>0</f>
        <v>0</v>
      </c>
      <c r="K759" s="1"/>
      <c r="L759" s="1">
        <v>1</v>
      </c>
      <c r="M759" s="1" t="e">
        <f>ABS(NETWORKDAYS.INTL("06/18/24", "06/18/24", 1, {"01/01/2024","01/15/2024","02/19/2024","05/27/2024","07/04/2024","09/02/2024","10/14/2024","11/11/2024","11/28/2024","12/25/2024","12/25/2024","12/26/2024","12/27/2024","12/28/2024","12/29/2024","12/30/2024","31/25/2024","01/01/2024","01/02/2024","01/03/2024","01/04/2024","01/05/2024"}))</f>
        <v>#VALUE!</v>
      </c>
      <c r="N759" s="1">
        <f>0</f>
        <v>0</v>
      </c>
      <c r="O759" s="1">
        <f>0</f>
        <v>0</v>
      </c>
      <c r="P759" s="1"/>
      <c r="Q759" s="1">
        <v>0</v>
      </c>
      <c r="R759" s="1">
        <v>0</v>
      </c>
      <c r="S759" s="1">
        <f>0</f>
        <v>0</v>
      </c>
      <c r="T759" s="1">
        <f>0</f>
        <v>0</v>
      </c>
      <c r="U759" s="1"/>
      <c r="V759" s="1">
        <v>1</v>
      </c>
      <c r="W759" s="1">
        <v>1</v>
      </c>
      <c r="X759" s="1" t="e">
        <f>ABS(NETWORKDAYS.INTL("06/18/24", "06/19/24", 1, {"01/01/2024","01/15/2024","02/19/2024","05/27/2024","07/04/2024","09/02/2024","10/14/2024","11/11/2024","11/28/2024","12/25/2024","12/25/2024","12/26/2024","12/27/2024","12/28/2024","12/29/2024","12/30/2024","31/25/2024","01/01/2024","01/02/2024","01/03/2024","01/04/2024","01/05/2024"}))</f>
        <v>#VALUE!</v>
      </c>
      <c r="Y759" s="1">
        <f>0</f>
        <v>0</v>
      </c>
      <c r="Z759" s="1">
        <f>0</f>
        <v>0</v>
      </c>
      <c r="AA759" s="1"/>
      <c r="AB759" s="5">
        <v>45469</v>
      </c>
      <c r="AC759" s="1"/>
      <c r="AD759" s="1" t="e">
        <f>ABS(NETWORKDAYS.INTL("06/18/24", "06/03/24", 1, {"01/01/2024","01/15/2024","02/19/2024","05/27/2024","07/04/2024","09/02/2024","10/14/2024","11/11/2024","11/28/2024","12/25/2024","12/25/2024","12/26/2024","12/27/2024","12/28/2024","12/29/2024","12/30/2024","31/25/2024","01/01/2024","01/02/2024","01/03/2024","01/04/2024","01/05/2024"}))</f>
        <v>#VALUE!</v>
      </c>
      <c r="AE759" s="1">
        <f>0</f>
        <v>0</v>
      </c>
      <c r="AF759" s="1">
        <f>0</f>
        <v>0</v>
      </c>
      <c r="AG759" s="1" t="e">
        <f>ABS(NETWORKDAYS.INTL("06/18/24", "08/05/24", 1, {"01/01/2024","01/15/2024","02/19/2024","05/27/2024","07/04/2024","09/02/2024","10/14/2024","11/11/2024","11/28/2024","12/25/2024","12/25/2024","12/26/2024","12/27/2024","12/28/2024","12/29/2024","12/30/2024","31/25/2024","01/01/2024","01/02/2024","01/03/2024","01/04/2024","01/05/2024"}))</f>
        <v>#VALUE!</v>
      </c>
      <c r="AH759" s="1" t="e">
        <f>ABS(NETWORKDAYS.INTL("06/18/24", "06/18/24", 1, {"01/01/2024","01/15/2024","02/19/2024","05/27/2024","07/04/2024","09/02/2024","10/14/2024","11/11/2024","11/28/2024","12/25/2024","12/25/2024","12/26/2024","12/27/2024","12/28/2024","12/29/2024","12/30/2024","31/25/2024","01/01/2024","01/02/2024","01/03/2024","01/04/2024","01/05/2024"}))</f>
        <v>#VALUE!</v>
      </c>
      <c r="AI759" s="1">
        <f>0</f>
        <v>0</v>
      </c>
      <c r="AJ759" s="1" t="b">
        <v>1</v>
      </c>
      <c r="AK759" s="1"/>
      <c r="AL759" s="1"/>
      <c r="AM759" s="1"/>
      <c r="AN759" s="1"/>
      <c r="AO759" s="1"/>
      <c r="AP759" s="1" t="b">
        <v>1</v>
      </c>
      <c r="AQ759" s="1"/>
      <c r="AR759" s="1"/>
      <c r="AS759" s="1"/>
      <c r="AT759" s="1"/>
      <c r="AU759" s="1"/>
      <c r="AV759" s="1"/>
      <c r="AW759" s="1"/>
      <c r="AX759" s="1"/>
      <c r="AY759" s="1"/>
      <c r="AZ759" s="1" t="b">
        <v>1</v>
      </c>
    </row>
    <row r="760" spans="1:52" ht="15" customHeight="1" x14ac:dyDescent="0.35">
      <c r="A760" s="1" t="s">
        <v>2473</v>
      </c>
      <c r="B760" s="1" t="s">
        <v>2474</v>
      </c>
      <c r="C760" s="1" t="s">
        <v>1157</v>
      </c>
      <c r="D760" s="1" t="s">
        <v>1982</v>
      </c>
      <c r="E760" s="1" t="s">
        <v>1983</v>
      </c>
      <c r="F760" s="9" t="s">
        <v>2475</v>
      </c>
      <c r="G760" s="1" t="s">
        <v>38</v>
      </c>
      <c r="H76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0" s="11" t="e">
        <f>ABS(NETWORKDAYS.INTL("05/29/24", "05/29/24", 1, {"01/01/2024","01/15/2024","02/19/2024","05/27/2024","07/04/2024","09/02/2024","10/14/2024","11/11/2024","11/28/2024","12/25/2024","12/25/2024","12/26/2024","12/27/2024","12/28/2024","12/29/2024","12/30/2024","31/25/2024","01/01/2024","01/02/2024","01/03/2024","01/04/2024","01/05/2024"}))</f>
        <v>#VALUE!</v>
      </c>
      <c r="J760">
        <f>0</f>
        <v>0</v>
      </c>
      <c r="K760" s="1"/>
      <c r="L760" s="1">
        <v>1</v>
      </c>
      <c r="M760" s="1" t="e">
        <f>ABS(NETWORKDAYS.INTL("06/17/24", "06/17/24", 1, {"01/01/2024","01/15/2024","02/19/2024","05/27/2024","07/04/2024","09/02/2024","10/14/2024","11/11/2024","11/28/2024","12/25/2024","12/25/2024","12/26/2024","12/27/2024","12/28/2024","12/29/2024","12/30/2024","31/25/2024","01/01/2024","01/02/2024","01/03/2024","01/04/2024","01/05/2024"}))</f>
        <v>#VALUE!</v>
      </c>
      <c r="N760" s="1">
        <f>0</f>
        <v>0</v>
      </c>
      <c r="O760" s="1">
        <f>0</f>
        <v>0</v>
      </c>
      <c r="P760" s="1"/>
      <c r="Q760" s="1">
        <v>0</v>
      </c>
      <c r="R760" s="1">
        <v>0</v>
      </c>
      <c r="S760" s="1">
        <f>0</f>
        <v>0</v>
      </c>
      <c r="T760" s="1">
        <f>0</f>
        <v>0</v>
      </c>
      <c r="U760" s="1"/>
      <c r="V760" s="1">
        <v>1</v>
      </c>
      <c r="W760" s="1">
        <v>1</v>
      </c>
      <c r="X760" s="1" t="e">
        <f>ABS(NETWORKDAYS.INTL("06/17/24", "06/20/24", 1, {"01/01/2024","01/15/2024","02/19/2024","05/27/2024","07/04/2024","09/02/2024","10/14/2024","11/11/2024","11/28/2024","12/25/2024","12/25/2024","12/26/2024","12/27/2024","12/28/2024","12/29/2024","12/30/2024","31/25/2024","01/01/2024","01/02/2024","01/03/2024","01/04/2024","01/05/2024"}))</f>
        <v>#VALUE!</v>
      </c>
      <c r="Y760" s="1">
        <f>0</f>
        <v>0</v>
      </c>
      <c r="Z760" s="1">
        <f>0</f>
        <v>0</v>
      </c>
      <c r="AA760" s="1"/>
      <c r="AB760" s="5">
        <v>45460</v>
      </c>
      <c r="AC760" s="1"/>
      <c r="AD760" s="1" t="e">
        <f>ABS(NETWORKDAYS.INTL("06/17/24", "05/29/24", 1, {"01/01/2024","01/15/2024","02/19/2024","05/27/2024","07/04/2024","09/02/2024","10/14/2024","11/11/2024","11/28/2024","12/25/2024","12/25/2024","12/26/2024","12/27/2024","12/28/2024","12/29/2024","12/30/2024","31/25/2024","01/01/2024","01/02/2024","01/03/2024","01/04/2024","01/05/2024"}))</f>
        <v>#VALUE!</v>
      </c>
      <c r="AE760" s="1">
        <f>0</f>
        <v>0</v>
      </c>
      <c r="AF760" s="1">
        <f>0</f>
        <v>0</v>
      </c>
      <c r="AG760" s="1" t="e">
        <f>ABS(NETWORKDAYS.INTL("06/17/24", "08/05/24", 1, {"01/01/2024","01/15/2024","02/19/2024","05/27/2024","07/04/2024","09/02/2024","10/14/2024","11/11/2024","11/28/2024","12/25/2024","12/25/2024","12/26/2024","12/27/2024","12/28/2024","12/29/2024","12/30/2024","31/25/2024","01/01/2024","01/02/2024","01/03/2024","01/04/2024","01/05/2024"}))</f>
        <v>#VALUE!</v>
      </c>
      <c r="AH760" s="1" t="e">
        <f>ABS(NETWORKDAYS.INTL("06/17/24", "06/17/24", 1, {"01/01/2024","01/15/2024","02/19/2024","05/27/2024","07/04/2024","09/02/2024","10/14/2024","11/11/2024","11/28/2024","12/25/2024","12/25/2024","12/26/2024","12/27/2024","12/28/2024","12/29/2024","12/30/2024","31/25/2024","01/01/2024","01/02/2024","01/03/2024","01/04/2024","01/05/2024"}))</f>
        <v>#VALUE!</v>
      </c>
      <c r="AI760" s="1">
        <f>0</f>
        <v>0</v>
      </c>
      <c r="AJ760" s="1" t="b">
        <v>1</v>
      </c>
      <c r="AK760" s="1"/>
      <c r="AL760" s="1"/>
      <c r="AM760" s="1"/>
      <c r="AN760" s="1"/>
      <c r="AO760" s="1"/>
      <c r="AP760" s="1" t="b">
        <v>1</v>
      </c>
      <c r="AQ760" s="1"/>
      <c r="AR760" s="1"/>
      <c r="AS760" s="1"/>
      <c r="AT760" s="1"/>
      <c r="AU760" s="1"/>
      <c r="AV760" s="1"/>
      <c r="AW760" s="1"/>
      <c r="AX760" s="1"/>
      <c r="AY760" s="1"/>
      <c r="AZ760" s="1" t="b">
        <v>1</v>
      </c>
    </row>
    <row r="761" spans="1:52" ht="15" customHeight="1" x14ac:dyDescent="0.35">
      <c r="A761" s="1" t="s">
        <v>2476</v>
      </c>
      <c r="B761" s="1" t="s">
        <v>2477</v>
      </c>
      <c r="C761" s="1" t="s">
        <v>1329</v>
      </c>
      <c r="D761" s="1" t="s">
        <v>2373</v>
      </c>
      <c r="E761" s="1" t="s">
        <v>1336</v>
      </c>
      <c r="F761" s="9" t="s">
        <v>2478</v>
      </c>
      <c r="G761" s="1" t="s">
        <v>38</v>
      </c>
      <c r="H76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1" s="11" t="e">
        <f>ABS(NETWORKDAYS.INTL("05/29/24", "06/18/24", 1, {"01/01/2024","01/15/2024","02/19/2024","05/27/2024","07/04/2024","09/02/2024","10/14/2024","11/11/2024","11/28/2024","12/25/2024","12/25/2024","12/26/2024","12/27/2024","12/28/2024","12/29/2024","12/30/2024","31/25/2024","01/01/2024","01/02/2024","01/03/2024","01/04/2024","01/05/2024"}))</f>
        <v>#VALUE!</v>
      </c>
      <c r="J761">
        <f>0</f>
        <v>0</v>
      </c>
      <c r="K761" s="1"/>
      <c r="L761" s="1">
        <v>0</v>
      </c>
      <c r="M761" s="1">
        <f>0</f>
        <v>0</v>
      </c>
      <c r="N761" s="1">
        <f>0</f>
        <v>0</v>
      </c>
      <c r="O761" s="1">
        <f>0</f>
        <v>0</v>
      </c>
      <c r="P761" s="1"/>
      <c r="Q761" s="1">
        <v>0</v>
      </c>
      <c r="R761" s="1">
        <v>0</v>
      </c>
      <c r="S761" s="1">
        <f>0</f>
        <v>0</v>
      </c>
      <c r="T761" s="1">
        <f>0</f>
        <v>0</v>
      </c>
      <c r="U761" s="1"/>
      <c r="V761" s="1">
        <v>0</v>
      </c>
      <c r="W761" s="1">
        <v>0</v>
      </c>
      <c r="X761" s="1">
        <f>0</f>
        <v>0</v>
      </c>
      <c r="Y761" s="1">
        <f>0</f>
        <v>0</v>
      </c>
      <c r="Z761" s="1">
        <f>0</f>
        <v>0</v>
      </c>
      <c r="AA761" s="1"/>
      <c r="AB761" s="5"/>
      <c r="AC761" s="1"/>
      <c r="AD761" s="1">
        <f>0</f>
        <v>0</v>
      </c>
      <c r="AE761" s="1">
        <f>0</f>
        <v>0</v>
      </c>
      <c r="AF761" s="1">
        <f>0</f>
        <v>0</v>
      </c>
      <c r="AG761" s="1">
        <f>0</f>
        <v>0</v>
      </c>
      <c r="AH761" s="1">
        <f>0</f>
        <v>0</v>
      </c>
      <c r="AI761" s="1">
        <f>0</f>
        <v>0</v>
      </c>
      <c r="AJ761" s="1" t="b">
        <v>1</v>
      </c>
      <c r="AK761" s="1"/>
      <c r="AL761" s="1"/>
      <c r="AM761" s="1"/>
      <c r="AN761" s="1"/>
      <c r="AO761" s="1"/>
      <c r="AP761" s="1" t="b">
        <v>1</v>
      </c>
      <c r="AQ761" s="1"/>
      <c r="AR761" s="1"/>
      <c r="AS761" s="1"/>
      <c r="AT761" s="1"/>
      <c r="AU761" s="1"/>
      <c r="AV761" s="1"/>
      <c r="AW761" s="1"/>
      <c r="AX761" s="1"/>
      <c r="AY761" s="1" t="b">
        <v>1</v>
      </c>
      <c r="AZ761" s="1"/>
    </row>
    <row r="762" spans="1:52" ht="15" customHeight="1" x14ac:dyDescent="0.35">
      <c r="A762" s="1" t="s">
        <v>2479</v>
      </c>
      <c r="B762" s="1" t="s">
        <v>2480</v>
      </c>
      <c r="C762" s="1" t="s">
        <v>1157</v>
      </c>
      <c r="D762" s="1" t="s">
        <v>2084</v>
      </c>
      <c r="E762" s="1" t="s">
        <v>1983</v>
      </c>
      <c r="F762" s="9" t="s">
        <v>2481</v>
      </c>
      <c r="G762" s="1" t="s">
        <v>38</v>
      </c>
      <c r="H76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2" s="11" t="e">
        <f>ABS(NETWORKDAYS.INTL("05/29/24", "05/29/24", 1, {"01/01/2024","01/15/2024","02/19/2024","05/27/2024","07/04/2024","09/02/2024","10/14/2024","11/11/2024","11/28/2024","12/25/2024","12/25/2024","12/26/2024","12/27/2024","12/28/2024","12/29/2024","12/30/2024","31/25/2024","01/01/2024","01/02/2024","01/03/2024","01/04/2024","01/05/2024"}))</f>
        <v>#VALUE!</v>
      </c>
      <c r="J762">
        <f>0</f>
        <v>0</v>
      </c>
      <c r="K762" s="1"/>
      <c r="L762" s="1">
        <v>1</v>
      </c>
      <c r="M762" s="1" t="e">
        <f>ABS(NETWORKDAYS.INTL("06/18/24", "06/18/24", 1, {"01/01/2024","01/15/2024","02/19/2024","05/27/2024","07/04/2024","09/02/2024","10/14/2024","11/11/2024","11/28/2024","12/25/2024","12/25/2024","12/26/2024","12/27/2024","12/28/2024","12/29/2024","12/30/2024","31/25/2024","01/01/2024","01/02/2024","01/03/2024","01/04/2024","01/05/2024"}))</f>
        <v>#VALUE!</v>
      </c>
      <c r="N762" s="1">
        <f>0</f>
        <v>0</v>
      </c>
      <c r="O762" s="1">
        <f>0</f>
        <v>0</v>
      </c>
      <c r="P762" s="1"/>
      <c r="Q762" s="1">
        <v>0</v>
      </c>
      <c r="R762" s="1">
        <v>0</v>
      </c>
      <c r="S762" s="1">
        <f>0</f>
        <v>0</v>
      </c>
      <c r="T762" s="1">
        <f>0</f>
        <v>0</v>
      </c>
      <c r="U762" s="1"/>
      <c r="V762" s="1">
        <v>1</v>
      </c>
      <c r="W762" s="1">
        <v>1</v>
      </c>
      <c r="X762" s="1" t="e">
        <f>ABS(NETWORKDAYS.INTL("06/18/24", "06/19/24", 1, {"01/01/2024","01/15/2024","02/19/2024","05/27/2024","07/04/2024","09/02/2024","10/14/2024","11/11/2024","11/28/2024","12/25/2024","12/25/2024","12/26/2024","12/27/2024","12/28/2024","12/29/2024","12/30/2024","31/25/2024","01/01/2024","01/02/2024","01/03/2024","01/04/2024","01/05/2024"}))</f>
        <v>#VALUE!</v>
      </c>
      <c r="Y762" s="1">
        <f>0</f>
        <v>0</v>
      </c>
      <c r="Z762" s="1">
        <f>0</f>
        <v>0</v>
      </c>
      <c r="AA762" s="1"/>
      <c r="AB762" s="5">
        <v>45469</v>
      </c>
      <c r="AC762" s="1"/>
      <c r="AD762" s="1" t="e">
        <f>ABS(NETWORKDAYS.INTL("06/18/24", "05/29/24", 1, {"01/01/2024","01/15/2024","02/19/2024","05/27/2024","07/04/2024","09/02/2024","10/14/2024","11/11/2024","11/28/2024","12/25/2024","12/25/2024","12/26/2024","12/27/2024","12/28/2024","12/29/2024","12/30/2024","31/25/2024","01/01/2024","01/02/2024","01/03/2024","01/04/2024","01/05/2024"}))</f>
        <v>#VALUE!</v>
      </c>
      <c r="AE762" s="1">
        <f>0</f>
        <v>0</v>
      </c>
      <c r="AF762" s="1">
        <f>0</f>
        <v>0</v>
      </c>
      <c r="AG762" s="1" t="e">
        <f>ABS(NETWORKDAYS.INTL("06/18/24", "08/05/24", 1, {"01/01/2024","01/15/2024","02/19/2024","05/27/2024","07/04/2024","09/02/2024","10/14/2024","11/11/2024","11/28/2024","12/25/2024","12/25/2024","12/26/2024","12/27/2024","12/28/2024","12/29/2024","12/30/2024","31/25/2024","01/01/2024","01/02/2024","01/03/2024","01/04/2024","01/05/2024"}))</f>
        <v>#VALUE!</v>
      </c>
      <c r="AH762" s="1" t="e">
        <f>ABS(NETWORKDAYS.INTL("06/18/24", "06/18/24", 1, {"01/01/2024","01/15/2024","02/19/2024","05/27/2024","07/04/2024","09/02/2024","10/14/2024","11/11/2024","11/28/2024","12/25/2024","12/25/2024","12/26/2024","12/27/2024","12/28/2024","12/29/2024","12/30/2024","31/25/2024","01/01/2024","01/02/2024","01/03/2024","01/04/2024","01/05/2024"}))</f>
        <v>#VALUE!</v>
      </c>
      <c r="AI762" s="1">
        <f>0</f>
        <v>0</v>
      </c>
      <c r="AJ762" s="1" t="b">
        <v>1</v>
      </c>
      <c r="AK762" s="1"/>
      <c r="AL762" s="1"/>
      <c r="AM762" s="1"/>
      <c r="AN762" s="1"/>
      <c r="AO762" s="1"/>
      <c r="AP762" s="1" t="b">
        <v>1</v>
      </c>
      <c r="AQ762" s="1"/>
      <c r="AR762" s="1"/>
      <c r="AS762" s="1"/>
      <c r="AT762" s="1"/>
      <c r="AU762" s="1"/>
      <c r="AV762" s="1"/>
      <c r="AW762" s="1"/>
      <c r="AX762" s="1"/>
      <c r="AY762" s="1"/>
      <c r="AZ762" s="1" t="b">
        <v>1</v>
      </c>
    </row>
    <row r="763" spans="1:52" ht="15" customHeight="1" x14ac:dyDescent="0.35">
      <c r="A763" s="1" t="s">
        <v>2482</v>
      </c>
      <c r="B763" s="1" t="s">
        <v>2483</v>
      </c>
      <c r="C763" s="1" t="s">
        <v>1157</v>
      </c>
      <c r="D763" s="1" t="s">
        <v>2084</v>
      </c>
      <c r="E763" s="1" t="s">
        <v>2052</v>
      </c>
      <c r="F763" s="9" t="s">
        <v>2484</v>
      </c>
      <c r="G763" s="1" t="s">
        <v>38</v>
      </c>
      <c r="H76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3" s="11" t="e">
        <f>ABS(NETWORKDAYS.INTL("05/29/24", "05/29/24", 1, {"01/01/2024","01/15/2024","02/19/2024","05/27/2024","07/04/2024","09/02/2024","10/14/2024","11/11/2024","11/28/2024","12/25/2024","12/25/2024","12/26/2024","12/27/2024","12/28/2024","12/29/2024","12/30/2024","31/25/2024","01/01/2024","01/02/2024","01/03/2024","01/04/2024","01/05/2024"}))</f>
        <v>#VALUE!</v>
      </c>
      <c r="J763">
        <f>0</f>
        <v>0</v>
      </c>
      <c r="K763" s="1"/>
      <c r="L763" s="1">
        <v>1</v>
      </c>
      <c r="M763" s="1" t="e">
        <f>ABS(NETWORKDAYS.INTL("06/18/24", "06/18/24", 1, {"01/01/2024","01/15/2024","02/19/2024","05/27/2024","07/04/2024","09/02/2024","10/14/2024","11/11/2024","11/28/2024","12/25/2024","12/25/2024","12/26/2024","12/27/2024","12/28/2024","12/29/2024","12/30/2024","31/25/2024","01/01/2024","01/02/2024","01/03/2024","01/04/2024","01/05/2024"}))</f>
        <v>#VALUE!</v>
      </c>
      <c r="N763" s="1">
        <f>0</f>
        <v>0</v>
      </c>
      <c r="O763" s="1">
        <f>0</f>
        <v>0</v>
      </c>
      <c r="P763" s="1"/>
      <c r="Q763" s="1">
        <v>0</v>
      </c>
      <c r="R763" s="1">
        <v>0</v>
      </c>
      <c r="S763" s="1">
        <f>0</f>
        <v>0</v>
      </c>
      <c r="T763" s="1">
        <f>0</f>
        <v>0</v>
      </c>
      <c r="U763" s="1"/>
      <c r="V763" s="1">
        <v>1</v>
      </c>
      <c r="W763" s="1">
        <v>1</v>
      </c>
      <c r="X763" s="1" t="e">
        <f>ABS(NETWORKDAYS.INTL("06/18/24", "06/19/24", 1, {"01/01/2024","01/15/2024","02/19/2024","05/27/2024","07/04/2024","09/02/2024","10/14/2024","11/11/2024","11/28/2024","12/25/2024","12/25/2024","12/26/2024","12/27/2024","12/28/2024","12/29/2024","12/30/2024","31/25/2024","01/01/2024","01/02/2024","01/03/2024","01/04/2024","01/05/2024"}))</f>
        <v>#VALUE!</v>
      </c>
      <c r="Y763" s="1">
        <f>0</f>
        <v>0</v>
      </c>
      <c r="Z763" s="1">
        <f>0</f>
        <v>0</v>
      </c>
      <c r="AA763" s="1"/>
      <c r="AB763" s="5">
        <v>45469</v>
      </c>
      <c r="AC763" s="1"/>
      <c r="AD763" s="1" t="e">
        <f>ABS(NETWORKDAYS.INTL("06/18/24", "05/29/24", 1, {"01/01/2024","01/15/2024","02/19/2024","05/27/2024","07/04/2024","09/02/2024","10/14/2024","11/11/2024","11/28/2024","12/25/2024","12/25/2024","12/26/2024","12/27/2024","12/28/2024","12/29/2024","12/30/2024","31/25/2024","01/01/2024","01/02/2024","01/03/2024","01/04/2024","01/05/2024"}))</f>
        <v>#VALUE!</v>
      </c>
      <c r="AE763" s="1">
        <f>0</f>
        <v>0</v>
      </c>
      <c r="AF763" s="1">
        <f>0</f>
        <v>0</v>
      </c>
      <c r="AG763" s="1" t="e">
        <f>ABS(NETWORKDAYS.INTL("06/18/24", "08/05/24", 1, {"01/01/2024","01/15/2024","02/19/2024","05/27/2024","07/04/2024","09/02/2024","10/14/2024","11/11/2024","11/28/2024","12/25/2024","12/25/2024","12/26/2024","12/27/2024","12/28/2024","12/29/2024","12/30/2024","31/25/2024","01/01/2024","01/02/2024","01/03/2024","01/04/2024","01/05/2024"}))</f>
        <v>#VALUE!</v>
      </c>
      <c r="AH763" s="1" t="e">
        <f>ABS(NETWORKDAYS.INTL("06/18/24", "06/18/24", 1, {"01/01/2024","01/15/2024","02/19/2024","05/27/2024","07/04/2024","09/02/2024","10/14/2024","11/11/2024","11/28/2024","12/25/2024","12/25/2024","12/26/2024","12/27/2024","12/28/2024","12/29/2024","12/30/2024","31/25/2024","01/01/2024","01/02/2024","01/03/2024","01/04/2024","01/05/2024"}))</f>
        <v>#VALUE!</v>
      </c>
      <c r="AI763" s="1">
        <f>0</f>
        <v>0</v>
      </c>
      <c r="AJ763" s="1" t="b">
        <v>1</v>
      </c>
      <c r="AK763" s="1"/>
      <c r="AL763" s="1"/>
      <c r="AM763" s="1"/>
      <c r="AN763" s="1"/>
      <c r="AO763" s="1"/>
      <c r="AP763" s="1"/>
      <c r="AQ763" s="1"/>
      <c r="AR763" s="1"/>
      <c r="AS763" s="1"/>
      <c r="AT763" s="1"/>
      <c r="AU763" s="1"/>
      <c r="AV763" s="1"/>
      <c r="AW763" s="1"/>
      <c r="AX763" s="1"/>
      <c r="AY763" s="1"/>
      <c r="AZ763" s="1" t="b">
        <v>1</v>
      </c>
    </row>
    <row r="764" spans="1:52" ht="15" customHeight="1" x14ac:dyDescent="0.35">
      <c r="A764" s="1" t="s">
        <v>2485</v>
      </c>
      <c r="B764" s="1" t="s">
        <v>2486</v>
      </c>
      <c r="C764" s="1" t="s">
        <v>1157</v>
      </c>
      <c r="D764" s="1" t="s">
        <v>2084</v>
      </c>
      <c r="E764" s="1" t="s">
        <v>1983</v>
      </c>
      <c r="F764" s="9" t="s">
        <v>2487</v>
      </c>
      <c r="G764" s="1" t="s">
        <v>38</v>
      </c>
      <c r="H76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4" s="11" t="e">
        <f>ABS(NETWORKDAYS.INTL("05/29/24", "05/29/24", 1, {"01/01/2024","01/15/2024","02/19/2024","05/27/2024","07/04/2024","09/02/2024","10/14/2024","11/11/2024","11/28/2024","12/25/2024","12/25/2024","12/26/2024","12/27/2024","12/28/2024","12/29/2024","12/30/2024","31/25/2024","01/01/2024","01/02/2024","01/03/2024","01/04/2024","01/05/2024"}))</f>
        <v>#VALUE!</v>
      </c>
      <c r="J764">
        <f>0</f>
        <v>0</v>
      </c>
      <c r="K764" s="1"/>
      <c r="L764" s="1">
        <v>1</v>
      </c>
      <c r="M764" s="1" t="e">
        <f>ABS(NETWORKDAYS.INTL("06/18/24", "06/18/24", 1, {"01/01/2024","01/15/2024","02/19/2024","05/27/2024","07/04/2024","09/02/2024","10/14/2024","11/11/2024","11/28/2024","12/25/2024","12/25/2024","12/26/2024","12/27/2024","12/28/2024","12/29/2024","12/30/2024","31/25/2024","01/01/2024","01/02/2024","01/03/2024","01/04/2024","01/05/2024"}))</f>
        <v>#VALUE!</v>
      </c>
      <c r="N764" s="1">
        <f>0</f>
        <v>0</v>
      </c>
      <c r="O764" s="1">
        <f>0</f>
        <v>0</v>
      </c>
      <c r="P764" s="1"/>
      <c r="Q764" s="1">
        <v>0</v>
      </c>
      <c r="R764" s="1">
        <v>0</v>
      </c>
      <c r="S764" s="1">
        <f>0</f>
        <v>0</v>
      </c>
      <c r="T764" s="1">
        <f>0</f>
        <v>0</v>
      </c>
      <c r="U764" s="1"/>
      <c r="V764" s="1">
        <v>1</v>
      </c>
      <c r="W764" s="1">
        <v>1</v>
      </c>
      <c r="X764" s="1" t="e">
        <f>ABS(NETWORKDAYS.INTL("06/18/24", "06/19/24", 1, {"01/01/2024","01/15/2024","02/19/2024","05/27/2024","07/04/2024","09/02/2024","10/14/2024","11/11/2024","11/28/2024","12/25/2024","12/25/2024","12/26/2024","12/27/2024","12/28/2024","12/29/2024","12/30/2024","31/25/2024","01/01/2024","01/02/2024","01/03/2024","01/04/2024","01/05/2024"}))</f>
        <v>#VALUE!</v>
      </c>
      <c r="Y764" s="1">
        <f>0</f>
        <v>0</v>
      </c>
      <c r="Z764" s="1">
        <f>0</f>
        <v>0</v>
      </c>
      <c r="AA764" s="1"/>
      <c r="AB764" s="5">
        <v>45469</v>
      </c>
      <c r="AC764" s="1"/>
      <c r="AD764" s="1" t="e">
        <f>ABS(NETWORKDAYS.INTL("06/18/24", "05/29/24", 1, {"01/01/2024","01/15/2024","02/19/2024","05/27/2024","07/04/2024","09/02/2024","10/14/2024","11/11/2024","11/28/2024","12/25/2024","12/25/2024","12/26/2024","12/27/2024","12/28/2024","12/29/2024","12/30/2024","31/25/2024","01/01/2024","01/02/2024","01/03/2024","01/04/2024","01/05/2024"}))</f>
        <v>#VALUE!</v>
      </c>
      <c r="AE764" s="1">
        <f>0</f>
        <v>0</v>
      </c>
      <c r="AF764" s="1">
        <f>0</f>
        <v>0</v>
      </c>
      <c r="AG764" s="1" t="e">
        <f>ABS(NETWORKDAYS.INTL("06/18/24", "08/05/24", 1, {"01/01/2024","01/15/2024","02/19/2024","05/27/2024","07/04/2024","09/02/2024","10/14/2024","11/11/2024","11/28/2024","12/25/2024","12/25/2024","12/26/2024","12/27/2024","12/28/2024","12/29/2024","12/30/2024","31/25/2024","01/01/2024","01/02/2024","01/03/2024","01/04/2024","01/05/2024"}))</f>
        <v>#VALUE!</v>
      </c>
      <c r="AH764" s="1" t="e">
        <f>ABS(NETWORKDAYS.INTL("06/18/24", "06/18/24", 1, {"01/01/2024","01/15/2024","02/19/2024","05/27/2024","07/04/2024","09/02/2024","10/14/2024","11/11/2024","11/28/2024","12/25/2024","12/25/2024","12/26/2024","12/27/2024","12/28/2024","12/29/2024","12/30/2024","31/25/2024","01/01/2024","01/02/2024","01/03/2024","01/04/2024","01/05/2024"}))</f>
        <v>#VALUE!</v>
      </c>
      <c r="AI764" s="1">
        <f>0</f>
        <v>0</v>
      </c>
      <c r="AJ764" s="1" t="b">
        <v>1</v>
      </c>
      <c r="AK764" s="1"/>
      <c r="AL764" s="1"/>
      <c r="AM764" s="1"/>
      <c r="AN764" s="1"/>
      <c r="AO764" s="1"/>
      <c r="AP764" s="1" t="b">
        <v>1</v>
      </c>
      <c r="AQ764" s="1"/>
      <c r="AR764" s="1"/>
      <c r="AS764" s="1"/>
      <c r="AT764" s="1"/>
      <c r="AU764" s="1"/>
      <c r="AV764" s="1"/>
      <c r="AW764" s="1"/>
      <c r="AX764" s="1"/>
      <c r="AY764" s="1"/>
      <c r="AZ764" s="1" t="b">
        <v>1</v>
      </c>
    </row>
    <row r="765" spans="1:52" ht="15" customHeight="1" x14ac:dyDescent="0.35">
      <c r="A765" s="1" t="s">
        <v>2488</v>
      </c>
      <c r="B765" s="1" t="s">
        <v>2489</v>
      </c>
      <c r="C765" s="1" t="s">
        <v>1329</v>
      </c>
      <c r="D765" s="1" t="s">
        <v>2406</v>
      </c>
      <c r="E765" s="1" t="s">
        <v>1336</v>
      </c>
      <c r="F765" s="9" t="s">
        <v>2490</v>
      </c>
      <c r="G765" s="1" t="s">
        <v>38</v>
      </c>
      <c r="H76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65" s="11" t="e">
        <f>ABS(NETWORKDAYS.INTL("06/03/24", "06/14/24", 1, {"01/01/2024","01/15/2024","02/19/2024","05/27/2024","07/04/2024","09/02/2024","10/14/2024","11/11/2024","11/28/2024","12/25/2024","12/25/2024","12/26/2024","12/27/2024","12/28/2024","12/29/2024","12/30/2024","31/25/2024","01/01/2024","01/02/2024","01/03/2024","01/04/2024","01/05/2024"}))</f>
        <v>#VALUE!</v>
      </c>
      <c r="J765" t="e">
        <f>ABS(NETWORKDAYS.INTL("06/12/24", "06/14/24", 1, {"01/01/2024","01/15/2024","02/19/2024","05/27/2024","07/04/2024","09/02/2024","10/14/2024","11/11/2024","11/28/2024","12/25/2024","12/25/2024","12/26/2024","12/27/2024","12/28/2024","12/29/2024","12/30/2024","31/25/2024","01/01/2024","01/02/2024","01/03/2024","01/04/2024","01/05/2024"}))</f>
        <v>#VALUE!</v>
      </c>
      <c r="K765" s="1"/>
      <c r="L765" s="1">
        <v>0</v>
      </c>
      <c r="M765" s="1">
        <f>0</f>
        <v>0</v>
      </c>
      <c r="N765" s="1">
        <f>0</f>
        <v>0</v>
      </c>
      <c r="O765" s="1">
        <f>0</f>
        <v>0</v>
      </c>
      <c r="P765" s="1"/>
      <c r="Q765" s="1">
        <v>0</v>
      </c>
      <c r="R765" s="1">
        <v>0</v>
      </c>
      <c r="S765" s="1">
        <f>0</f>
        <v>0</v>
      </c>
      <c r="T765" s="1">
        <f>0</f>
        <v>0</v>
      </c>
      <c r="U765" s="1"/>
      <c r="V765" s="1">
        <v>0</v>
      </c>
      <c r="W765" s="1">
        <v>0</v>
      </c>
      <c r="X765" s="1">
        <f>0</f>
        <v>0</v>
      </c>
      <c r="Y765" s="1">
        <f>0</f>
        <v>0</v>
      </c>
      <c r="Z765" s="1">
        <f>0</f>
        <v>0</v>
      </c>
      <c r="AA765" s="1"/>
      <c r="AB765" s="5"/>
      <c r="AC765" s="1"/>
      <c r="AD765" s="1">
        <f>0</f>
        <v>0</v>
      </c>
      <c r="AE765" s="1">
        <f>0</f>
        <v>0</v>
      </c>
      <c r="AF765" s="1">
        <f>0</f>
        <v>0</v>
      </c>
      <c r="AG765" s="1">
        <f>0</f>
        <v>0</v>
      </c>
      <c r="AH765" s="1">
        <f>0</f>
        <v>0</v>
      </c>
      <c r="AI765" s="1">
        <f>0</f>
        <v>0</v>
      </c>
      <c r="AJ765" s="1" t="b">
        <v>1</v>
      </c>
      <c r="AK765" s="1"/>
      <c r="AL765" s="1"/>
      <c r="AM765" s="1"/>
      <c r="AN765" s="1"/>
      <c r="AO765" s="1"/>
      <c r="AP765" s="1" t="b">
        <v>1</v>
      </c>
      <c r="AQ765" s="1"/>
      <c r="AR765" s="1"/>
      <c r="AS765" s="1"/>
      <c r="AT765" s="1"/>
      <c r="AU765" s="1"/>
      <c r="AV765" s="1"/>
      <c r="AW765" s="1"/>
      <c r="AX765" s="1"/>
      <c r="AY765" s="1" t="b">
        <v>1</v>
      </c>
      <c r="AZ765" s="1"/>
    </row>
    <row r="766" spans="1:52" ht="15" customHeight="1" x14ac:dyDescent="0.35">
      <c r="A766" s="1" t="s">
        <v>2491</v>
      </c>
      <c r="B766" s="1" t="s">
        <v>2492</v>
      </c>
      <c r="C766" s="1" t="s">
        <v>988</v>
      </c>
      <c r="D766" s="1" t="s">
        <v>1738</v>
      </c>
      <c r="E766" s="1" t="s">
        <v>1983</v>
      </c>
      <c r="F766" s="9" t="s">
        <v>2493</v>
      </c>
      <c r="G766" s="1" t="s">
        <v>38</v>
      </c>
      <c r="H76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6" s="11" t="e">
        <f>ABS(NETWORKDAYS.INTL("05/29/24", "05/30/24", 1, {"01/01/2024","01/15/2024","02/19/2024","05/27/2024","07/04/2024","09/02/2024","10/14/2024","11/11/2024","11/28/2024","12/25/2024","12/25/2024","12/26/2024","12/27/2024","12/28/2024","12/29/2024","12/30/2024","31/25/2024","01/01/2024","01/02/2024","01/03/2024","01/04/2024","01/05/2024"}))</f>
        <v>#VALUE!</v>
      </c>
      <c r="J766">
        <f>0</f>
        <v>0</v>
      </c>
      <c r="K766" s="1"/>
      <c r="L766" s="1">
        <v>1</v>
      </c>
      <c r="M766" s="1" t="e">
        <f>ABS(NETWORKDAYS.INTL("06/03/24", "06/03/24", 1, {"01/01/2024","01/15/2024","02/19/2024","05/27/2024","07/04/2024","09/02/2024","10/14/2024","11/11/2024","11/28/2024","12/25/2024","12/25/2024","12/26/2024","12/27/2024","12/28/2024","12/29/2024","12/30/2024","31/25/2024","01/01/2024","01/02/2024","01/03/2024","01/04/2024","01/05/2024"}))</f>
        <v>#VALUE!</v>
      </c>
      <c r="N766" s="1">
        <f>0</f>
        <v>0</v>
      </c>
      <c r="O766" s="1">
        <f>0</f>
        <v>0</v>
      </c>
      <c r="P766" s="1"/>
      <c r="Q766" s="1">
        <v>1</v>
      </c>
      <c r="R766" s="1">
        <v>1</v>
      </c>
      <c r="S766" s="1" t="e">
        <f>ABS(NETWORKDAYS.INTL("06/12/24", "06/12/24", 1, {"01/01/2024","01/15/2024","02/19/2024","05/27/2024","07/04/2024","09/02/2024","10/14/2024","11/11/2024","11/28/2024","12/25/2024","12/25/2024","12/26/2024","12/27/2024","12/28/2024","12/29/2024","12/30/2024","31/25/2024","01/01/2024","01/02/2024","01/03/2024","01/04/2024","01/05/2024"}))</f>
        <v>#VALUE!</v>
      </c>
      <c r="T766" s="1">
        <f>0</f>
        <v>0</v>
      </c>
      <c r="U766" s="1"/>
      <c r="V766" s="1">
        <v>1</v>
      </c>
      <c r="W766" s="1">
        <v>1</v>
      </c>
      <c r="X766" s="1" t="e">
        <f>ABS(NETWORKDAYS.INTL("06/12/24", "06/12/24", 1, {"01/01/2024","01/15/2024","02/19/2024","05/27/2024","07/04/2024","09/02/2024","10/14/2024","11/11/2024","11/28/2024","12/25/2024","12/25/2024","12/26/2024","12/27/2024","12/28/2024","12/29/2024","12/30/2024","31/25/2024","01/01/2024","01/02/2024","01/03/2024","01/04/2024","01/05/2024"}))</f>
        <v>#VALUE!</v>
      </c>
      <c r="Y766" s="1" t="e">
        <f>ABS(NETWORKDAYS.INTL("06/14/24", "06/14/24", 1, {"01/01/2024","01/15/2024","02/19/2024","05/27/2024","07/04/2024","09/02/2024","10/14/2024","11/11/2024","11/28/2024","12/25/2024","12/25/2024","12/26/2024","12/27/2024","12/28/2024","12/29/2024","12/30/2024","31/25/2024","01/01/2024","01/02/2024","01/03/2024","01/04/2024","01/05/2024"}))</f>
        <v>#VALUE!</v>
      </c>
      <c r="Z766" s="1">
        <f>0</f>
        <v>0</v>
      </c>
      <c r="AA766" s="1"/>
      <c r="AB766" s="5">
        <v>45457</v>
      </c>
      <c r="AC766" s="5">
        <v>45503</v>
      </c>
      <c r="AD766" s="1" t="e">
        <f>ABS(NETWORKDAYS.INTL("06/03/24", "05/30/24", 1, {"01/01/2024","01/15/2024","02/19/2024","05/27/2024","07/04/2024","09/02/2024","10/14/2024","11/11/2024","11/28/2024","12/25/2024","12/25/2024","12/26/2024","12/27/2024","12/28/2024","12/29/2024","12/30/2024","31/25/2024","01/01/2024","01/02/2024","01/03/2024","01/04/2024","01/05/2024"}))</f>
        <v>#VALUE!</v>
      </c>
      <c r="AE766" s="1">
        <f>0</f>
        <v>0</v>
      </c>
      <c r="AF766" s="1" t="e">
        <f>ABS(NETWORKDAYS.INTL("06/03/24", "06/03/24", 1, {"01/01/2024","01/15/2024","02/19/2024","05/27/2024","07/04/2024","09/02/2024","10/14/2024","11/11/2024","11/28/2024","12/25/2024","12/25/2024","12/26/2024","12/27/2024","12/28/2024","12/29/2024","12/30/2024","31/25/2024","01/01/2024","01/02/2024","01/03/2024","01/04/2024","01/05/2024"}))</f>
        <v>#VALUE!</v>
      </c>
      <c r="AG766" s="1" t="e">
        <f>ABS(NETWORKDAYS.INTL("06/12/24", "06/03/24", 1, {"01/01/2024","01/15/2024","02/19/2024","05/27/2024","07/04/2024","09/02/2024","10/14/2024","11/11/2024","11/28/2024","12/25/2024","12/25/2024","12/26/2024","12/27/2024","12/28/2024","12/29/2024","12/30/2024","31/25/2024","01/01/2024","01/02/2024","01/03/2024","01/04/2024","01/05/2024"}))</f>
        <v>#VALUE!</v>
      </c>
      <c r="AH766" s="1" t="e">
        <f>ABS(NETWORKDAYS.INTL("06/12/24", "06/12/24", 1, {"01/01/2024","01/15/2024","02/19/2024","05/27/2024","07/04/2024","09/02/2024","10/14/2024","11/11/2024","11/28/2024","12/25/2024","12/25/2024","12/26/2024","12/27/2024","12/28/2024","12/29/2024","12/30/2024","31/25/2024","01/01/2024","01/02/2024","01/03/2024","01/04/2024","01/05/2024"}))</f>
        <v>#VALUE!</v>
      </c>
      <c r="AI766" s="1" t="e">
        <f>ABS(NETWORKDAYS.INTL("7/30/2024", "06/14/24", 1, {"01/01/2024","01/15/2024","02/19/2024","05/27/2024","07/04/2024","09/02/2024","10/14/2024","11/11/2024","11/28/2024","12/25/2024","12/25/2024","12/26/2024","12/27/2024","12/28/2024","12/29/2024","12/30/2024","31/25/2024","01/01/2024","01/02/2024","01/03/2024","01/04/2024","01/05/2024"}))</f>
        <v>#VALUE!</v>
      </c>
      <c r="AJ766" s="1" t="b">
        <v>1</v>
      </c>
      <c r="AK766" s="1"/>
      <c r="AL766" s="1"/>
      <c r="AM766" s="1"/>
      <c r="AN766" s="1"/>
      <c r="AO766" s="1"/>
      <c r="AP766" s="1" t="b">
        <v>1</v>
      </c>
      <c r="AQ766" s="1"/>
      <c r="AR766" s="1"/>
      <c r="AS766" s="1"/>
      <c r="AT766" s="1"/>
      <c r="AU766" s="1"/>
      <c r="AV766" s="1"/>
      <c r="AW766" s="1"/>
      <c r="AX766" s="1"/>
      <c r="AY766" s="1"/>
      <c r="AZ766" s="1" t="b">
        <v>1</v>
      </c>
    </row>
    <row r="767" spans="1:52" ht="15" customHeight="1" x14ac:dyDescent="0.35">
      <c r="A767" s="1" t="s">
        <v>2494</v>
      </c>
      <c r="B767" s="1" t="s">
        <v>2495</v>
      </c>
      <c r="C767" s="1" t="s">
        <v>1157</v>
      </c>
      <c r="D767" s="1" t="s">
        <v>1982</v>
      </c>
      <c r="E767" s="1" t="s">
        <v>1983</v>
      </c>
      <c r="F767" s="9" t="s">
        <v>2496</v>
      </c>
      <c r="G767" s="1" t="s">
        <v>38</v>
      </c>
      <c r="H76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7" s="11" t="e">
        <f>ABS(NETWORKDAYS.INTL("05/30/24", "05/30/24", 1, {"01/01/2024","01/15/2024","02/19/2024","05/27/2024","07/04/2024","09/02/2024","10/14/2024","11/11/2024","11/28/2024","12/25/2024","12/25/2024","12/26/2024","12/27/2024","12/28/2024","12/29/2024","12/30/2024","31/25/2024","01/01/2024","01/02/2024","01/03/2024","01/04/2024","01/05/2024"}))</f>
        <v>#VALUE!</v>
      </c>
      <c r="J767">
        <f>0</f>
        <v>0</v>
      </c>
      <c r="K767" s="1"/>
      <c r="L767" s="1">
        <v>1</v>
      </c>
      <c r="M767" s="1" t="e">
        <f>ABS(NETWORKDAYS.INTL("06/18/24", "06/18/24", 1, {"01/01/2024","01/15/2024","02/19/2024","05/27/2024","07/04/2024","09/02/2024","10/14/2024","11/11/2024","11/28/2024","12/25/2024","12/25/2024","12/26/2024","12/27/2024","12/28/2024","12/29/2024","12/30/2024","31/25/2024","01/01/2024","01/02/2024","01/03/2024","01/04/2024","01/05/2024"}))</f>
        <v>#VALUE!</v>
      </c>
      <c r="N767" s="1">
        <f>0</f>
        <v>0</v>
      </c>
      <c r="O767" s="1">
        <f>0</f>
        <v>0</v>
      </c>
      <c r="P767" s="1"/>
      <c r="Q767" s="1">
        <v>0</v>
      </c>
      <c r="R767" s="1">
        <v>0</v>
      </c>
      <c r="S767" s="1">
        <f>0</f>
        <v>0</v>
      </c>
      <c r="T767" s="1">
        <f>0</f>
        <v>0</v>
      </c>
      <c r="U767" s="1"/>
      <c r="V767" s="1">
        <v>1</v>
      </c>
      <c r="W767" s="1">
        <v>1</v>
      </c>
      <c r="X767" s="1" t="e">
        <f>ABS(NETWORKDAYS.INTL("06/18/24", "06/19/24", 1, {"01/01/2024","01/15/2024","02/19/2024","05/27/2024","07/04/2024","09/02/2024","10/14/2024","11/11/2024","11/28/2024","12/25/2024","12/25/2024","12/26/2024","12/27/2024","12/28/2024","12/29/2024","12/30/2024","31/25/2024","01/01/2024","01/02/2024","01/03/2024","01/04/2024","01/05/2024"}))</f>
        <v>#VALUE!</v>
      </c>
      <c r="Y767" s="1">
        <f>0</f>
        <v>0</v>
      </c>
      <c r="Z767" s="1">
        <f>0</f>
        <v>0</v>
      </c>
      <c r="AA767" s="1"/>
      <c r="AB767" s="5">
        <v>45469</v>
      </c>
      <c r="AC767" s="1"/>
      <c r="AD767" s="1" t="e">
        <f>ABS(NETWORKDAYS.INTL("06/18/24", "05/30/24", 1, {"01/01/2024","01/15/2024","02/19/2024","05/27/2024","07/04/2024","09/02/2024","10/14/2024","11/11/2024","11/28/2024","12/25/2024","12/25/2024","12/26/2024","12/27/2024","12/28/2024","12/29/2024","12/30/2024","31/25/2024","01/01/2024","01/02/2024","01/03/2024","01/04/2024","01/05/2024"}))</f>
        <v>#VALUE!</v>
      </c>
      <c r="AE767" s="1">
        <f>0</f>
        <v>0</v>
      </c>
      <c r="AF767" s="1">
        <f>0</f>
        <v>0</v>
      </c>
      <c r="AG767" s="1" t="e">
        <f>ABS(NETWORKDAYS.INTL("06/18/24", "08/05/24", 1, {"01/01/2024","01/15/2024","02/19/2024","05/27/2024","07/04/2024","09/02/2024","10/14/2024","11/11/2024","11/28/2024","12/25/2024","12/25/2024","12/26/2024","12/27/2024","12/28/2024","12/29/2024","12/30/2024","31/25/2024","01/01/2024","01/02/2024","01/03/2024","01/04/2024","01/05/2024"}))</f>
        <v>#VALUE!</v>
      </c>
      <c r="AH767" s="1" t="e">
        <f>ABS(NETWORKDAYS.INTL("06/18/24", "06/18/24", 1, {"01/01/2024","01/15/2024","02/19/2024","05/27/2024","07/04/2024","09/02/2024","10/14/2024","11/11/2024","11/28/2024","12/25/2024","12/25/2024","12/26/2024","12/27/2024","12/28/2024","12/29/2024","12/30/2024","31/25/2024","01/01/2024","01/02/2024","01/03/2024","01/04/2024","01/05/2024"}))</f>
        <v>#VALUE!</v>
      </c>
      <c r="AI767" s="1">
        <f>0</f>
        <v>0</v>
      </c>
      <c r="AJ767" s="1" t="b">
        <v>1</v>
      </c>
      <c r="AK767" s="1"/>
      <c r="AL767" s="1"/>
      <c r="AM767" s="1"/>
      <c r="AN767" s="1"/>
      <c r="AO767" s="1"/>
      <c r="AP767" s="1" t="b">
        <v>1</v>
      </c>
      <c r="AQ767" s="1"/>
      <c r="AR767" s="1"/>
      <c r="AS767" s="1"/>
      <c r="AT767" s="1"/>
      <c r="AU767" s="1"/>
      <c r="AV767" s="1"/>
      <c r="AW767" s="1"/>
      <c r="AX767" s="1"/>
      <c r="AY767" s="1"/>
      <c r="AZ767" s="1" t="b">
        <v>1</v>
      </c>
    </row>
    <row r="768" spans="1:52" ht="15" customHeight="1" x14ac:dyDescent="0.35">
      <c r="A768" s="1" t="s">
        <v>2497</v>
      </c>
      <c r="B768" s="1" t="s">
        <v>2498</v>
      </c>
      <c r="C768" s="1" t="s">
        <v>1157</v>
      </c>
      <c r="D768" s="1" t="s">
        <v>2091</v>
      </c>
      <c r="E768" s="1" t="s">
        <v>1983</v>
      </c>
      <c r="F768" s="9" t="s">
        <v>2499</v>
      </c>
      <c r="G768" s="1" t="s">
        <v>38</v>
      </c>
      <c r="H76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68" s="11" t="e">
        <f>ABS(NETWORKDAYS.INTL("05/30/24", "05/30/24", 1, {"01/01/2024","01/15/2024","02/19/2024","05/27/2024","07/04/2024","09/02/2024","10/14/2024","11/11/2024","11/28/2024","12/25/2024","12/25/2024","12/26/2024","12/27/2024","12/28/2024","12/29/2024","12/30/2024","31/25/2024","01/01/2024","01/02/2024","01/03/2024","01/04/2024","01/05/2024"}))</f>
        <v>#VALUE!</v>
      </c>
      <c r="J768">
        <f>0</f>
        <v>0</v>
      </c>
      <c r="K768" s="1"/>
      <c r="L768" s="1">
        <v>1</v>
      </c>
      <c r="M768" s="1" t="e">
        <f>ABS(NETWORKDAYS.INTL("06/17/24", "06/17/24", 1, {"01/01/2024","01/15/2024","02/19/2024","05/27/2024","07/04/2024","09/02/2024","10/14/2024","11/11/2024","11/28/2024","12/25/2024","12/25/2024","12/26/2024","12/27/2024","12/28/2024","12/29/2024","12/30/2024","31/25/2024","01/01/2024","01/02/2024","01/03/2024","01/04/2024","01/05/2024"}))</f>
        <v>#VALUE!</v>
      </c>
      <c r="N768" s="1">
        <f>0</f>
        <v>0</v>
      </c>
      <c r="O768" s="1">
        <f>0</f>
        <v>0</v>
      </c>
      <c r="P768" s="1"/>
      <c r="Q768" s="1">
        <v>0</v>
      </c>
      <c r="R768" s="1">
        <v>0</v>
      </c>
      <c r="S768" s="1">
        <f>0</f>
        <v>0</v>
      </c>
      <c r="T768" s="1">
        <f>0</f>
        <v>0</v>
      </c>
      <c r="U768" s="1"/>
      <c r="V768" s="1">
        <v>1</v>
      </c>
      <c r="W768" s="1">
        <v>1</v>
      </c>
      <c r="X768" s="1" t="e">
        <f>ABS(NETWORKDAYS.INTL("06/17/24", "06/19/24", 1, {"01/01/2024","01/15/2024","02/19/2024","05/27/2024","07/04/2024","09/02/2024","10/14/2024","11/11/2024","11/28/2024","12/25/2024","12/25/2024","12/26/2024","12/27/2024","12/28/2024","12/29/2024","12/30/2024","31/25/2024","01/01/2024","01/02/2024","01/03/2024","01/04/2024","01/05/2024"}))</f>
        <v>#VALUE!</v>
      </c>
      <c r="Y768" s="1">
        <f>0</f>
        <v>0</v>
      </c>
      <c r="Z768" s="1">
        <f>0</f>
        <v>0</v>
      </c>
      <c r="AA768" s="1"/>
      <c r="AB768" s="5">
        <v>45460</v>
      </c>
      <c r="AC768" s="1"/>
      <c r="AD768" s="1" t="e">
        <f>ABS(NETWORKDAYS.INTL("06/17/24", "05/30/24", 1, {"01/01/2024","01/15/2024","02/19/2024","05/27/2024","07/04/2024","09/02/2024","10/14/2024","11/11/2024","11/28/2024","12/25/2024","12/25/2024","12/26/2024","12/27/2024","12/28/2024","12/29/2024","12/30/2024","31/25/2024","01/01/2024","01/02/2024","01/03/2024","01/04/2024","01/05/2024"}))</f>
        <v>#VALUE!</v>
      </c>
      <c r="AE768" s="1">
        <f>0</f>
        <v>0</v>
      </c>
      <c r="AF768" s="1">
        <f>0</f>
        <v>0</v>
      </c>
      <c r="AG768" s="1" t="e">
        <f>ABS(NETWORKDAYS.INTL("06/17/24", "08/05/24", 1, {"01/01/2024","01/15/2024","02/19/2024","05/27/2024","07/04/2024","09/02/2024","10/14/2024","11/11/2024","11/28/2024","12/25/2024","12/25/2024","12/26/2024","12/27/2024","12/28/2024","12/29/2024","12/30/2024","31/25/2024","01/01/2024","01/02/2024","01/03/2024","01/04/2024","01/05/2024"}))</f>
        <v>#VALUE!</v>
      </c>
      <c r="AH768" s="1" t="e">
        <f>ABS(NETWORKDAYS.INTL("06/17/24", "06/17/24", 1, {"01/01/2024","01/15/2024","02/19/2024","05/27/2024","07/04/2024","09/02/2024","10/14/2024","11/11/2024","11/28/2024","12/25/2024","12/25/2024","12/26/2024","12/27/2024","12/28/2024","12/29/2024","12/30/2024","31/25/2024","01/01/2024","01/02/2024","01/03/2024","01/04/2024","01/05/2024"}))</f>
        <v>#VALUE!</v>
      </c>
      <c r="AI768" s="1">
        <f>0</f>
        <v>0</v>
      </c>
      <c r="AJ768" s="1" t="b">
        <v>1</v>
      </c>
      <c r="AK768" s="1"/>
      <c r="AL768" s="1"/>
      <c r="AM768" s="1"/>
      <c r="AN768" s="1"/>
      <c r="AO768" s="1"/>
      <c r="AP768" s="1" t="b">
        <v>1</v>
      </c>
      <c r="AQ768" s="1"/>
      <c r="AR768" s="1"/>
      <c r="AS768" s="1"/>
      <c r="AT768" s="1"/>
      <c r="AU768" s="1"/>
      <c r="AV768" s="1"/>
      <c r="AW768" s="1"/>
      <c r="AX768" s="1"/>
      <c r="AY768" s="1"/>
      <c r="AZ768" s="1" t="b">
        <v>1</v>
      </c>
    </row>
    <row r="769" spans="1:52" ht="15" customHeight="1" x14ac:dyDescent="0.35">
      <c r="A769" s="1" t="s">
        <v>2500</v>
      </c>
      <c r="B769" s="1" t="s">
        <v>2501</v>
      </c>
      <c r="C769" s="1" t="s">
        <v>988</v>
      </c>
      <c r="D769" s="1" t="s">
        <v>2502</v>
      </c>
      <c r="E769" s="1" t="s">
        <v>1983</v>
      </c>
      <c r="F769" s="9" t="s">
        <v>2503</v>
      </c>
      <c r="G769" s="1" t="s">
        <v>38</v>
      </c>
      <c r="H76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69" s="11" t="e">
        <f>ABS(NETWORKDAYS.INTL("05/29/24", "05/30/24", 1, {"01/01/2024","01/15/2024","02/19/2024","05/27/2024","07/04/2024","09/02/2024","10/14/2024","11/11/2024","11/28/2024","12/25/2024","12/25/2024","12/26/2024","12/27/2024","12/28/2024","12/29/2024","12/30/2024","31/25/2024","01/01/2024","01/02/2024","01/03/2024","01/04/2024","01/05/2024"}))</f>
        <v>#VALUE!</v>
      </c>
      <c r="J769">
        <f>0</f>
        <v>0</v>
      </c>
      <c r="K769" s="1"/>
      <c r="L769" s="1">
        <v>1</v>
      </c>
      <c r="M769" s="1" t="e">
        <f>ABS(NETWORKDAYS.INTL("06/19/24", "06/19/24", 1, {"01/01/2024","01/15/2024","02/19/2024","05/27/2024","07/04/2024","09/02/2024","10/14/2024","11/11/2024","11/28/2024","12/25/2024","12/25/2024","12/26/2024","12/27/2024","12/28/2024","12/29/2024","12/30/2024","31/25/2024","01/01/2024","01/02/2024","01/03/2024","01/04/2024","01/05/2024"}))</f>
        <v>#VALUE!</v>
      </c>
      <c r="N769" s="1">
        <f>0</f>
        <v>0</v>
      </c>
      <c r="O769" s="1">
        <f>0</f>
        <v>0</v>
      </c>
      <c r="P769" s="1"/>
      <c r="Q769" s="1">
        <v>0</v>
      </c>
      <c r="R769" s="1">
        <v>0</v>
      </c>
      <c r="S769" s="1">
        <f>0</f>
        <v>0</v>
      </c>
      <c r="T769" s="1">
        <f>0</f>
        <v>0</v>
      </c>
      <c r="U769" s="1"/>
      <c r="V769" s="1">
        <v>2</v>
      </c>
      <c r="W769" s="1">
        <v>1</v>
      </c>
      <c r="X769" s="1" t="e">
        <f>ABS(NETWORKDAYS.INTL("06/19/24", "06/21/24", 1, {"01/01/2024","01/15/2024","02/19/2024","05/27/2024","07/04/2024","09/02/2024","10/14/2024","11/11/2024","11/28/2024","12/25/2024","12/25/2024","12/26/2024","12/27/2024","12/28/2024","12/29/2024","12/30/2024","31/25/2024","01/01/2024","01/02/2024","01/03/2024","01/04/2024","01/05/2024"}))</f>
        <v>#VALUE!</v>
      </c>
      <c r="Y769" s="1" t="e">
        <f>ABS(NETWORKDAYS.INTL("07/01/24", "07/01/24", 1, {"01/01/2024","01/15/2024","02/19/2024","05/27/2024","07/04/2024","09/02/2024","10/14/2024","11/11/2024","11/28/2024","12/25/2024","12/25/2024","12/26/2024","12/27/2024","12/28/2024","12/29/2024","12/30/2024","31/25/2024","01/01/2024","01/02/2024","01/03/2024","01/04/2024","01/05/2024"}))</f>
        <v>#VALUE!</v>
      </c>
      <c r="Z769" s="1">
        <f>0</f>
        <v>0</v>
      </c>
      <c r="AA769" s="1"/>
      <c r="AB769" s="5">
        <v>45474</v>
      </c>
      <c r="AC769" s="5">
        <v>45503</v>
      </c>
      <c r="AD769" s="1" t="e">
        <f>ABS(NETWORKDAYS.INTL("06/19/24", "05/30/24", 1, {"01/01/2024","01/15/2024","02/19/2024","05/27/2024","07/04/2024","09/02/2024","10/14/2024","11/11/2024","11/28/2024","12/25/2024","12/25/2024","12/26/2024","12/27/2024","12/28/2024","12/29/2024","12/30/2024","31/25/2024","01/01/2024","01/02/2024","01/03/2024","01/04/2024","01/05/2024"}))</f>
        <v>#VALUE!</v>
      </c>
      <c r="AE769" s="1">
        <f>0</f>
        <v>0</v>
      </c>
      <c r="AF769" s="1">
        <f>0</f>
        <v>0</v>
      </c>
      <c r="AG769" s="1" t="e">
        <f>ABS(NETWORKDAYS.INTL("06/19/24", "08/05/24", 1, {"01/01/2024","01/15/2024","02/19/2024","05/27/2024","07/04/2024","09/02/2024","10/14/2024","11/11/2024","11/28/2024","12/25/2024","12/25/2024","12/26/2024","12/27/2024","12/28/2024","12/29/2024","12/30/2024","31/25/2024","01/01/2024","01/02/2024","01/03/2024","01/04/2024","01/05/2024"}))</f>
        <v>#VALUE!</v>
      </c>
      <c r="AH769" s="1" t="e">
        <f>ABS(NETWORKDAYS.INTL("06/19/24", "06/19/24", 1, {"01/01/2024","01/15/2024","02/19/2024","05/27/2024","07/04/2024","09/02/2024","10/14/2024","11/11/2024","11/28/2024","12/25/2024","12/25/2024","12/26/2024","12/27/2024","12/28/2024","12/29/2024","12/30/2024","31/25/2024","01/01/2024","01/02/2024","01/03/2024","01/04/2024","01/05/2024"}))</f>
        <v>#VALUE!</v>
      </c>
      <c r="AI769" s="1" t="e">
        <f>ABS(NETWORKDAYS.INTL("07/30/2024", "07/01/24", 1, {"01/01/2024","01/15/2024","02/19/2024","05/27/2024","07/04/2024","09/02/2024","10/14/2024","11/11/2024","11/28/2024","12/25/2024","12/25/2024","12/26/2024","12/27/2024","12/28/2024","12/29/2024","12/30/2024","31/25/2024","01/01/2024","01/02/2024","01/03/2024","01/04/2024","01/05/2024"}))</f>
        <v>#VALUE!</v>
      </c>
      <c r="AJ769" s="1" t="b">
        <v>1</v>
      </c>
      <c r="AK769" s="1"/>
      <c r="AL769" s="1"/>
      <c r="AM769" s="1"/>
      <c r="AN769" s="1"/>
      <c r="AO769" s="1"/>
      <c r="AP769" s="1" t="b">
        <v>1</v>
      </c>
      <c r="AQ769" s="1"/>
      <c r="AR769" s="1"/>
      <c r="AS769" s="1"/>
      <c r="AT769" s="1"/>
      <c r="AU769" s="1"/>
      <c r="AV769" s="1"/>
      <c r="AW769" s="1"/>
      <c r="AX769" s="1"/>
      <c r="AY769" s="1"/>
      <c r="AZ769" s="1" t="b">
        <v>1</v>
      </c>
    </row>
    <row r="770" spans="1:52" ht="15" customHeight="1" x14ac:dyDescent="0.35">
      <c r="A770" s="1" t="s">
        <v>2504</v>
      </c>
      <c r="B770" s="1" t="s">
        <v>2505</v>
      </c>
      <c r="C770" s="1" t="s">
        <v>988</v>
      </c>
      <c r="D770" s="1" t="s">
        <v>2506</v>
      </c>
      <c r="E770" s="1" t="s">
        <v>1983</v>
      </c>
      <c r="F770" s="9" t="s">
        <v>2507</v>
      </c>
      <c r="G770" s="1" t="s">
        <v>38</v>
      </c>
      <c r="H77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0" s="11" t="e">
        <f>ABS(NETWORKDAYS.INTL("05/30/24", "05/30/24", 1, {"01/01/2024","01/15/2024","02/19/2024","05/27/2024","07/04/2024","09/02/2024","10/14/2024","11/11/2024","11/28/2024","12/25/2024","12/25/2024","12/26/2024","12/27/2024","12/28/2024","12/29/2024","12/30/2024","31/25/2024","01/01/2024","01/02/2024","01/03/2024","01/04/2024","01/05/2024"}))</f>
        <v>#VALUE!</v>
      </c>
      <c r="J770">
        <f>0</f>
        <v>0</v>
      </c>
      <c r="K770" s="1"/>
      <c r="L770" s="1">
        <v>1</v>
      </c>
      <c r="M770" s="1" t="e">
        <f>ABS(NETWORKDAYS.INTL("06/20/24", "06/20/24", 1, {"01/01/2024","01/15/2024","02/19/2024","05/27/2024","07/04/2024","09/02/2024","10/14/2024","11/11/2024","11/28/2024","12/25/2024","12/25/2024","12/26/2024","12/27/2024","12/28/2024","12/29/2024","12/30/2024","31/25/2024","01/01/2024","01/02/2024","01/03/2024","01/04/2024","01/05/2024"}))</f>
        <v>#VALUE!</v>
      </c>
      <c r="N770" s="1">
        <f>0</f>
        <v>0</v>
      </c>
      <c r="O770" s="1">
        <f>0</f>
        <v>0</v>
      </c>
      <c r="P770" s="1"/>
      <c r="Q770" s="1">
        <v>0</v>
      </c>
      <c r="R770" s="1">
        <v>0</v>
      </c>
      <c r="S770" s="1">
        <f>0</f>
        <v>0</v>
      </c>
      <c r="T770" s="1">
        <f>0</f>
        <v>0</v>
      </c>
      <c r="U770" s="1"/>
      <c r="V770" s="1">
        <v>2</v>
      </c>
      <c r="W770" s="1">
        <v>1</v>
      </c>
      <c r="X770" s="1" t="e">
        <f>ABS(NETWORKDAYS.INTL("07/01/24", "07/01/24", 1, {"01/01/2024","01/15/2024","02/19/2024","05/27/2024","07/04/2024","09/02/2024","10/14/2024","11/11/2024","11/28/2024","12/25/2024","12/25/2024","12/26/2024","12/27/2024","12/28/2024","12/29/2024","12/30/2024","31/25/2024","01/01/2024","01/02/2024","01/03/2024","01/04/2024","01/05/2024"}))</f>
        <v>#VALUE!</v>
      </c>
      <c r="Y770" s="1" t="e">
        <f>ABS(NETWORKDAYS.INTL("07/03/24", "07/03/24", 1, {"01/01/2024","01/15/2024","02/19/2024","05/27/2024","07/04/2024","09/02/2024","10/14/2024","11/11/2024","11/28/2024","12/25/2024","12/25/2024","12/26/2024","12/27/2024","12/28/2024","12/29/2024","12/30/2024","31/25/2024","01/01/2024","01/02/2024","01/03/2024","01/04/2024","01/05/2024"}))</f>
        <v>#VALUE!</v>
      </c>
      <c r="Z770" s="1">
        <f>0</f>
        <v>0</v>
      </c>
      <c r="AA770" s="1"/>
      <c r="AB770" s="5">
        <v>45483</v>
      </c>
      <c r="AC770" s="5">
        <v>45504</v>
      </c>
      <c r="AD770" s="1" t="e">
        <f>ABS(NETWORKDAYS.INTL("06/20/24", "05/30/24", 1, {"01/01/2024","01/15/2024","02/19/2024","05/27/2024","07/04/2024","09/02/2024","10/14/2024","11/11/2024","11/28/2024","12/25/2024","12/25/2024","12/26/2024","12/27/2024","12/28/2024","12/29/2024","12/30/2024","31/25/2024","01/01/2024","01/02/2024","01/03/2024","01/04/2024","01/05/2024"}))</f>
        <v>#VALUE!</v>
      </c>
      <c r="AE770" s="1">
        <f>0</f>
        <v>0</v>
      </c>
      <c r="AF770" s="1">
        <f>0</f>
        <v>0</v>
      </c>
      <c r="AG770" s="1" t="e">
        <f>ABS(NETWORKDAYS.INTL("06/20/24", "08/05/24", 1, {"01/01/2024","01/15/2024","02/19/2024","05/27/2024","07/04/2024","09/02/2024","10/14/2024","11/11/2024","11/28/2024","12/25/2024","12/25/2024","12/26/2024","12/27/2024","12/28/2024","12/29/2024","12/30/2024","31/25/2024","01/01/2024","01/02/2024","01/03/2024","01/04/2024","01/05/2024"}))</f>
        <v>#VALUE!</v>
      </c>
      <c r="AH770" s="1" t="e">
        <f>ABS(NETWORKDAYS.INTL("07/01/24", "06/20/24", 1, {"01/01/2024","01/15/2024","02/19/2024","05/27/2024","07/04/2024","09/02/2024","10/14/2024","11/11/2024","11/28/2024","12/25/2024","12/25/2024","12/26/2024","12/27/2024","12/28/2024","12/29/2024","12/30/2024","31/25/2024","01/01/2024","01/02/2024","01/03/2024","01/04/2024","01/05/2024"}))</f>
        <v>#VALUE!</v>
      </c>
      <c r="AI770" s="1" t="e">
        <f>ABS(NETWORKDAYS.INTL("07/31/2024", "07/10/2024", 1, {"01/01/2024","01/15/2024","02/19/2024","05/27/2024","07/04/2024","09/02/2024","10/14/2024","11/11/2024","11/28/2024","12/25/2024","12/25/2024","12/26/2024","12/27/2024","12/28/2024","12/29/2024","12/30/2024","31/25/2024","01/01/2024","01/02/2024","01/03/2024","01/04/2024","01/05/2024"}))</f>
        <v>#VALUE!</v>
      </c>
      <c r="AJ770" s="1" t="b">
        <v>1</v>
      </c>
      <c r="AK770" s="1"/>
      <c r="AL770" s="1"/>
      <c r="AM770" s="1"/>
      <c r="AN770" s="1"/>
      <c r="AO770" s="1"/>
      <c r="AP770" s="1" t="b">
        <v>1</v>
      </c>
      <c r="AQ770" s="1"/>
      <c r="AR770" s="1"/>
      <c r="AS770" s="1"/>
      <c r="AT770" s="1"/>
      <c r="AU770" s="1"/>
      <c r="AV770" s="1"/>
      <c r="AW770" s="1"/>
      <c r="AX770" s="1"/>
      <c r="AY770" s="1"/>
      <c r="AZ770" s="1" t="b">
        <v>1</v>
      </c>
    </row>
    <row r="771" spans="1:52" ht="15" customHeight="1" x14ac:dyDescent="0.35">
      <c r="A771" s="1" t="s">
        <v>2508</v>
      </c>
      <c r="B771" s="1" t="s">
        <v>2509</v>
      </c>
      <c r="C771" s="1" t="s">
        <v>988</v>
      </c>
      <c r="D771" s="1" t="s">
        <v>2008</v>
      </c>
      <c r="E771" s="1" t="s">
        <v>1983</v>
      </c>
      <c r="F771" s="9" t="s">
        <v>2510</v>
      </c>
      <c r="G771" s="1" t="s">
        <v>38</v>
      </c>
      <c r="H77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1" s="11" t="e">
        <f>ABS(NETWORKDAYS.INTL("05/08/24", "05/23/24", 1, {"01/01/2024","01/15/2024","02/19/2024","05/27/2024","07/04/2024","09/02/2024","10/14/2024","11/11/2024","11/28/2024","12/25/2024","12/25/2024","12/26/2024","12/27/2024","12/28/2024","12/29/2024","12/30/2024","31/25/2024","01/01/2024","01/02/2024","01/03/2024","01/04/2024","01/05/2024"}))</f>
        <v>#VALUE!</v>
      </c>
      <c r="J771">
        <f>0</f>
        <v>0</v>
      </c>
      <c r="K771" s="1"/>
      <c r="L771" s="1">
        <v>1</v>
      </c>
      <c r="M771" s="1" t="e">
        <f>ABS(NETWORKDAYS.INTL("05/28/24", "05/28/24", 1, {"01/01/2024","01/15/2024","02/19/2024","05/27/2024","07/04/2024","09/02/2024","10/14/2024","11/11/2024","11/28/2024","12/25/2024","12/25/2024","12/26/2024","12/27/2024","12/28/2024","12/29/2024","12/30/2024","31/25/2024","01/01/2024","01/02/2024","01/03/2024","01/04/2024","01/05/2024"}))</f>
        <v>#VALUE!</v>
      </c>
      <c r="N771" s="1">
        <f>0</f>
        <v>0</v>
      </c>
      <c r="O771" s="1">
        <f>0</f>
        <v>0</v>
      </c>
      <c r="P771" s="1"/>
      <c r="Q771" s="1">
        <v>1</v>
      </c>
      <c r="R771" s="1">
        <v>1</v>
      </c>
      <c r="S771" s="1">
        <f>0</f>
        <v>0</v>
      </c>
      <c r="T771" s="1">
        <f>0</f>
        <v>0</v>
      </c>
      <c r="U771" s="1"/>
      <c r="V771" s="1">
        <v>2</v>
      </c>
      <c r="W771" s="1">
        <v>2</v>
      </c>
      <c r="X771" s="1" t="e">
        <f>ABS(NETWORKDAYS.INTL("06/06/24", "06/06/24", 1, {"01/01/2024","01/15/2024","02/19/2024","05/27/2024","07/04/2024","09/02/2024","10/14/2024","11/11/2024","11/28/2024","12/25/2024","12/25/2024","12/26/2024","12/27/2024","12/28/2024","12/29/2024","12/30/2024","31/25/2024","01/01/2024","01/02/2024","01/03/2024","01/04/2024","01/05/2024"})+NETWORKDAYS.INTL("06/11/24", "06/11/24", 1, {"01/01/2024","01/15/2024","02/19/2024","05/27/2024","07/04/2024","09/02/2024","10/14/2024","11/11/2024","11/28/2024","12/25/2024","12/25/2024","12/26/2024","12/27/2024","12/28/2024","12/29/2024","12/30/2024","31/25/2024","01/01/2024","01/02/2024","01/03/2024","01/04/2024","01/05/2024"}))</f>
        <v>#VALUE!</v>
      </c>
      <c r="Y771" s="1" t="e">
        <f>ABS(NETWORKDAYS.INTL("06/06/24", "06/07/24", 1, {"01/01/2024","01/15/2024","02/19/2024","05/27/2024","07/04/2024","09/02/2024","10/14/2024","11/11/2024","11/28/2024","12/25/2024","12/25/2024","12/26/2024","12/27/2024","12/28/2024","12/29/2024","12/30/2024","31/25/2024","01/01/2024","01/02/2024","01/03/2024","01/04/2024","01/05/2024"}))</f>
        <v>#VALUE!</v>
      </c>
      <c r="Z771" s="1">
        <f>0</f>
        <v>0</v>
      </c>
      <c r="AA771" s="1"/>
      <c r="AB771" s="5">
        <v>45454</v>
      </c>
      <c r="AC771" s="5">
        <v>45504</v>
      </c>
      <c r="AD771" s="1" t="e">
        <f>ABS(NETWORKDAYS.INTL("05/28/24", "05/23/24", 1, {"01/01/2024","01/15/2024","02/19/2024","05/27/2024","07/04/2024","09/02/2024","10/14/2024","11/11/2024","11/28/2024","12/25/2024","12/25/2024","12/26/2024","12/27/2024","12/28/2024","12/29/2024","12/30/2024","31/25/2024","01/01/2024","01/02/2024","01/03/2024","01/04/2024","01/05/2024"}))</f>
        <v>#VALUE!</v>
      </c>
      <c r="AE771" s="1">
        <f>0</f>
        <v>0</v>
      </c>
      <c r="AF771" s="1" t="e">
        <f>ABS(NETWORKDAYS.INTL("05/29/24", "05/28/24", 1, {"01/01/2024","01/15/2024","02/19/2024","05/27/2024","07/04/2024","09/02/2024","10/14/2024","11/11/2024","11/28/2024","12/25/2024","12/25/2024","12/26/2024","12/27/2024","12/28/2024","12/29/2024","12/30/2024","31/25/2024","01/01/2024","01/02/2024","01/03/2024","01/04/2024","01/05/2024"}))</f>
        <v>#VALUE!</v>
      </c>
      <c r="AG771" s="1" t="e">
        <f>ABS(NETWORKDAYS.INTL("06/06/24", "05/29/24", 1, {"01/01/2024","01/15/2024","02/19/2024","05/27/2024","07/04/2024","09/02/2024","10/14/2024","11/11/2024","11/28/2024","12/25/2024","12/25/2024","12/26/2024","12/27/2024","12/28/2024","12/29/2024","12/30/2024","31/25/2024","01/01/2024","01/02/2024","01/03/2024","01/04/2024","01/05/2024"}))</f>
        <v>#VALUE!</v>
      </c>
      <c r="AH771" s="1" t="e">
        <f>ABS(NETWORKDAYS.INTL("06/06/24", "06/06/24", 1, {"01/01/2024","01/15/2024","02/19/2024","05/27/2024","07/04/2024","09/02/2024","10/14/2024","11/11/2024","11/28/2024","12/25/2024","12/25/2024","12/26/2024","12/27/2024","12/28/2024","12/29/2024","12/30/2024","31/25/2024","01/01/2024","01/02/2024","01/03/2024","01/04/2024","01/05/2024"}))</f>
        <v>#VALUE!</v>
      </c>
      <c r="AI771" s="1" t="e">
        <f>ABS(NETWORKDAYS.INTL("07/31/2024", "06/11/24", 1, {"01/01/2024","01/15/2024","02/19/2024","05/27/2024","07/04/2024","09/02/2024","10/14/2024","11/11/2024","11/28/2024","12/25/2024","12/25/2024","12/26/2024","12/27/2024","12/28/2024","12/29/2024","12/30/2024","31/25/2024","01/01/2024","01/02/2024","01/03/2024","01/04/2024","01/05/2024"}))</f>
        <v>#VALUE!</v>
      </c>
      <c r="AJ771" s="1" t="b">
        <v>1</v>
      </c>
      <c r="AK771" s="1"/>
      <c r="AL771" s="1"/>
      <c r="AM771" s="1"/>
      <c r="AN771" s="1"/>
      <c r="AO771" s="1"/>
      <c r="AP771" s="1" t="b">
        <v>1</v>
      </c>
      <c r="AQ771" s="1"/>
      <c r="AR771" s="1"/>
      <c r="AS771" s="1"/>
      <c r="AT771" s="1"/>
      <c r="AU771" s="1"/>
      <c r="AV771" s="1"/>
      <c r="AW771" s="1"/>
      <c r="AX771" s="1"/>
      <c r="AY771" s="1"/>
      <c r="AZ771" s="1" t="b">
        <v>1</v>
      </c>
    </row>
    <row r="772" spans="1:52" ht="15" customHeight="1" x14ac:dyDescent="0.35">
      <c r="A772" s="1" t="s">
        <v>2511</v>
      </c>
      <c r="B772" s="1" t="s">
        <v>2512</v>
      </c>
      <c r="C772" s="1" t="s">
        <v>612</v>
      </c>
      <c r="D772" s="1" t="s">
        <v>2513</v>
      </c>
      <c r="E772" s="1" t="s">
        <v>2056</v>
      </c>
      <c r="F772" s="9" t="s">
        <v>2514</v>
      </c>
      <c r="G772" s="1" t="s">
        <v>38</v>
      </c>
      <c r="H77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2" s="11" t="e">
        <f>ABS(NETWORKDAYS.INTL("04/16/24", "05/17/24", 1, {"01/01/2024","01/15/2024","02/19/2024","05/27/2024","07/04/2024","09/02/2024","10/14/2024","11/11/2024","11/28/2024","12/25/2024","12/25/2024","12/26/2024","12/27/2024","12/28/2024","12/29/2024","12/30/2024","31/25/2024","01/01/2024","01/02/2024","01/03/2024","01/04/2024","01/05/2024"}))</f>
        <v>#VALUE!</v>
      </c>
      <c r="J772">
        <f>0</f>
        <v>0</v>
      </c>
      <c r="K772" s="1"/>
      <c r="L772" s="1">
        <v>1</v>
      </c>
      <c r="M772" s="1" t="e">
        <f>ABS(NETWORKDAYS.INTL("05/29/24", "05/29/24", 1, {"01/01/2024","01/15/2024","02/19/2024","05/27/2024","07/04/2024","09/02/2024","10/14/2024","11/11/2024","11/28/2024","12/25/2024","12/25/2024","12/26/2024","12/27/2024","12/28/2024","12/29/2024","12/30/2024","31/25/2024","01/01/2024","01/02/2024","01/03/2024","01/04/2024","01/05/2024"}))</f>
        <v>#VALUE!</v>
      </c>
      <c r="N772" s="1">
        <f>0</f>
        <v>0</v>
      </c>
      <c r="O772" s="1">
        <f>0</f>
        <v>0</v>
      </c>
      <c r="P772" s="1"/>
      <c r="Q772" s="1">
        <v>1</v>
      </c>
      <c r="R772" s="1">
        <v>1</v>
      </c>
      <c r="S772" s="1" t="e">
        <f>ABS(NETWORKDAYS.INTL("05/30/24", "05/30/24", 1, {"01/01/2024","01/15/2024","02/19/2024","05/27/2024","07/04/2024","09/02/2024","10/14/2024","11/11/2024","11/28/2024","12/25/2024","12/25/2024","12/26/2024","12/27/2024","12/28/2024","12/29/2024","12/30/2024","31/25/2024","01/01/2024","01/02/2024","01/03/2024","01/04/2024","01/05/2024"}))</f>
        <v>#VALUE!</v>
      </c>
      <c r="T772" s="1">
        <f>0</f>
        <v>0</v>
      </c>
      <c r="U772" s="1"/>
      <c r="V772" s="1">
        <v>2</v>
      </c>
      <c r="W772" s="1">
        <v>2</v>
      </c>
      <c r="X772" s="1" t="e">
        <f>ABS(NETWORKDAYS.INTL("06/06/24", "06/11/24", 1, {"01/01/2024","01/15/2024","02/19/2024","05/27/2024","07/04/2024","09/02/2024","10/14/2024","11/11/2024","11/28/2024","12/25/2024","12/25/2024","12/26/2024","12/27/2024","12/28/2024","12/29/2024","12/30/2024","31/25/2024","01/01/2024","01/02/2024","01/03/2024","01/04/2024","01/05/2024"})+NETWORKDAYS.INTL("06/13/24", "06/13/24", 1, {"01/01/2024","01/15/2024","02/19/2024","05/27/2024","07/04/2024","09/02/2024","10/14/2024","11/11/2024","11/28/2024","12/25/2024","12/25/2024","12/26/2024","12/27/2024","12/28/2024","12/29/2024","12/30/2024","31/25/2024","01/01/2024","01/02/2024","01/03/2024","01/04/2024","01/05/2024"}))</f>
        <v>#VALUE!</v>
      </c>
      <c r="Y772" s="1" t="e">
        <f>ABS(NETWORKDAYS.INTL("06/11/24", "06/11/24", 1, {"01/01/2024","01/15/2024","02/19/2024","05/27/2024","07/04/2024","09/02/2024","10/14/2024","11/11/2024","11/28/2024","12/25/2024","12/25/2024","12/26/2024","12/27/2024","12/28/2024","12/29/2024","12/30/2024","31/25/2024","01/01/2024","01/02/2024","01/03/2024","01/04/2024","01/05/2024"})+NETWORKDAYS.INTL("06/17/24", "06/17/24", 1, {"01/01/2024","01/15/2024","02/19/2024","05/27/2024","07/04/2024","09/02/2024","10/14/2024","11/11/2024","11/28/2024","12/25/2024","12/25/2024","12/26/2024","12/27/2024","12/28/2024","12/29/2024","12/30/2024","31/25/2024","01/01/2024","01/02/2024","01/03/2024","01/04/2024","01/05/2024"}))</f>
        <v>#VALUE!</v>
      </c>
      <c r="Z772" s="1">
        <f>0</f>
        <v>0</v>
      </c>
      <c r="AA772" s="1"/>
      <c r="AB772" s="5"/>
      <c r="AC772" s="1"/>
      <c r="AD772" s="1" t="e">
        <f>ABS(NETWORKDAYS.INTL("05/29/24", "05/17/24", 1, {"01/01/2024","01/15/2024","02/19/2024","05/27/2024","07/04/2024","09/02/2024","10/14/2024","11/11/2024","11/28/2024","12/25/2024","12/25/2024","12/26/2024","12/27/2024","12/28/2024","12/29/2024","12/30/2024","31/25/2024","01/01/2024","01/02/2024","01/03/2024","01/04/2024","01/05/2024"}))</f>
        <v>#VALUE!</v>
      </c>
      <c r="AE772" s="1">
        <f>0</f>
        <v>0</v>
      </c>
      <c r="AF772" s="1" t="e">
        <f>ABS(NETWORKDAYS.INTL("05/30/24", "05/29/24", 1, {"01/01/2024","01/15/2024","02/19/2024","05/27/2024","07/04/2024","09/02/2024","10/14/2024","11/11/2024","11/28/2024","12/25/2024","12/25/2024","12/26/2024","12/27/2024","12/28/2024","12/29/2024","12/30/2024","31/25/2024","01/01/2024","01/02/2024","01/03/2024","01/04/2024","01/05/2024"}))</f>
        <v>#VALUE!</v>
      </c>
      <c r="AG772" s="1" t="e">
        <f>ABS(NETWORKDAYS.INTL("06/06/24", "05/30/24", 1, {"01/01/2024","01/15/2024","02/19/2024","05/27/2024","07/04/2024","09/02/2024","10/14/2024","11/11/2024","11/28/2024","12/25/2024","12/25/2024","12/26/2024","12/27/2024","12/28/2024","12/29/2024","12/30/2024","31/25/2024","01/01/2024","01/02/2024","01/03/2024","01/04/2024","01/05/2024"}))</f>
        <v>#VALUE!</v>
      </c>
      <c r="AH772" s="1" t="e">
        <f>ABS(NETWORKDAYS.INTL("06/06/24", "06/06/24", 1, {"01/01/2024","01/15/2024","02/19/2024","05/27/2024","07/04/2024","09/02/2024","10/14/2024","11/11/2024","11/28/2024","12/25/2024","12/25/2024","12/26/2024","12/27/2024","12/28/2024","12/29/2024","12/30/2024","31/25/2024","01/01/2024","01/02/2024","01/03/2024","01/04/2024","01/05/2024"}))</f>
        <v>#VALUE!</v>
      </c>
      <c r="AI772" s="1">
        <f>0</f>
        <v>0</v>
      </c>
      <c r="AJ772" s="1" t="b">
        <v>1</v>
      </c>
      <c r="AK772" s="1"/>
      <c r="AL772" s="1"/>
      <c r="AM772" s="1"/>
      <c r="AN772" s="1"/>
      <c r="AO772" s="1"/>
      <c r="AP772" s="1" t="b">
        <v>1</v>
      </c>
      <c r="AQ772" s="1"/>
      <c r="AR772" s="1"/>
      <c r="AS772" s="1"/>
      <c r="AT772" s="1"/>
      <c r="AU772" s="1"/>
      <c r="AV772" s="1"/>
      <c r="AW772" s="1"/>
      <c r="AX772" s="1"/>
      <c r="AY772" s="1" t="b">
        <v>1</v>
      </c>
      <c r="AZ772" s="1"/>
    </row>
    <row r="773" spans="1:52" ht="15" customHeight="1" x14ac:dyDescent="0.35">
      <c r="A773" s="1" t="s">
        <v>2515</v>
      </c>
      <c r="B773" s="1" t="s">
        <v>2516</v>
      </c>
      <c r="C773" s="1" t="s">
        <v>988</v>
      </c>
      <c r="D773" s="1" t="s">
        <v>2517</v>
      </c>
      <c r="E773" s="1" t="s">
        <v>1983</v>
      </c>
      <c r="F773" s="9" t="s">
        <v>2518</v>
      </c>
      <c r="G773" s="1" t="s">
        <v>38</v>
      </c>
      <c r="H77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3" s="11" t="e">
        <f>ABS(NETWORKDAYS.INTL("05/30/24", "05/30/24", 1, {"01/01/2024","01/15/2024","02/19/2024","05/27/2024","07/04/2024","09/02/2024","10/14/2024","11/11/2024","11/28/2024","12/25/2024","12/25/2024","12/26/2024","12/27/2024","12/28/2024","12/29/2024","12/30/2024","31/25/2024","01/01/2024","01/02/2024","01/03/2024","01/04/2024","01/05/2024"}))</f>
        <v>#VALUE!</v>
      </c>
      <c r="J773">
        <f>0</f>
        <v>0</v>
      </c>
      <c r="K773" s="1"/>
      <c r="L773" s="1">
        <v>1</v>
      </c>
      <c r="M773" s="1" t="e">
        <f>ABS(NETWORKDAYS.INTL("06/20/24", "06/20/24", 1, {"01/01/2024","01/15/2024","02/19/2024","05/27/2024","07/04/2024","09/02/2024","10/14/2024","11/11/2024","11/28/2024","12/25/2024","12/25/2024","12/26/2024","12/27/2024","12/28/2024","12/29/2024","12/30/2024","31/25/2024","01/01/2024","01/02/2024","01/03/2024","01/04/2024","01/05/2024"}))</f>
        <v>#VALUE!</v>
      </c>
      <c r="N773" s="1">
        <f>0</f>
        <v>0</v>
      </c>
      <c r="O773" s="1">
        <f>0</f>
        <v>0</v>
      </c>
      <c r="P773" s="1"/>
      <c r="Q773" s="1">
        <v>0</v>
      </c>
      <c r="R773" s="1">
        <v>0</v>
      </c>
      <c r="S773" s="1">
        <f>0</f>
        <v>0</v>
      </c>
      <c r="T773" s="1">
        <f>0</f>
        <v>0</v>
      </c>
      <c r="U773" s="1"/>
      <c r="V773" s="1">
        <v>2</v>
      </c>
      <c r="W773" s="1">
        <v>1</v>
      </c>
      <c r="X773" s="1" t="e">
        <f>ABS(NETWORKDAYS.INTL("06/20/24", "06/21/24", 1, {"01/01/2024","01/15/2024","02/19/2024","05/27/2024","07/04/2024","09/02/2024","10/14/2024","11/11/2024","11/28/2024","12/25/2024","12/25/2024","12/26/2024","12/27/2024","12/28/2024","12/29/2024","12/30/2024","31/25/2024","01/01/2024","01/02/2024","01/03/2024","01/04/2024","01/05/2024"}))</f>
        <v>#VALUE!</v>
      </c>
      <c r="Y773" s="1" t="e">
        <f>ABS(NETWORKDAYS.INTL("07/02/24", "07/02/24", 1, {"01/01/2024","01/15/2024","02/19/2024","05/27/2024","07/04/2024","09/02/2024","10/14/2024","11/11/2024","11/28/2024","12/25/2024","12/25/2024","12/26/2024","12/27/2024","12/28/2024","12/29/2024","12/30/2024","31/25/2024","01/01/2024","01/02/2024","01/03/2024","01/04/2024","01/05/2024"}))</f>
        <v>#VALUE!</v>
      </c>
      <c r="Z773" s="1">
        <f>0</f>
        <v>0</v>
      </c>
      <c r="AA773" s="1"/>
      <c r="AB773" s="5">
        <v>45483</v>
      </c>
      <c r="AC773" s="5">
        <v>45504</v>
      </c>
      <c r="AD773" s="1" t="e">
        <f>ABS(NETWORKDAYS.INTL("06/20/24", "05/30/24", 1, {"01/01/2024","01/15/2024","02/19/2024","05/27/2024","07/04/2024","09/02/2024","10/14/2024","11/11/2024","11/28/2024","12/25/2024","12/25/2024","12/26/2024","12/27/2024","12/28/2024","12/29/2024","12/30/2024","31/25/2024","01/01/2024","01/02/2024","01/03/2024","01/04/2024","01/05/2024"}))</f>
        <v>#VALUE!</v>
      </c>
      <c r="AE773" s="1">
        <f>0</f>
        <v>0</v>
      </c>
      <c r="AF773" s="1">
        <f>0</f>
        <v>0</v>
      </c>
      <c r="AG773" s="1" t="e">
        <f>ABS(NETWORKDAYS.INTL("06/20/24", "08/05/24", 1, {"01/01/2024","01/15/2024","02/19/2024","05/27/2024","07/04/2024","09/02/2024","10/14/2024","11/11/2024","11/28/2024","12/25/2024","12/25/2024","12/26/2024","12/27/2024","12/28/2024","12/29/2024","12/30/2024","31/25/2024","01/01/2024","01/02/2024","01/03/2024","01/04/2024","01/05/2024"}))</f>
        <v>#VALUE!</v>
      </c>
      <c r="AH773" s="1" t="e">
        <f>ABS(NETWORKDAYS.INTL("06/20/24", "06/20/24", 1, {"01/01/2024","01/15/2024","02/19/2024","05/27/2024","07/04/2024","09/02/2024","10/14/2024","11/11/2024","11/28/2024","12/25/2024","12/25/2024","12/26/2024","12/27/2024","12/28/2024","12/29/2024","12/30/2024","31/25/2024","01/01/2024","01/02/2024","01/03/2024","01/04/2024","01/05/2024"}))</f>
        <v>#VALUE!</v>
      </c>
      <c r="AI773" s="1" t="e">
        <f>ABS(NETWORKDAYS.INTL("07/31/2024", "07/10/2024", 1, {"01/01/2024","01/15/2024","02/19/2024","05/27/2024","07/04/2024","09/02/2024","10/14/2024","11/11/2024","11/28/2024","12/25/2024","12/25/2024","12/26/2024","12/27/2024","12/28/2024","12/29/2024","12/30/2024","31/25/2024","01/01/2024","01/02/2024","01/03/2024","01/04/2024","01/05/2024"}))</f>
        <v>#VALUE!</v>
      </c>
      <c r="AJ773" s="1" t="b">
        <v>1</v>
      </c>
      <c r="AK773" s="1"/>
      <c r="AL773" s="1"/>
      <c r="AM773" s="1"/>
      <c r="AN773" s="1"/>
      <c r="AO773" s="1"/>
      <c r="AP773" s="1" t="b">
        <v>1</v>
      </c>
      <c r="AQ773" s="1"/>
      <c r="AR773" s="1"/>
      <c r="AS773" s="1"/>
      <c r="AT773" s="1"/>
      <c r="AU773" s="1"/>
      <c r="AV773" s="1"/>
      <c r="AW773" s="1"/>
      <c r="AX773" s="1"/>
      <c r="AY773" s="1"/>
      <c r="AZ773" s="1" t="b">
        <v>1</v>
      </c>
    </row>
    <row r="774" spans="1:52" ht="15" customHeight="1" x14ac:dyDescent="0.35">
      <c r="A774" s="1" t="s">
        <v>2519</v>
      </c>
      <c r="B774" s="1" t="s">
        <v>2520</v>
      </c>
      <c r="C774" s="1" t="s">
        <v>988</v>
      </c>
      <c r="D774" s="1" t="s">
        <v>2517</v>
      </c>
      <c r="E774" s="1" t="s">
        <v>1983</v>
      </c>
      <c r="F774" s="9" t="s">
        <v>2521</v>
      </c>
      <c r="G774" s="1" t="s">
        <v>38</v>
      </c>
      <c r="H77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4" s="11" t="e">
        <f>ABS(NETWORKDAYS.INTL("05/30/24", "05/30/24", 1, {"01/01/2024","01/15/2024","02/19/2024","05/27/2024","07/04/2024","09/02/2024","10/14/2024","11/11/2024","11/28/2024","12/25/2024","12/25/2024","12/26/2024","12/27/2024","12/28/2024","12/29/2024","12/30/2024","31/25/2024","01/01/2024","01/02/2024","01/03/2024","01/04/2024","01/05/2024"}))</f>
        <v>#VALUE!</v>
      </c>
      <c r="J774">
        <f>0</f>
        <v>0</v>
      </c>
      <c r="K774" s="1"/>
      <c r="L774" s="1">
        <v>1</v>
      </c>
      <c r="M774" s="1" t="e">
        <f>ABS(NETWORKDAYS.INTL("06/20/24", "06/20/24", 1, {"01/01/2024","01/15/2024","02/19/2024","05/27/2024","07/04/2024","09/02/2024","10/14/2024","11/11/2024","11/28/2024","12/25/2024","12/25/2024","12/26/2024","12/27/2024","12/28/2024","12/29/2024","12/30/2024","31/25/2024","01/01/2024","01/02/2024","01/03/2024","01/04/2024","01/05/2024"}))</f>
        <v>#VALUE!</v>
      </c>
      <c r="N774" s="1">
        <f>0</f>
        <v>0</v>
      </c>
      <c r="O774" s="1">
        <f>0</f>
        <v>0</v>
      </c>
      <c r="P774" s="1"/>
      <c r="Q774" s="1">
        <v>0</v>
      </c>
      <c r="R774" s="1">
        <v>0</v>
      </c>
      <c r="S774" s="1">
        <f>0</f>
        <v>0</v>
      </c>
      <c r="T774" s="1">
        <f>0</f>
        <v>0</v>
      </c>
      <c r="U774" s="1"/>
      <c r="V774" s="1">
        <v>1</v>
      </c>
      <c r="W774" s="1">
        <v>1</v>
      </c>
      <c r="X774" s="1" t="e">
        <f>ABS(NETWORKDAYS.INTL("07/10/2024", "07/10/2024", 1, {"01/01/2024","01/15/2024","02/19/2024","05/27/2024","07/04/2024","09/02/2024","10/14/2024","11/11/2024","11/28/2024","12/25/2024","12/25/2024","12/26/2024","12/27/2024","12/28/2024","12/29/2024","12/30/2024","31/25/2024","01/01/2024","01/02/2024","01/03/2024","01/04/2024","01/05/2024"}))</f>
        <v>#VALUE!</v>
      </c>
      <c r="Y774" s="1">
        <f>0</f>
        <v>0</v>
      </c>
      <c r="Z774" s="1">
        <f>0</f>
        <v>0</v>
      </c>
      <c r="AA774" s="1"/>
      <c r="AB774" s="5">
        <v>45483</v>
      </c>
      <c r="AC774" s="5">
        <v>45504</v>
      </c>
      <c r="AD774" s="1" t="e">
        <f>ABS(NETWORKDAYS.INTL("06/20/24", "05/30/24", 1, {"01/01/2024","01/15/2024","02/19/2024","05/27/2024","07/04/2024","09/02/2024","10/14/2024","11/11/2024","11/28/2024","12/25/2024","12/25/2024","12/26/2024","12/27/2024","12/28/2024","12/29/2024","12/30/2024","31/25/2024","01/01/2024","01/02/2024","01/03/2024","01/04/2024","01/05/2024"}))</f>
        <v>#VALUE!</v>
      </c>
      <c r="AE774" s="1">
        <f>0</f>
        <v>0</v>
      </c>
      <c r="AF774" s="1">
        <f>0</f>
        <v>0</v>
      </c>
      <c r="AG774" s="1" t="e">
        <f>ABS(NETWORKDAYS.INTL("06/20/24", "08/05/24", 1, {"01/01/2024","01/15/2024","02/19/2024","05/27/2024","07/04/2024","09/02/2024","10/14/2024","11/11/2024","11/28/2024","12/25/2024","12/25/2024","12/26/2024","12/27/2024","12/28/2024","12/29/2024","12/30/2024","31/25/2024","01/01/2024","01/02/2024","01/03/2024","01/04/2024","01/05/2024"}))</f>
        <v>#VALUE!</v>
      </c>
      <c r="AH774" s="1" t="e">
        <f>ABS(NETWORKDAYS.INTL("07/10/2024", "06/20/24", 1, {"01/01/2024","01/15/2024","02/19/2024","05/27/2024","07/04/2024","09/02/2024","10/14/2024","11/11/2024","11/28/2024","12/25/2024","12/25/2024","12/26/2024","12/27/2024","12/28/2024","12/29/2024","12/30/2024","31/25/2024","01/01/2024","01/02/2024","01/03/2024","01/04/2024","01/05/2024"}))</f>
        <v>#VALUE!</v>
      </c>
      <c r="AI774" s="1" t="e">
        <f>ABS(NETWORKDAYS.INTL("07/31/2024", "07/10/2024", 1, {"01/01/2024","01/15/2024","02/19/2024","05/27/2024","07/04/2024","09/02/2024","10/14/2024","11/11/2024","11/28/2024","12/25/2024","12/25/2024","12/26/2024","12/27/2024","12/28/2024","12/29/2024","12/30/2024","31/25/2024","01/01/2024","01/02/2024","01/03/2024","01/04/2024","01/05/2024"}))</f>
        <v>#VALUE!</v>
      </c>
      <c r="AJ774" s="1" t="b">
        <v>1</v>
      </c>
      <c r="AK774" s="1"/>
      <c r="AL774" s="1"/>
      <c r="AM774" s="1"/>
      <c r="AN774" s="1"/>
      <c r="AO774" s="1"/>
      <c r="AP774" s="1" t="b">
        <v>1</v>
      </c>
      <c r="AQ774" s="1"/>
      <c r="AR774" s="1"/>
      <c r="AS774" s="1"/>
      <c r="AT774" s="1"/>
      <c r="AU774" s="1"/>
      <c r="AV774" s="1"/>
      <c r="AW774" s="1"/>
      <c r="AX774" s="1"/>
      <c r="AY774" s="1"/>
      <c r="AZ774" s="1" t="b">
        <v>1</v>
      </c>
    </row>
    <row r="775" spans="1:52" ht="15" customHeight="1" x14ac:dyDescent="0.35">
      <c r="A775" s="1" t="s">
        <v>2522</v>
      </c>
      <c r="B775" s="1" t="s">
        <v>2523</v>
      </c>
      <c r="C775" s="1" t="s">
        <v>988</v>
      </c>
      <c r="D775" s="1" t="s">
        <v>2524</v>
      </c>
      <c r="E775" s="1" t="s">
        <v>1983</v>
      </c>
      <c r="F775" s="9" t="s">
        <v>2525</v>
      </c>
      <c r="G775" s="1" t="s">
        <v>38</v>
      </c>
      <c r="H77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5" s="11" t="e">
        <f>ABS(NETWORKDAYS.INTL("06/03/24", "7/8/24", 1, {"01/01/2024","01/15/2024","02/19/2024","05/27/2024","07/04/2024","09/02/2024","10/14/2024","11/11/2024","11/28/2024","12/25/2024","12/25/2024","12/26/2024","12/27/2024","12/28/2024","12/29/2024","12/30/2024","31/25/2024","01/01/2024","01/02/2024","01/03/2024","01/04/2024","01/05/2024"}))</f>
        <v>#VALUE!</v>
      </c>
      <c r="J775">
        <f>0</f>
        <v>0</v>
      </c>
      <c r="K775" s="1"/>
      <c r="L775" s="1">
        <v>1</v>
      </c>
      <c r="M775" s="1" t="e">
        <f>ABS(NETWORKDAYS.INTL("7/15/2024", "7/15/2024", 1, {"01/01/2024","01/15/2024","02/19/2024","05/27/2024","07/04/2024","09/02/2024","10/14/2024","11/11/2024","11/28/2024","12/25/2024","12/25/2024","12/26/2024","12/27/2024","12/28/2024","12/29/2024","12/30/2024","31/25/2024","01/01/2024","01/02/2024","01/03/2024","01/04/2024","01/05/2024"}))</f>
        <v>#VALUE!</v>
      </c>
      <c r="N775" s="1">
        <f>0</f>
        <v>0</v>
      </c>
      <c r="O775" s="1">
        <f>0</f>
        <v>0</v>
      </c>
      <c r="P775" s="1"/>
      <c r="Q775" s="1">
        <v>0</v>
      </c>
      <c r="R775" s="1">
        <v>0</v>
      </c>
      <c r="S775" s="1">
        <f>0</f>
        <v>0</v>
      </c>
      <c r="T775" s="1">
        <f>0</f>
        <v>0</v>
      </c>
      <c r="U775" s="1"/>
      <c r="V775" s="1">
        <v>1</v>
      </c>
      <c r="W775" s="1">
        <v>1</v>
      </c>
      <c r="X775" s="1" t="e">
        <f>ABS(NETWORKDAYS.INTL("07/15/2024", "07/15/2024", 1, {"01/01/2024","01/15/2024","02/19/2024","05/27/2024","07/04/2024","09/02/2024","10/14/2024","11/11/2024","11/28/2024","12/25/2024","12/25/2024","12/26/2024","12/27/2024","12/28/2024","12/29/2024","12/30/2024","31/25/2024","01/01/2024","01/02/2024","01/03/2024","01/04/2024","01/05/2024"}))</f>
        <v>#VALUE!</v>
      </c>
      <c r="Y775" s="1" t="e">
        <f>ABS(NETWORKDAYS.INTL("07/15/2024", "7/18/2024", 1, {"01/01/2024","01/15/2024","02/19/2024","05/27/2024","07/04/2024","09/02/2024","10/14/2024","11/11/2024","11/28/2024","12/25/2024","12/25/2024","12/26/2024","12/27/2024","12/28/2024","12/29/2024","12/30/2024","31/25/2024","01/01/2024","01/02/2024","01/03/2024","01/04/2024","01/05/2024"}))</f>
        <v>#VALUE!</v>
      </c>
      <c r="Z775" s="1">
        <f>0</f>
        <v>0</v>
      </c>
      <c r="AA775" s="1"/>
      <c r="AB775" s="5">
        <v>45491</v>
      </c>
      <c r="AC775" s="1"/>
      <c r="AD775" s="1" t="e">
        <f>ABS(NETWORKDAYS.INTL("7/15/2024", "7/8/24", 1, {"01/01/2024","01/15/2024","02/19/2024","05/27/2024","07/04/2024","09/02/2024","10/14/2024","11/11/2024","11/28/2024","12/25/2024","12/25/2024","12/26/2024","12/27/2024","12/28/2024","12/29/2024","12/30/2024","31/25/2024","01/01/2024","01/02/2024","01/03/2024","01/04/2024","01/05/2024"}))</f>
        <v>#VALUE!</v>
      </c>
      <c r="AE775" s="1">
        <f>0</f>
        <v>0</v>
      </c>
      <c r="AF775" s="1">
        <f>0</f>
        <v>0</v>
      </c>
      <c r="AG775" s="1" t="e">
        <f>ABS(NETWORKDAYS.INTL("07/15/2024", "08/05/24", 1, {"01/01/2024","01/15/2024","02/19/2024","05/27/2024","07/04/2024","09/02/2024","10/14/2024","11/11/2024","11/28/2024","12/25/2024","12/25/2024","12/26/2024","12/27/2024","12/28/2024","12/29/2024","12/30/2024","31/25/2024","01/01/2024","01/02/2024","01/03/2024","01/04/2024","01/05/2024"}))</f>
        <v>#VALUE!</v>
      </c>
      <c r="AH775" s="1" t="e">
        <f>ABS(NETWORKDAYS.INTL("07/15/2024", "07/15/2024", 1, {"01/01/2024","01/15/2024","02/19/2024","05/27/2024","07/04/2024","09/02/2024","10/14/2024","11/11/2024","11/28/2024","12/25/2024","12/25/2024","12/26/2024","12/27/2024","12/28/2024","12/29/2024","12/30/2024","31/25/2024","01/01/2024","01/02/2024","01/03/2024","01/04/2024","01/05/2024"}))</f>
        <v>#VALUE!</v>
      </c>
      <c r="AI775" s="1">
        <f>0</f>
        <v>0</v>
      </c>
      <c r="AJ775" s="1" t="b">
        <v>1</v>
      </c>
      <c r="AK775" s="1"/>
      <c r="AL775" s="1"/>
      <c r="AM775" s="1"/>
      <c r="AN775" s="1"/>
      <c r="AO775" s="1"/>
      <c r="AP775" s="1" t="b">
        <v>1</v>
      </c>
      <c r="AQ775" s="1"/>
      <c r="AR775" s="1"/>
      <c r="AS775" s="1"/>
      <c r="AT775" s="1"/>
      <c r="AU775" s="1"/>
      <c r="AV775" s="1"/>
      <c r="AW775" s="1"/>
      <c r="AX775" s="1"/>
      <c r="AY775" s="1"/>
      <c r="AZ775" s="1" t="b">
        <v>1</v>
      </c>
    </row>
    <row r="776" spans="1:52" ht="15" customHeight="1" x14ac:dyDescent="0.35">
      <c r="A776" s="1" t="s">
        <v>2526</v>
      </c>
      <c r="B776" s="1" t="s">
        <v>2527</v>
      </c>
      <c r="C776" s="1" t="s">
        <v>1157</v>
      </c>
      <c r="D776" s="1" t="s">
        <v>2528</v>
      </c>
      <c r="E776" s="1" t="s">
        <v>2116</v>
      </c>
      <c r="F776" s="9" t="s">
        <v>2529</v>
      </c>
      <c r="G776" s="1" t="s">
        <v>38</v>
      </c>
      <c r="H77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76" s="11" t="e">
        <f>ABS(NETWORKDAYS.INTL("05/30/24", "05/30/24", 1, {"01/01/2024","01/15/2024","02/19/2024","05/27/2024","07/04/2024","09/02/2024","10/14/2024","11/11/2024","11/28/2024","12/25/2024","12/25/2024","12/26/2024","12/27/2024","12/28/2024","12/29/2024","12/30/2024","31/25/2024","01/01/2024","01/02/2024","01/03/2024","01/04/2024","01/05/2024"}))</f>
        <v>#VALUE!</v>
      </c>
      <c r="J776">
        <f>0</f>
        <v>0</v>
      </c>
      <c r="K776" s="1"/>
      <c r="L776" s="1">
        <v>1</v>
      </c>
      <c r="M776" s="1" t="e">
        <f>ABS(NETWORKDAYS.INTL("06/20/24", "06/20/24", 1, {"01/01/2024","01/15/2024","02/19/2024","05/27/2024","07/04/2024","09/02/2024","10/14/2024","11/11/2024","11/28/2024","12/25/2024","12/25/2024","12/26/2024","12/27/2024","12/28/2024","12/29/2024","12/30/2024","31/25/2024","01/01/2024","01/02/2024","01/03/2024","01/04/2024","01/05/2024"}))</f>
        <v>#VALUE!</v>
      </c>
      <c r="N776" s="1">
        <f>0</f>
        <v>0</v>
      </c>
      <c r="O776" s="1">
        <f>0</f>
        <v>0</v>
      </c>
      <c r="P776" s="1"/>
      <c r="Q776" s="1">
        <v>0</v>
      </c>
      <c r="R776" s="1">
        <v>0</v>
      </c>
      <c r="S776" s="1">
        <f>0</f>
        <v>0</v>
      </c>
      <c r="T776" s="1">
        <f>0</f>
        <v>0</v>
      </c>
      <c r="U776" s="1"/>
      <c r="V776" s="1">
        <v>1</v>
      </c>
      <c r="W776" s="1">
        <v>1</v>
      </c>
      <c r="X776" s="1" t="e">
        <f>ABS(NETWORKDAYS.INTL("06/19/2024", "06/21/2024", 1, {"01/01/2024","01/15/2024","02/19/2024","05/27/2024","07/04/2024","09/02/2024","10/14/2024","11/11/2024","11/28/2024","12/25/2024","12/25/2024","12/26/2024","12/27/2024","12/28/2024","12/29/2024","12/30/2024","31/25/2024","01/01/2024","01/02/2024","01/03/2024","01/04/2024","01/05/2024"}))</f>
        <v>#VALUE!</v>
      </c>
      <c r="Y776" s="1" t="e">
        <f>ABS(NETWORKDAYS.INTL("07/26/2024", "07/26/2024", 1, {"01/01/2024","01/15/2024","02/19/2024","05/27/2024","07/04/2024","09/02/2024","10/14/2024","11/11/2024","11/28/2024","12/25/2024","12/25/2024","12/26/2024","12/27/2024","12/28/2024","12/29/2024","12/30/2024","31/25/2024","01/01/2024","01/02/2024","01/03/2024","01/04/2024","01/05/2024"}))</f>
        <v>#VALUE!</v>
      </c>
      <c r="Z776" s="1">
        <f>0</f>
        <v>0</v>
      </c>
      <c r="AA776" s="1"/>
      <c r="AB776" s="5">
        <v>45502</v>
      </c>
      <c r="AC776" s="1"/>
      <c r="AD776" s="1" t="e">
        <f>ABS(NETWORKDAYS.INTL("06/20/24", "05/30/24", 1, {"01/01/2024","01/15/2024","02/19/2024","05/27/2024","07/04/2024","09/02/2024","10/14/2024","11/11/2024","11/28/2024","12/25/2024","12/25/2024","12/26/2024","12/27/2024","12/28/2024","12/29/2024","12/30/2024","31/25/2024","01/01/2024","01/02/2024","01/03/2024","01/04/2024","01/05/2024"}))</f>
        <v>#VALUE!</v>
      </c>
      <c r="AE776" s="1">
        <f>0</f>
        <v>0</v>
      </c>
      <c r="AF776" s="1">
        <f>0</f>
        <v>0</v>
      </c>
      <c r="AG776" s="1" t="e">
        <f>ABS(NETWORKDAYS.INTL("06/20/24", "08/05/24", 1, {"01/01/2024","01/15/2024","02/19/2024","05/27/2024","07/04/2024","09/02/2024","10/14/2024","11/11/2024","11/28/2024","12/25/2024","12/25/2024","12/26/2024","12/27/2024","12/28/2024","12/29/2024","12/30/2024","31/25/2024","01/01/2024","01/02/2024","01/03/2024","01/04/2024","01/05/2024"}))</f>
        <v>#VALUE!</v>
      </c>
      <c r="AH776" s="1" t="e">
        <f>ABS(NETWORKDAYS.INTL("06/19/2024", "06/20/24", 1, {"01/01/2024","01/15/2024","02/19/2024","05/27/2024","07/04/2024","09/02/2024","10/14/2024","11/11/2024","11/28/2024","12/25/2024","12/25/2024","12/26/2024","12/27/2024","12/28/2024","12/29/2024","12/30/2024","31/25/2024","01/01/2024","01/02/2024","01/03/2024","01/04/2024","01/05/2024"}))</f>
        <v>#VALUE!</v>
      </c>
      <c r="AI776" s="1">
        <f>0</f>
        <v>0</v>
      </c>
      <c r="AJ776" s="1" t="b">
        <v>1</v>
      </c>
      <c r="AK776" s="1"/>
      <c r="AL776" s="1"/>
      <c r="AM776" s="1"/>
      <c r="AN776" s="1"/>
      <c r="AO776" s="1"/>
      <c r="AP776" s="1" t="b">
        <v>1</v>
      </c>
      <c r="AQ776" s="1"/>
      <c r="AR776" s="1"/>
      <c r="AS776" s="1"/>
      <c r="AT776" s="1"/>
      <c r="AU776" s="1"/>
      <c r="AV776" s="1"/>
      <c r="AW776" s="1"/>
      <c r="AX776" s="1"/>
      <c r="AY776" s="1"/>
      <c r="AZ776" s="1" t="b">
        <v>1</v>
      </c>
    </row>
    <row r="777" spans="1:52" ht="15" customHeight="1" x14ac:dyDescent="0.35">
      <c r="A777" s="1" t="s">
        <v>2530</v>
      </c>
      <c r="B777" s="1" t="s">
        <v>2531</v>
      </c>
      <c r="C777" s="1" t="s">
        <v>1692</v>
      </c>
      <c r="D777" s="1" t="s">
        <v>2532</v>
      </c>
      <c r="E777" s="1" t="s">
        <v>1336</v>
      </c>
      <c r="F777" s="9" t="s">
        <v>2533</v>
      </c>
      <c r="G777" s="1" t="s">
        <v>38</v>
      </c>
      <c r="H77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77" s="11" t="e">
        <f>ABS(NETWORKDAYS.INTL("06/10/24", "06/25/24", 1, {"01/01/2024","01/15/2024","02/19/2024","05/27/2024","07/04/2024","09/02/2024","10/14/2024","11/11/2024","11/28/2024","12/25/2024","12/25/2024","12/26/2024","12/27/2024","12/28/2024","12/29/2024","12/30/2024","31/25/2024","01/01/2024","01/02/2024","01/03/2024","01/04/2024","01/05/2024"}))</f>
        <v>#VALUE!</v>
      </c>
      <c r="J777">
        <f>0</f>
        <v>0</v>
      </c>
      <c r="K777" s="1"/>
      <c r="L777" s="1">
        <v>1</v>
      </c>
      <c r="M777" s="1" t="e">
        <f>ABS(NETWORKDAYS.INTL("07/23/2024", "08/05/24", 1, {"01/01/2024","01/15/2024","02/19/2024","05/27/2024","07/04/2024","09/02/2024","10/14/2024","11/11/2024","11/28/2024","12/25/2024","12/25/2024","12/26/2024","12/27/2024","12/28/2024","12/29/2024","12/30/2024","31/25/2024","01/01/2024","01/02/2024","01/03/2024","01/04/2024","01/05/2024"}))</f>
        <v>#VALUE!</v>
      </c>
      <c r="N777" s="1" t="e">
        <f>ABS(NETWORKDAYS.INTL("07/23/2024", "08/05/24", 1, {"01/01/2024","01/15/2024","02/19/2024","05/27/2024","07/04/2024","09/02/2024","10/14/2024","11/11/2024","11/28/2024","12/25/2024","12/25/2024","12/26/2024","12/27/2024","12/28/2024","12/29/2024","12/30/2024","31/25/2024","01/01/2024","01/02/2024","01/03/2024","01/04/2024","01/05/2024"}))</f>
        <v>#VALUE!</v>
      </c>
      <c r="O777" s="1">
        <f>0</f>
        <v>0</v>
      </c>
      <c r="P777" s="1"/>
      <c r="Q777" s="1">
        <v>0</v>
      </c>
      <c r="R777" s="1">
        <v>0</v>
      </c>
      <c r="S777" s="1">
        <f>0</f>
        <v>0</v>
      </c>
      <c r="T777" s="1">
        <f>0</f>
        <v>0</v>
      </c>
      <c r="U777" s="1"/>
      <c r="V777" s="1">
        <v>0</v>
      </c>
      <c r="W777" s="1">
        <v>0</v>
      </c>
      <c r="X777" s="1">
        <f>0</f>
        <v>0</v>
      </c>
      <c r="Y777" s="1">
        <f>0</f>
        <v>0</v>
      </c>
      <c r="Z777" s="1">
        <f>0</f>
        <v>0</v>
      </c>
      <c r="AA777" s="1"/>
      <c r="AB777" s="5"/>
      <c r="AC777" s="1"/>
      <c r="AD777" s="1" t="e">
        <f>ABS(NETWORKDAYS.INTL("07/23/2024", "06/25/24", 1, {"01/01/2024","01/15/2024","02/19/2024","05/27/2024","07/04/2024","09/02/2024","10/14/2024","11/11/2024","11/28/2024","12/25/2024","12/25/2024","12/26/2024","12/27/2024","12/28/2024","12/29/2024","12/30/2024","31/25/2024","01/01/2024","01/02/2024","01/03/2024","01/04/2024","01/05/2024"}))</f>
        <v>#VALUE!</v>
      </c>
      <c r="AE777" s="1" t="e">
        <f>ABS(NETWORKDAYS.INTL("07/23/2024", "08/05/24", 1, {"01/01/2024","01/15/2024","02/19/2024","05/27/2024","07/04/2024","09/02/2024","10/14/2024","11/11/2024","11/28/2024","12/25/2024","12/25/2024","12/26/2024","12/27/2024","12/28/2024","12/29/2024","12/30/2024","31/25/2024","01/01/2024","01/02/2024","01/03/2024","01/04/2024","01/05/2024"}))</f>
        <v>#VALUE!</v>
      </c>
      <c r="AF777" s="1">
        <f>0</f>
        <v>0</v>
      </c>
      <c r="AG777" s="1">
        <f>0</f>
        <v>0</v>
      </c>
      <c r="AH777" s="1">
        <f>0</f>
        <v>0</v>
      </c>
      <c r="AI777" s="1">
        <f>0</f>
        <v>0</v>
      </c>
      <c r="AJ777" s="1" t="b">
        <v>1</v>
      </c>
      <c r="AK777" s="1"/>
      <c r="AL777" s="1"/>
      <c r="AM777" s="1"/>
      <c r="AN777" s="1"/>
      <c r="AO777" s="1"/>
      <c r="AP777" s="1" t="b">
        <v>1</v>
      </c>
      <c r="AQ777" s="1"/>
      <c r="AR777" s="1"/>
      <c r="AS777" s="1"/>
      <c r="AT777" s="1"/>
      <c r="AU777" s="1"/>
      <c r="AV777" s="1"/>
      <c r="AW777" s="1"/>
      <c r="AX777" s="1"/>
      <c r="AY777" s="1" t="b">
        <v>1</v>
      </c>
      <c r="AZ777" s="1"/>
    </row>
    <row r="778" spans="1:52" ht="15" customHeight="1" x14ac:dyDescent="0.35">
      <c r="A778" s="1" t="s">
        <v>2534</v>
      </c>
      <c r="B778" s="1" t="s">
        <v>2535</v>
      </c>
      <c r="C778" s="1" t="s">
        <v>988</v>
      </c>
      <c r="D778" s="1" t="s">
        <v>2008</v>
      </c>
      <c r="E778" s="1" t="s">
        <v>1983</v>
      </c>
      <c r="F778" s="9" t="s">
        <v>2536</v>
      </c>
      <c r="G778" s="1" t="s">
        <v>38</v>
      </c>
      <c r="H77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8" s="11" t="e">
        <f>ABS(NETWORKDAYS.INTL("05/27/24", "05/31/24", 1, {"01/01/2024","01/15/2024","02/19/2024","05/27/2024","07/04/2024","09/02/2024","10/14/2024","11/11/2024","11/28/2024","12/25/2024","12/25/2024","12/26/2024","12/27/2024","12/28/2024","12/29/2024","12/30/2024","31/25/2024","01/01/2024","01/02/2024","01/03/2024","01/04/2024","01/05/2024"}))</f>
        <v>#VALUE!</v>
      </c>
      <c r="J778">
        <f>0</f>
        <v>0</v>
      </c>
      <c r="K778" s="1"/>
      <c r="L778" s="1">
        <v>1</v>
      </c>
      <c r="M778" s="1" t="e">
        <f>ABS(NETWORKDAYS.INTL("06/18/24", "06/18/24", 1, {"01/01/2024","01/15/2024","02/19/2024","05/27/2024","07/04/2024","09/02/2024","10/14/2024","11/11/2024","11/28/2024","12/25/2024","12/25/2024","12/26/2024","12/27/2024","12/28/2024","12/29/2024","12/30/2024","31/25/2024","01/01/2024","01/02/2024","01/03/2024","01/04/2024","01/05/2024"}))</f>
        <v>#VALUE!</v>
      </c>
      <c r="N778" s="1">
        <f>0</f>
        <v>0</v>
      </c>
      <c r="O778" s="1">
        <f>0</f>
        <v>0</v>
      </c>
      <c r="P778" s="1"/>
      <c r="Q778" s="1">
        <v>0</v>
      </c>
      <c r="R778" s="1">
        <v>0</v>
      </c>
      <c r="S778" s="1">
        <f>0</f>
        <v>0</v>
      </c>
      <c r="T778" s="1">
        <f>0</f>
        <v>0</v>
      </c>
      <c r="U778" s="1"/>
      <c r="V778" s="1">
        <v>1</v>
      </c>
      <c r="W778" s="1">
        <v>1</v>
      </c>
      <c r="X778" s="1" t="e">
        <f>ABS(NETWORKDAYS.INTL("06/18/24", "06/20/24", 1, {"01/01/2024","01/15/2024","02/19/2024","05/27/2024","07/04/2024","09/02/2024","10/14/2024","11/11/2024","11/28/2024","12/25/2024","12/25/2024","12/26/2024","12/27/2024","12/28/2024","12/29/2024","12/30/2024","31/25/2024","01/01/2024","01/02/2024","01/03/2024","01/04/2024","01/05/2024"}))</f>
        <v>#VALUE!</v>
      </c>
      <c r="Y778" s="1">
        <f>0</f>
        <v>0</v>
      </c>
      <c r="Z778" s="1">
        <f>0</f>
        <v>0</v>
      </c>
      <c r="AA778" s="1"/>
      <c r="AB778" s="5">
        <v>45469</v>
      </c>
      <c r="AC778" s="5">
        <v>45503</v>
      </c>
      <c r="AD778" s="1" t="e">
        <f>ABS(NETWORKDAYS.INTL("06/18/24", "05/31/24", 1, {"01/01/2024","01/15/2024","02/19/2024","05/27/2024","07/04/2024","09/02/2024","10/14/2024","11/11/2024","11/28/2024","12/25/2024","12/25/2024","12/26/2024","12/27/2024","12/28/2024","12/29/2024","12/30/2024","31/25/2024","01/01/2024","01/02/2024","01/03/2024","01/04/2024","01/05/2024"}))</f>
        <v>#VALUE!</v>
      </c>
      <c r="AE778" s="1">
        <f>0</f>
        <v>0</v>
      </c>
      <c r="AF778" s="1">
        <f>0</f>
        <v>0</v>
      </c>
      <c r="AG778" s="1" t="e">
        <f>ABS(NETWORKDAYS.INTL("06/18/24", "08/05/24", 1, {"01/01/2024","01/15/2024","02/19/2024","05/27/2024","07/04/2024","09/02/2024","10/14/2024","11/11/2024","11/28/2024","12/25/2024","12/25/2024","12/26/2024","12/27/2024","12/28/2024","12/29/2024","12/30/2024","31/25/2024","01/01/2024","01/02/2024","01/03/2024","01/04/2024","01/05/2024"}))</f>
        <v>#VALUE!</v>
      </c>
      <c r="AH778" s="1" t="e">
        <f>ABS(NETWORKDAYS.INTL("06/18/24", "06/18/24", 1, {"01/01/2024","01/15/2024","02/19/2024","05/27/2024","07/04/2024","09/02/2024","10/14/2024","11/11/2024","11/28/2024","12/25/2024","12/25/2024","12/26/2024","12/27/2024","12/28/2024","12/29/2024","12/30/2024","31/25/2024","01/01/2024","01/02/2024","01/03/2024","01/04/2024","01/05/2024"}))</f>
        <v>#VALUE!</v>
      </c>
      <c r="AI778" s="1" t="e">
        <f>ABS(NETWORKDAYS.INTL("07/30/2024", "06/26/24", 1, {"01/01/2024","01/15/2024","02/19/2024","05/27/2024","07/04/2024","09/02/2024","10/14/2024","11/11/2024","11/28/2024","12/25/2024","12/25/2024","12/26/2024","12/27/2024","12/28/2024","12/29/2024","12/30/2024","31/25/2024","01/01/2024","01/02/2024","01/03/2024","01/04/2024","01/05/2024"}))</f>
        <v>#VALUE!</v>
      </c>
      <c r="AJ778" s="1" t="b">
        <v>1</v>
      </c>
      <c r="AK778" s="1"/>
      <c r="AL778" s="1"/>
      <c r="AM778" s="1"/>
      <c r="AN778" s="1"/>
      <c r="AO778" s="1"/>
      <c r="AP778" s="1" t="b">
        <v>1</v>
      </c>
      <c r="AQ778" s="1"/>
      <c r="AR778" s="1"/>
      <c r="AS778" s="1"/>
      <c r="AT778" s="1"/>
      <c r="AU778" s="1"/>
      <c r="AV778" s="1"/>
      <c r="AW778" s="1"/>
      <c r="AX778" s="1"/>
      <c r="AY778" s="1"/>
      <c r="AZ778" s="1" t="b">
        <v>1</v>
      </c>
    </row>
    <row r="779" spans="1:52" ht="15" customHeight="1" x14ac:dyDescent="0.35">
      <c r="A779" s="1" t="s">
        <v>2537</v>
      </c>
      <c r="B779" s="1" t="s">
        <v>2538</v>
      </c>
      <c r="C779" s="1" t="s">
        <v>988</v>
      </c>
      <c r="D779" s="1" t="s">
        <v>1741</v>
      </c>
      <c r="E779" s="1" t="s">
        <v>1983</v>
      </c>
      <c r="F779" s="9" t="s">
        <v>2539</v>
      </c>
      <c r="G779" s="1" t="s">
        <v>38</v>
      </c>
      <c r="H77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79" s="11" t="e">
        <f>ABS(NETWORKDAYS.INTL("05/30/24", "05/30/24", 1, {"01/01/2024","01/15/2024","02/19/2024","05/27/2024","07/04/2024","09/02/2024","10/14/2024","11/11/2024","11/28/2024","12/25/2024","12/25/2024","12/26/2024","12/27/2024","12/28/2024","12/29/2024","12/30/2024","31/25/2024","01/01/2024","01/02/2024","01/03/2024","01/04/2024","01/05/2024"}))</f>
        <v>#VALUE!</v>
      </c>
      <c r="J779">
        <f>0</f>
        <v>0</v>
      </c>
      <c r="K779" s="1"/>
      <c r="L779" s="1">
        <v>1</v>
      </c>
      <c r="M779" s="1" t="e">
        <f>ABS(NETWORKDAYS.INTL("06/18/24", "06/18/24", 1, {"01/01/2024","01/15/2024","02/19/2024","05/27/2024","07/04/2024","09/02/2024","10/14/2024","11/11/2024","11/28/2024","12/25/2024","12/25/2024","12/26/2024","12/27/2024","12/28/2024","12/29/2024","12/30/2024","31/25/2024","01/01/2024","01/02/2024","01/03/2024","01/04/2024","01/05/2024"}))</f>
        <v>#VALUE!</v>
      </c>
      <c r="N779" s="1">
        <f>0</f>
        <v>0</v>
      </c>
      <c r="O779" s="1">
        <f>0</f>
        <v>0</v>
      </c>
      <c r="P779" s="1"/>
      <c r="Q779" s="1">
        <v>0</v>
      </c>
      <c r="R779" s="1">
        <v>0</v>
      </c>
      <c r="S779" s="1">
        <f>0</f>
        <v>0</v>
      </c>
      <c r="T779" s="1">
        <f>0</f>
        <v>0</v>
      </c>
      <c r="U779" s="1"/>
      <c r="V779" s="1">
        <v>1</v>
      </c>
      <c r="W779" s="1">
        <v>1</v>
      </c>
      <c r="X779" s="1" t="e">
        <f>ABS(NETWORKDAYS.INTL("06/18/24", "06/19/24", 1, {"01/01/2024","01/15/2024","02/19/2024","05/27/2024","07/04/2024","09/02/2024","10/14/2024","11/11/2024","11/28/2024","12/25/2024","12/25/2024","12/26/2024","12/27/2024","12/28/2024","12/29/2024","12/30/2024","31/25/2024","01/01/2024","01/02/2024","01/03/2024","01/04/2024","01/05/2024"}))</f>
        <v>#VALUE!</v>
      </c>
      <c r="Y779" s="1">
        <f>0</f>
        <v>0</v>
      </c>
      <c r="Z779" s="1">
        <f>0</f>
        <v>0</v>
      </c>
      <c r="AA779" s="1"/>
      <c r="AB779" s="5">
        <v>45469</v>
      </c>
      <c r="AC779" s="1"/>
      <c r="AD779" s="1" t="e">
        <f>ABS(NETWORKDAYS.INTL("06/18/24", "05/30/24", 1, {"01/01/2024","01/15/2024","02/19/2024","05/27/2024","07/04/2024","09/02/2024","10/14/2024","11/11/2024","11/28/2024","12/25/2024","12/25/2024","12/26/2024","12/27/2024","12/28/2024","12/29/2024","12/30/2024","31/25/2024","01/01/2024","01/02/2024","01/03/2024","01/04/2024","01/05/2024"}))</f>
        <v>#VALUE!</v>
      </c>
      <c r="AE779" s="1">
        <f>0</f>
        <v>0</v>
      </c>
      <c r="AF779" s="1">
        <f>0</f>
        <v>0</v>
      </c>
      <c r="AG779" s="1" t="e">
        <f>ABS(NETWORKDAYS.INTL("06/18/24", "08/05/24", 1, {"01/01/2024","01/15/2024","02/19/2024","05/27/2024","07/04/2024","09/02/2024","10/14/2024","11/11/2024","11/28/2024","12/25/2024","12/25/2024","12/26/2024","12/27/2024","12/28/2024","12/29/2024","12/30/2024","31/25/2024","01/01/2024","01/02/2024","01/03/2024","01/04/2024","01/05/2024"}))</f>
        <v>#VALUE!</v>
      </c>
      <c r="AH779" s="1" t="e">
        <f>ABS(NETWORKDAYS.INTL("06/18/24", "06/18/24", 1, {"01/01/2024","01/15/2024","02/19/2024","05/27/2024","07/04/2024","09/02/2024","10/14/2024","11/11/2024","11/28/2024","12/25/2024","12/25/2024","12/26/2024","12/27/2024","12/28/2024","12/29/2024","12/30/2024","31/25/2024","01/01/2024","01/02/2024","01/03/2024","01/04/2024","01/05/2024"}))</f>
        <v>#VALUE!</v>
      </c>
      <c r="AI779" s="1">
        <f>0</f>
        <v>0</v>
      </c>
      <c r="AJ779" s="1" t="b">
        <v>1</v>
      </c>
      <c r="AK779" s="1"/>
      <c r="AL779" s="1"/>
      <c r="AM779" s="1"/>
      <c r="AN779" s="1"/>
      <c r="AO779" s="1"/>
      <c r="AP779" s="1" t="b">
        <v>1</v>
      </c>
      <c r="AQ779" s="1"/>
      <c r="AR779" s="1"/>
      <c r="AS779" s="1"/>
      <c r="AT779" s="1"/>
      <c r="AU779" s="1"/>
      <c r="AV779" s="1"/>
      <c r="AW779" s="1"/>
      <c r="AX779" s="1"/>
      <c r="AY779" s="1"/>
      <c r="AZ779" s="1" t="b">
        <v>1</v>
      </c>
    </row>
    <row r="780" spans="1:52" ht="15" customHeight="1" x14ac:dyDescent="0.35">
      <c r="A780" s="1" t="s">
        <v>2540</v>
      </c>
      <c r="B780" s="1" t="s">
        <v>2541</v>
      </c>
      <c r="C780" s="1" t="s">
        <v>988</v>
      </c>
      <c r="D780" s="1" t="s">
        <v>1378</v>
      </c>
      <c r="E780" s="1" t="s">
        <v>1983</v>
      </c>
      <c r="F780" s="9" t="s">
        <v>2542</v>
      </c>
      <c r="G780" s="1" t="s">
        <v>38</v>
      </c>
      <c r="H78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0" s="11" t="e">
        <f>ABS(NETWORKDAYS.INTL("05/27/24", "05/28/24", 1, {"01/01/2024","01/15/2024","02/19/2024","05/27/2024","07/04/2024","09/02/2024","10/14/2024","11/11/2024","11/28/2024","12/25/2024","12/25/2024","12/26/2024","12/27/2024","12/28/2024","12/29/2024","12/30/2024","31/25/2024","01/01/2024","01/02/2024","01/03/2024","01/04/2024","01/05/2024"}))</f>
        <v>#VALUE!</v>
      </c>
      <c r="J780">
        <f>0</f>
        <v>0</v>
      </c>
      <c r="K780" s="1"/>
      <c r="L780" s="1">
        <v>1</v>
      </c>
      <c r="M780" s="1" t="e">
        <f>ABS(NETWORKDAYS.INTL("06/20/24", "06/20/24", 1, {"01/01/2024","01/15/2024","02/19/2024","05/27/2024","07/04/2024","09/02/2024","10/14/2024","11/11/2024","11/28/2024","12/25/2024","12/25/2024","12/26/2024","12/27/2024","12/28/2024","12/29/2024","12/30/2024","31/25/2024","01/01/2024","01/02/2024","01/03/2024","01/04/2024","01/05/2024"}))</f>
        <v>#VALUE!</v>
      </c>
      <c r="N780" s="1">
        <f>0</f>
        <v>0</v>
      </c>
      <c r="O780" s="1">
        <f>0</f>
        <v>0</v>
      </c>
      <c r="P780" s="1"/>
      <c r="Q780" s="1">
        <v>0</v>
      </c>
      <c r="R780" s="1">
        <v>0</v>
      </c>
      <c r="S780" s="1">
        <f>0</f>
        <v>0</v>
      </c>
      <c r="T780" s="1">
        <f>0</f>
        <v>0</v>
      </c>
      <c r="U780" s="1"/>
      <c r="V780" s="1">
        <v>1</v>
      </c>
      <c r="W780" s="1">
        <v>1</v>
      </c>
      <c r="X780" s="1" t="e">
        <f>ABS(NETWORKDAYS.INTL("06/20/24", "06/21/24", 1, {"01/01/2024","01/15/2024","02/19/2024","05/27/2024","07/04/2024","09/02/2024","10/14/2024","11/11/2024","11/28/2024","12/25/2024","12/25/2024","12/26/2024","12/27/2024","12/28/2024","12/29/2024","12/30/2024","31/25/2024","01/01/2024","01/02/2024","01/03/2024","01/04/2024","01/05/2024"}))</f>
        <v>#VALUE!</v>
      </c>
      <c r="Y780" s="1">
        <f>0</f>
        <v>0</v>
      </c>
      <c r="Z780" s="1">
        <f>0</f>
        <v>0</v>
      </c>
      <c r="AA780" s="1"/>
      <c r="AB780" s="5">
        <v>45474</v>
      </c>
      <c r="AC780" s="5">
        <v>45504</v>
      </c>
      <c r="AD780" s="1" t="e">
        <f>ABS(NETWORKDAYS.INTL("06/20/24", "05/28/24", 1, {"01/01/2024","01/15/2024","02/19/2024","05/27/2024","07/04/2024","09/02/2024","10/14/2024","11/11/2024","11/28/2024","12/25/2024","12/25/2024","12/26/2024","12/27/2024","12/28/2024","12/29/2024","12/30/2024","31/25/2024","01/01/2024","01/02/2024","01/03/2024","01/04/2024","01/05/2024"}))</f>
        <v>#VALUE!</v>
      </c>
      <c r="AE780" s="1">
        <f>0</f>
        <v>0</v>
      </c>
      <c r="AF780" s="1">
        <f>0</f>
        <v>0</v>
      </c>
      <c r="AG780" s="1" t="e">
        <f>ABS(NETWORKDAYS.INTL("06/20/24", "08/05/24", 1, {"01/01/2024","01/15/2024","02/19/2024","05/27/2024","07/04/2024","09/02/2024","10/14/2024","11/11/2024","11/28/2024","12/25/2024","12/25/2024","12/26/2024","12/27/2024","12/28/2024","12/29/2024","12/30/2024","31/25/2024","01/01/2024","01/02/2024","01/03/2024","01/04/2024","01/05/2024"}))</f>
        <v>#VALUE!</v>
      </c>
      <c r="AH780" s="1" t="e">
        <f>ABS(NETWORKDAYS.INTL("06/20/24", "06/20/24", 1, {"01/01/2024","01/15/2024","02/19/2024","05/27/2024","07/04/2024","09/02/2024","10/14/2024","11/11/2024","11/28/2024","12/25/2024","12/25/2024","12/26/2024","12/27/2024","12/28/2024","12/29/2024","12/30/2024","31/25/2024","01/01/2024","01/02/2024","01/03/2024","01/04/2024","01/05/2024"}))</f>
        <v>#VALUE!</v>
      </c>
      <c r="AI780" s="1" t="e">
        <f>ABS(NETWORKDAYS.INTL("07/31/2024", "07/01/24", 1, {"01/01/2024","01/15/2024","02/19/2024","05/27/2024","07/04/2024","09/02/2024","10/14/2024","11/11/2024","11/28/2024","12/25/2024","12/25/2024","12/26/2024","12/27/2024","12/28/2024","12/29/2024","12/30/2024","31/25/2024","01/01/2024","01/02/2024","01/03/2024","01/04/2024","01/05/2024"}))</f>
        <v>#VALUE!</v>
      </c>
      <c r="AJ780" s="1" t="b">
        <v>1</v>
      </c>
      <c r="AK780" s="1"/>
      <c r="AL780" s="1"/>
      <c r="AM780" s="1"/>
      <c r="AN780" s="1"/>
      <c r="AO780" s="1"/>
      <c r="AP780" s="1" t="b">
        <v>1</v>
      </c>
      <c r="AQ780" s="1"/>
      <c r="AR780" s="1"/>
      <c r="AS780" s="1"/>
      <c r="AT780" s="1"/>
      <c r="AU780" s="1"/>
      <c r="AV780" s="1"/>
      <c r="AW780" s="1"/>
      <c r="AX780" s="1"/>
      <c r="AY780" s="1"/>
      <c r="AZ780" s="1" t="b">
        <v>1</v>
      </c>
    </row>
    <row r="781" spans="1:52" ht="15" customHeight="1" x14ac:dyDescent="0.35">
      <c r="A781" s="1" t="s">
        <v>2543</v>
      </c>
      <c r="B781" s="1" t="s">
        <v>2544</v>
      </c>
      <c r="C781" s="1" t="s">
        <v>1329</v>
      </c>
      <c r="D781" s="1" t="s">
        <v>1591</v>
      </c>
      <c r="E781" s="1" t="s">
        <v>1336</v>
      </c>
      <c r="F781" s="9" t="s">
        <v>2545</v>
      </c>
      <c r="G781" s="1" t="s">
        <v>38</v>
      </c>
      <c r="H78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1" s="11" t="e">
        <f>ABS(NETWORKDAYS.INTL("06/04/24", "06/12/24", 1, {"01/01/2024","01/15/2024","02/19/2024","05/27/2024","07/04/2024","09/02/2024","10/14/2024","11/11/2024","11/28/2024","12/25/2024","12/25/2024","12/26/2024","12/27/2024","12/28/2024","12/29/2024","12/30/2024","31/25/2024","01/01/2024","01/02/2024","01/03/2024","01/04/2024","01/05/2024"}))</f>
        <v>#VALUE!</v>
      </c>
      <c r="J781">
        <f>0</f>
        <v>0</v>
      </c>
      <c r="K781" s="1"/>
      <c r="L781" s="1">
        <v>0</v>
      </c>
      <c r="M781" s="1">
        <f>0</f>
        <v>0</v>
      </c>
      <c r="N781" s="1">
        <f>0</f>
        <v>0</v>
      </c>
      <c r="O781" s="1">
        <f>0</f>
        <v>0</v>
      </c>
      <c r="P781" s="1"/>
      <c r="Q781" s="1">
        <v>0</v>
      </c>
      <c r="R781" s="1">
        <v>0</v>
      </c>
      <c r="S781" s="1">
        <f>0</f>
        <v>0</v>
      </c>
      <c r="T781" s="1">
        <f>0</f>
        <v>0</v>
      </c>
      <c r="U781" s="1"/>
      <c r="V781" s="1">
        <v>0</v>
      </c>
      <c r="W781" s="1">
        <v>0</v>
      </c>
      <c r="X781" s="1">
        <f>0</f>
        <v>0</v>
      </c>
      <c r="Y781" s="1">
        <f>0</f>
        <v>0</v>
      </c>
      <c r="Z781" s="1">
        <f>0</f>
        <v>0</v>
      </c>
      <c r="AA781" s="1"/>
      <c r="AB781" s="5"/>
      <c r="AC781" s="1"/>
      <c r="AD781" s="1">
        <f>0</f>
        <v>0</v>
      </c>
      <c r="AE781" s="1">
        <f>0</f>
        <v>0</v>
      </c>
      <c r="AF781" s="1">
        <f>0</f>
        <v>0</v>
      </c>
      <c r="AG781" s="1">
        <f>0</f>
        <v>0</v>
      </c>
      <c r="AH781" s="1">
        <f>0</f>
        <v>0</v>
      </c>
      <c r="AI781" s="1">
        <f>0</f>
        <v>0</v>
      </c>
      <c r="AJ781" s="1" t="b">
        <v>1</v>
      </c>
      <c r="AK781" s="1"/>
      <c r="AL781" s="1"/>
      <c r="AM781" s="1"/>
      <c r="AN781" s="1"/>
      <c r="AO781" s="1"/>
      <c r="AP781" s="1" t="b">
        <v>1</v>
      </c>
      <c r="AQ781" s="1"/>
      <c r="AR781" s="1"/>
      <c r="AS781" s="1"/>
      <c r="AT781" s="1"/>
      <c r="AU781" s="1"/>
      <c r="AV781" s="1"/>
      <c r="AW781" s="1"/>
      <c r="AX781" s="1"/>
      <c r="AY781" s="1" t="b">
        <v>1</v>
      </c>
      <c r="AZ781" s="1"/>
    </row>
    <row r="782" spans="1:52" ht="15" customHeight="1" x14ac:dyDescent="0.35">
      <c r="A782" s="1" t="s">
        <v>2546</v>
      </c>
      <c r="B782" s="1" t="s">
        <v>2547</v>
      </c>
      <c r="C782" s="1" t="s">
        <v>1692</v>
      </c>
      <c r="D782" s="1" t="s">
        <v>1741</v>
      </c>
      <c r="E782" s="1" t="s">
        <v>1983</v>
      </c>
      <c r="F782" s="9" t="s">
        <v>2548</v>
      </c>
      <c r="G782" s="1" t="s">
        <v>38</v>
      </c>
      <c r="H78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82" s="11" t="e">
        <f>ABS(NETWORKDAYS.INTL("06/03/24", "06/03/24", 1, {"01/01/2024","01/15/2024","02/19/2024","05/27/2024","07/04/2024","09/02/2024","10/14/2024","11/11/2024","11/28/2024","12/25/2024","12/25/2024","12/26/2024","12/27/2024","12/28/2024","12/29/2024","12/30/2024","31/25/2024","01/01/2024","01/02/2024","01/03/2024","01/04/2024","01/05/2024"}))</f>
        <v>#VALUE!</v>
      </c>
      <c r="J782">
        <f>0</f>
        <v>0</v>
      </c>
      <c r="K782" s="1"/>
      <c r="L782" s="1">
        <v>1</v>
      </c>
      <c r="M782" s="1" t="e">
        <f>ABS(NETWORKDAYS.INTL("06/18/24", "06/18/24", 1, {"01/01/2024","01/15/2024","02/19/2024","05/27/2024","07/04/2024","09/02/2024","10/14/2024","11/11/2024","11/28/2024","12/25/2024","12/25/2024","12/26/2024","12/27/2024","12/28/2024","12/29/2024","12/30/2024","31/25/2024","01/01/2024","01/02/2024","01/03/2024","01/04/2024","01/05/2024"}))</f>
        <v>#VALUE!</v>
      </c>
      <c r="N782" s="1">
        <f>0</f>
        <v>0</v>
      </c>
      <c r="O782" s="1">
        <f>0</f>
        <v>0</v>
      </c>
      <c r="P782" s="1"/>
      <c r="Q782" s="1">
        <v>0</v>
      </c>
      <c r="R782" s="1">
        <v>0</v>
      </c>
      <c r="S782" s="1">
        <f>0</f>
        <v>0</v>
      </c>
      <c r="T782" s="1">
        <f>0</f>
        <v>0</v>
      </c>
      <c r="U782" s="1"/>
      <c r="V782" s="1">
        <v>1</v>
      </c>
      <c r="W782" s="1">
        <v>1</v>
      </c>
      <c r="X782" s="1" t="e">
        <f>ABS(NETWORKDAYS.INTL("06/18/24", "06/19/24", 1, {"01/01/2024","01/15/2024","02/19/2024","05/27/2024","07/04/2024","09/02/2024","10/14/2024","11/11/2024","11/28/2024","12/25/2024","12/25/2024","12/26/2024","12/27/2024","12/28/2024","12/29/2024","12/30/2024","31/25/2024","01/01/2024","01/02/2024","01/03/2024","01/04/2024","01/05/2024"}))</f>
        <v>#VALUE!</v>
      </c>
      <c r="Y782" s="1">
        <f>0</f>
        <v>0</v>
      </c>
      <c r="Z782" s="1">
        <f>0</f>
        <v>0</v>
      </c>
      <c r="AA782" s="1"/>
      <c r="AB782" s="5">
        <v>45469</v>
      </c>
      <c r="AC782" s="1"/>
      <c r="AD782" s="1" t="e">
        <f>ABS(NETWORKDAYS.INTL("06/18/24", "06/03/24", 1, {"01/01/2024","01/15/2024","02/19/2024","05/27/2024","07/04/2024","09/02/2024","10/14/2024","11/11/2024","11/28/2024","12/25/2024","12/25/2024","12/26/2024","12/27/2024","12/28/2024","12/29/2024","12/30/2024","31/25/2024","01/01/2024","01/02/2024","01/03/2024","01/04/2024","01/05/2024"}))</f>
        <v>#VALUE!</v>
      </c>
      <c r="AE782" s="1">
        <f>0</f>
        <v>0</v>
      </c>
      <c r="AF782" s="1">
        <f>0</f>
        <v>0</v>
      </c>
      <c r="AG782" s="1" t="e">
        <f>ABS(NETWORKDAYS.INTL("06/18/24", "08/05/24", 1, {"01/01/2024","01/15/2024","02/19/2024","05/27/2024","07/04/2024","09/02/2024","10/14/2024","11/11/2024","11/28/2024","12/25/2024","12/25/2024","12/26/2024","12/27/2024","12/28/2024","12/29/2024","12/30/2024","31/25/2024","01/01/2024","01/02/2024","01/03/2024","01/04/2024","01/05/2024"}))</f>
        <v>#VALUE!</v>
      </c>
      <c r="AH782" s="1" t="e">
        <f>ABS(NETWORKDAYS.INTL("06/18/24", "06/18/24", 1, {"01/01/2024","01/15/2024","02/19/2024","05/27/2024","07/04/2024","09/02/2024","10/14/2024","11/11/2024","11/28/2024","12/25/2024","12/25/2024","12/26/2024","12/27/2024","12/28/2024","12/29/2024","12/30/2024","31/25/2024","01/01/2024","01/02/2024","01/03/2024","01/04/2024","01/05/2024"}))</f>
        <v>#VALUE!</v>
      </c>
      <c r="AI782" s="1">
        <f>0</f>
        <v>0</v>
      </c>
      <c r="AJ782" s="1" t="b">
        <v>1</v>
      </c>
      <c r="AK782" s="1"/>
      <c r="AL782" s="1"/>
      <c r="AM782" s="1"/>
      <c r="AN782" s="1"/>
      <c r="AO782" s="1"/>
      <c r="AP782" s="1" t="b">
        <v>1</v>
      </c>
      <c r="AQ782" s="1"/>
      <c r="AR782" s="1"/>
      <c r="AS782" s="1"/>
      <c r="AT782" s="1"/>
      <c r="AU782" s="1"/>
      <c r="AV782" s="1"/>
      <c r="AW782" s="1"/>
      <c r="AX782" s="1"/>
      <c r="AY782" s="1"/>
      <c r="AZ782" s="1" t="b">
        <v>1</v>
      </c>
    </row>
    <row r="783" spans="1:52" ht="15" customHeight="1" x14ac:dyDescent="0.35">
      <c r="A783" s="1" t="s">
        <v>2549</v>
      </c>
      <c r="B783" s="1" t="s">
        <v>2550</v>
      </c>
      <c r="C783" s="1" t="s">
        <v>988</v>
      </c>
      <c r="D783" s="1" t="s">
        <v>2551</v>
      </c>
      <c r="E783" s="1" t="s">
        <v>2079</v>
      </c>
      <c r="F783" s="9" t="s">
        <v>2552</v>
      </c>
      <c r="G783" s="1" t="s">
        <v>38</v>
      </c>
      <c r="H78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3" s="11" t="e">
        <f>ABS(NETWORKDAYS.INTL("05/21/24", "05/28/24", 1, {"01/01/2024","01/15/2024","02/19/2024","05/27/2024","07/04/2024","09/02/2024","10/14/2024","11/11/2024","11/28/2024","12/25/2024","12/25/2024","12/26/2024","12/27/2024","12/28/2024","12/29/2024","12/30/2024","31/25/2024","01/01/2024","01/02/2024","01/03/2024","01/04/2024","01/05/2024"}))</f>
        <v>#VALUE!</v>
      </c>
      <c r="J783">
        <f>0</f>
        <v>0</v>
      </c>
      <c r="K783" s="1"/>
      <c r="L783" s="1">
        <v>1</v>
      </c>
      <c r="M783" s="1" t="e">
        <f>ABS(NETWORKDAYS.INTL("05/29/24", "05/29/24", 1, {"01/01/2024","01/15/2024","02/19/2024","05/27/2024","07/04/2024","09/02/2024","10/14/2024","11/11/2024","11/28/2024","12/25/2024","12/25/2024","12/26/2024","12/27/2024","12/28/2024","12/29/2024","12/30/2024","31/25/2024","01/01/2024","01/02/2024","01/03/2024","01/04/2024","01/05/2024"}))</f>
        <v>#VALUE!</v>
      </c>
      <c r="N783" s="1">
        <f>0</f>
        <v>0</v>
      </c>
      <c r="O783" s="1">
        <f>0</f>
        <v>0</v>
      </c>
      <c r="P783" s="1"/>
      <c r="Q783" s="1">
        <v>1</v>
      </c>
      <c r="R783" s="1">
        <v>1</v>
      </c>
      <c r="S783" s="1" t="e">
        <f>ABS(NETWORKDAYS.INTL("06/06/24", "06/06/24", 1, {"01/01/2024","01/15/2024","02/19/2024","05/27/2024","07/04/2024","09/02/2024","10/14/2024","11/11/2024","11/28/2024","12/25/2024","12/25/2024","12/26/2024","12/27/2024","12/28/2024","12/29/2024","12/30/2024","31/25/2024","01/01/2024","01/02/2024","01/03/2024","01/04/2024","01/05/2024"}))</f>
        <v>#VALUE!</v>
      </c>
      <c r="T783" s="1">
        <f>0</f>
        <v>0</v>
      </c>
      <c r="U783" s="1"/>
      <c r="V783" s="1">
        <v>2</v>
      </c>
      <c r="W783" s="1">
        <v>1</v>
      </c>
      <c r="X783" s="1" t="e">
        <f>ABS(NETWORKDAYS.INTL("06/06/24", "06/11/24", 1, {"01/01/2024","01/15/2024","02/19/2024","05/27/2024","07/04/2024","09/02/2024","10/14/2024","11/11/2024","11/28/2024","12/25/2024","12/25/2024","12/26/2024","12/27/2024","12/28/2024","12/29/2024","12/30/2024","31/25/2024","01/01/2024","01/02/2024","01/03/2024","01/04/2024","01/05/2024"}))</f>
        <v>#VALUE!</v>
      </c>
      <c r="Y783" s="1" t="e">
        <f>ABS(NETWORKDAYS.INTL("06/14/24", "06/18/24", 1, {"01/01/2024","01/15/2024","02/19/2024","05/27/2024","07/04/2024","09/02/2024","10/14/2024","11/11/2024","11/28/2024","12/25/2024","12/25/2024","12/26/2024","12/27/2024","12/28/2024","12/29/2024","12/30/2024","31/25/2024","01/01/2024","01/02/2024","01/03/2024","01/04/2024","01/05/2024"}))</f>
        <v>#VALUE!</v>
      </c>
      <c r="Z783" s="1">
        <f>0</f>
        <v>0</v>
      </c>
      <c r="AA783" s="1"/>
      <c r="AB783" s="5">
        <v>45467</v>
      </c>
      <c r="AC783" s="5">
        <v>45503</v>
      </c>
      <c r="AD783" s="1" t="e">
        <f>ABS(NETWORKDAYS.INTL("05/29/24", "05/28/24", 1, {"01/01/2024","01/15/2024","02/19/2024","05/27/2024","07/04/2024","09/02/2024","10/14/2024","11/11/2024","11/28/2024","12/25/2024","12/25/2024","12/26/2024","12/27/2024","12/28/2024","12/29/2024","12/30/2024","31/25/2024","01/01/2024","01/02/2024","01/03/2024","01/04/2024","01/05/2024"}))</f>
        <v>#VALUE!</v>
      </c>
      <c r="AE783" s="1">
        <f>0</f>
        <v>0</v>
      </c>
      <c r="AF783" s="1" t="e">
        <f>ABS(NETWORKDAYS.INTL("05/31/2024", "05/29/24", 1, {"01/01/2024","01/15/2024","02/19/2024","05/27/2024","07/04/2024","09/02/2024","10/14/2024","11/11/2024","11/28/2024","12/25/2024","12/25/2024","12/26/2024","12/27/2024","12/28/2024","12/29/2024","12/30/2024","31/25/2024","01/01/2024","01/02/2024","01/03/2024","01/04/2024","01/05/2024"}))</f>
        <v>#VALUE!</v>
      </c>
      <c r="AG783" s="1" t="e">
        <f>ABS(NETWORKDAYS.INTL("06/06/24", "05/31/2024", 1, {"01/01/2024","01/15/2024","02/19/2024","05/27/2024","07/04/2024","09/02/2024","10/14/2024","11/11/2024","11/28/2024","12/25/2024","12/25/2024","12/26/2024","12/27/2024","12/28/2024","12/29/2024","12/30/2024","31/25/2024","01/01/2024","01/02/2024","01/03/2024","01/04/2024","01/05/2024"}))</f>
        <v>#VALUE!</v>
      </c>
      <c r="AH783" s="1" t="e">
        <f>ABS(NETWORKDAYS.INTL("06/06/24", "06/06/24", 1, {"01/01/2024","01/15/2024","02/19/2024","05/27/2024","07/04/2024","09/02/2024","10/14/2024","11/11/2024","11/28/2024","12/25/2024","12/25/2024","12/26/2024","12/27/2024","12/28/2024","12/29/2024","12/30/2024","31/25/2024","01/01/2024","01/02/2024","01/03/2024","01/04/2024","01/05/2024"}))</f>
        <v>#VALUE!</v>
      </c>
      <c r="AI783" s="1" t="e">
        <f>ABS(NETWORKDAYS.INTL("07/30/2024", "06/24/24", 1, {"01/01/2024","01/15/2024","02/19/2024","05/27/2024","07/04/2024","09/02/2024","10/14/2024","11/11/2024","11/28/2024","12/25/2024","12/25/2024","12/26/2024","12/27/2024","12/28/2024","12/29/2024","12/30/2024","31/25/2024","01/01/2024","01/02/2024","01/03/2024","01/04/2024","01/05/2024"}))</f>
        <v>#VALUE!</v>
      </c>
      <c r="AJ783" s="1" t="b">
        <v>1</v>
      </c>
      <c r="AK783" s="1"/>
      <c r="AL783" s="1"/>
      <c r="AM783" s="1"/>
      <c r="AN783" s="1"/>
      <c r="AO783" s="1"/>
      <c r="AP783" s="1" t="b">
        <v>1</v>
      </c>
      <c r="AQ783" s="1"/>
      <c r="AR783" s="1"/>
      <c r="AS783" s="1"/>
      <c r="AT783" s="1"/>
      <c r="AU783" s="1"/>
      <c r="AV783" s="1"/>
      <c r="AW783" s="1"/>
      <c r="AX783" s="1"/>
      <c r="AY783" s="1" t="b">
        <v>1</v>
      </c>
      <c r="AZ783" s="1"/>
    </row>
    <row r="784" spans="1:52" ht="15" customHeight="1" x14ac:dyDescent="0.35">
      <c r="A784" s="1" t="s">
        <v>2553</v>
      </c>
      <c r="B784" s="1" t="s">
        <v>2554</v>
      </c>
      <c r="C784" s="1" t="s">
        <v>988</v>
      </c>
      <c r="D784" s="1" t="s">
        <v>2124</v>
      </c>
      <c r="E784" s="1" t="s">
        <v>1983</v>
      </c>
      <c r="F784" s="9" t="s">
        <v>2555</v>
      </c>
      <c r="G784" s="1" t="s">
        <v>38</v>
      </c>
      <c r="H78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4" s="11" t="e">
        <f>ABS(NETWORKDAYS.INTL("06/10/24", "06/10/24", 1, {"01/01/2024","01/15/2024","02/19/2024","05/27/2024","07/04/2024","09/02/2024","10/14/2024","11/11/2024","11/28/2024","12/25/2024","12/25/2024","12/26/2024","12/27/2024","12/28/2024","12/29/2024","12/30/2024","31/25/2024","01/01/2024","01/02/2024","01/03/2024","01/04/2024","01/05/2024"}))</f>
        <v>#VALUE!</v>
      </c>
      <c r="J784">
        <f>0</f>
        <v>0</v>
      </c>
      <c r="K784" s="1"/>
      <c r="L784" s="1">
        <v>1</v>
      </c>
      <c r="M784" s="1" t="e">
        <f>ABS(NETWORKDAYS.INTL("06/14/24", "06/14/24", 1, {"01/01/2024","01/15/2024","02/19/2024","05/27/2024","07/04/2024","09/02/2024","10/14/2024","11/11/2024","11/28/2024","12/25/2024","12/25/2024","12/26/2024","12/27/2024","12/28/2024","12/29/2024","12/30/2024","31/25/2024","01/01/2024","01/02/2024","01/03/2024","01/04/2024","01/05/2024"}))</f>
        <v>#VALUE!</v>
      </c>
      <c r="N784" s="1">
        <f>0</f>
        <v>0</v>
      </c>
      <c r="O784" s="1">
        <f>0</f>
        <v>0</v>
      </c>
      <c r="P784" s="1"/>
      <c r="Q784" s="1">
        <v>0</v>
      </c>
      <c r="R784" s="1">
        <v>0</v>
      </c>
      <c r="S784" s="1">
        <f>0</f>
        <v>0</v>
      </c>
      <c r="T784" s="1">
        <f>0</f>
        <v>0</v>
      </c>
      <c r="U784" s="1"/>
      <c r="V784" s="1">
        <v>1</v>
      </c>
      <c r="W784" s="1">
        <v>1</v>
      </c>
      <c r="X784" s="1" t="e">
        <f>ABS(NETWORKDAYS.INTL("06/14/24", "06/14/24", 1, {"01/01/2024","01/15/2024","02/19/2024","05/27/2024","07/04/2024","09/02/2024","10/14/2024","11/11/2024","11/28/2024","12/25/2024","12/25/2024","12/26/2024","12/27/2024","12/28/2024","12/29/2024","12/30/2024","31/25/2024","01/01/2024","01/02/2024","01/03/2024","01/04/2024","01/05/2024"}))</f>
        <v>#VALUE!</v>
      </c>
      <c r="Y784" s="1">
        <f>0</f>
        <v>0</v>
      </c>
      <c r="Z784" s="1">
        <f>0</f>
        <v>0</v>
      </c>
      <c r="AA784" s="1"/>
      <c r="AB784" s="5">
        <v>45457</v>
      </c>
      <c r="AC784" s="5">
        <v>45503</v>
      </c>
      <c r="AD784" s="1" t="e">
        <f>ABS(NETWORKDAYS.INTL("06/14/24", "06/10/24", 1, {"01/01/2024","01/15/2024","02/19/2024","05/27/2024","07/04/2024","09/02/2024","10/14/2024","11/11/2024","11/28/2024","12/25/2024","12/25/2024","12/26/2024","12/27/2024","12/28/2024","12/29/2024","12/30/2024","31/25/2024","01/01/2024","01/02/2024","01/03/2024","01/04/2024","01/05/2024"}))</f>
        <v>#VALUE!</v>
      </c>
      <c r="AE784" s="1">
        <f>0</f>
        <v>0</v>
      </c>
      <c r="AF784" s="1">
        <f>0</f>
        <v>0</v>
      </c>
      <c r="AG784" s="1" t="e">
        <f>ABS(NETWORKDAYS.INTL("06/14/24", "08/05/24", 1, {"01/01/2024","01/15/2024","02/19/2024","05/27/2024","07/04/2024","09/02/2024","10/14/2024","11/11/2024","11/28/2024","12/25/2024","12/25/2024","12/26/2024","12/27/2024","12/28/2024","12/29/2024","12/30/2024","31/25/2024","01/01/2024","01/02/2024","01/03/2024","01/04/2024","01/05/2024"}))</f>
        <v>#VALUE!</v>
      </c>
      <c r="AH784" s="1" t="e">
        <f>ABS(NETWORKDAYS.INTL("06/14/24", "06/14/24", 1, {"01/01/2024","01/15/2024","02/19/2024","05/27/2024","07/04/2024","09/02/2024","10/14/2024","11/11/2024","11/28/2024","12/25/2024","12/25/2024","12/26/2024","12/27/2024","12/28/2024","12/29/2024","12/30/2024","31/25/2024","01/01/2024","01/02/2024","01/03/2024","01/04/2024","01/05/2024"}))</f>
        <v>#VALUE!</v>
      </c>
      <c r="AI784" s="1" t="e">
        <f>ABS(NETWORKDAYS.INTL("7/30/2024", "06/14/24", 1, {"01/01/2024","01/15/2024","02/19/2024","05/27/2024","07/04/2024","09/02/2024","10/14/2024","11/11/2024","11/28/2024","12/25/2024","12/25/2024","12/26/2024","12/27/2024","12/28/2024","12/29/2024","12/30/2024","31/25/2024","01/01/2024","01/02/2024","01/03/2024","01/04/2024","01/05/2024"}))</f>
        <v>#VALUE!</v>
      </c>
      <c r="AJ784" s="1" t="b">
        <v>1</v>
      </c>
      <c r="AK784" s="1"/>
      <c r="AL784" s="1"/>
      <c r="AM784" s="1"/>
      <c r="AN784" s="1"/>
      <c r="AO784" s="1"/>
      <c r="AP784" s="1" t="b">
        <v>1</v>
      </c>
      <c r="AQ784" s="1"/>
      <c r="AR784" s="1"/>
      <c r="AS784" s="1"/>
      <c r="AT784" s="1"/>
      <c r="AU784" s="1"/>
      <c r="AV784" s="1"/>
      <c r="AW784" s="1"/>
      <c r="AX784" s="1"/>
      <c r="AY784" s="1"/>
      <c r="AZ784" s="1" t="b">
        <v>1</v>
      </c>
    </row>
    <row r="785" spans="1:52" ht="15" customHeight="1" x14ac:dyDescent="0.35">
      <c r="A785" s="1" t="s">
        <v>2556</v>
      </c>
      <c r="B785" s="1" t="s">
        <v>2557</v>
      </c>
      <c r="C785" s="1" t="s">
        <v>988</v>
      </c>
      <c r="D785" s="1" t="s">
        <v>2558</v>
      </c>
      <c r="E785" s="1" t="s">
        <v>1983</v>
      </c>
      <c r="F785" s="9" t="s">
        <v>2559</v>
      </c>
      <c r="G785" s="1" t="s">
        <v>38</v>
      </c>
      <c r="H78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5" s="11" t="e">
        <f>ABS(NETWORKDAYS.INTL("05/29/24", "06/04/24", 1, {"01/01/2024","01/15/2024","02/19/2024","05/27/2024","07/04/2024","09/02/2024","10/14/2024","11/11/2024","11/28/2024","12/25/2024","12/25/2024","12/26/2024","12/27/2024","12/28/2024","12/29/2024","12/30/2024","31/25/2024","01/01/2024","01/02/2024","01/03/2024","01/04/2024","01/05/2024"}))</f>
        <v>#VALUE!</v>
      </c>
      <c r="J785">
        <f>0</f>
        <v>0</v>
      </c>
      <c r="K785" s="1"/>
      <c r="L785" s="1">
        <v>1</v>
      </c>
      <c r="M785" s="1" t="e">
        <f>ABS(NETWORKDAYS.INTL("06/17/24", "06/17/24", 1, {"01/01/2024","01/15/2024","02/19/2024","05/27/2024","07/04/2024","09/02/2024","10/14/2024","11/11/2024","11/28/2024","12/25/2024","12/25/2024","12/26/2024","12/27/2024","12/28/2024","12/29/2024","12/30/2024","31/25/2024","01/01/2024","01/02/2024","01/03/2024","01/04/2024","01/05/2024"}))</f>
        <v>#VALUE!</v>
      </c>
      <c r="N785" s="1">
        <f>0</f>
        <v>0</v>
      </c>
      <c r="O785" s="1">
        <f>0</f>
        <v>0</v>
      </c>
      <c r="P785" s="1"/>
      <c r="Q785" s="1">
        <v>0</v>
      </c>
      <c r="R785" s="1">
        <v>0</v>
      </c>
      <c r="S785" s="1">
        <f>0</f>
        <v>0</v>
      </c>
      <c r="T785" s="1">
        <f>0</f>
        <v>0</v>
      </c>
      <c r="U785" s="1"/>
      <c r="V785" s="1">
        <v>1</v>
      </c>
      <c r="W785" s="1">
        <v>1</v>
      </c>
      <c r="X785" s="1" t="e">
        <f>ABS(NETWORKDAYS.INTL("06/17/24", "06/18/24", 1, {"01/01/2024","01/15/2024","02/19/2024","05/27/2024","07/04/2024","09/02/2024","10/14/2024","11/11/2024","11/28/2024","12/25/2024","12/25/2024","12/26/2024","12/27/2024","12/28/2024","12/29/2024","12/30/2024","31/25/2024","01/01/2024","01/02/2024","01/03/2024","01/04/2024","01/05/2024"}))</f>
        <v>#VALUE!</v>
      </c>
      <c r="Y785" s="1">
        <f>0</f>
        <v>0</v>
      </c>
      <c r="Z785" s="1">
        <f>0</f>
        <v>0</v>
      </c>
      <c r="AA785" s="1"/>
      <c r="AB785" s="5">
        <v>45468</v>
      </c>
      <c r="AC785" s="5">
        <v>45502</v>
      </c>
      <c r="AD785" s="1" t="e">
        <f>ABS(NETWORKDAYS.INTL("06/17/24", "06/04/24", 1, {"01/01/2024","01/15/2024","02/19/2024","05/27/2024","07/04/2024","09/02/2024","10/14/2024","11/11/2024","11/28/2024","12/25/2024","12/25/2024","12/26/2024","12/27/2024","12/28/2024","12/29/2024","12/30/2024","31/25/2024","01/01/2024","01/02/2024","01/03/2024","01/04/2024","01/05/2024"}))</f>
        <v>#VALUE!</v>
      </c>
      <c r="AE785" s="1">
        <f>0</f>
        <v>0</v>
      </c>
      <c r="AF785" s="1">
        <f>0</f>
        <v>0</v>
      </c>
      <c r="AG785" s="1" t="e">
        <f>ABS(NETWORKDAYS.INTL("06/17/24", "08/05/24", 1, {"01/01/2024","01/15/2024","02/19/2024","05/27/2024","07/04/2024","09/02/2024","10/14/2024","11/11/2024","11/28/2024","12/25/2024","12/25/2024","12/26/2024","12/27/2024","12/28/2024","12/29/2024","12/30/2024","31/25/2024","01/01/2024","01/02/2024","01/03/2024","01/04/2024","01/05/2024"}))</f>
        <v>#VALUE!</v>
      </c>
      <c r="AH785" s="1" t="e">
        <f>ABS(NETWORKDAYS.INTL("06/17/24", "06/17/24", 1, {"01/01/2024","01/15/2024","02/19/2024","05/27/2024","07/04/2024","09/02/2024","10/14/2024","11/11/2024","11/28/2024","12/25/2024","12/25/2024","12/26/2024","12/27/2024","12/28/2024","12/29/2024","12/30/2024","31/25/2024","01/01/2024","01/02/2024","01/03/2024","01/04/2024","01/05/2024"}))</f>
        <v>#VALUE!</v>
      </c>
      <c r="AI785" s="1" t="e">
        <f>ABS(NETWORKDAYS.INTL("7/29/2024", "06/25/24", 1, {"01/01/2024","01/15/2024","02/19/2024","05/27/2024","07/04/2024","09/02/2024","10/14/2024","11/11/2024","11/28/2024","12/25/2024","12/25/2024","12/26/2024","12/27/2024","12/28/2024","12/29/2024","12/30/2024","31/25/2024","01/01/2024","01/02/2024","01/03/2024","01/04/2024","01/05/2024"}))</f>
        <v>#VALUE!</v>
      </c>
      <c r="AJ785" s="1" t="b">
        <v>1</v>
      </c>
      <c r="AK785" s="1"/>
      <c r="AL785" s="1"/>
      <c r="AM785" s="1"/>
      <c r="AN785" s="1"/>
      <c r="AO785" s="1"/>
      <c r="AP785" s="1" t="b">
        <v>1</v>
      </c>
      <c r="AQ785" s="1"/>
      <c r="AR785" s="1"/>
      <c r="AS785" s="1"/>
      <c r="AT785" s="1"/>
      <c r="AU785" s="1"/>
      <c r="AV785" s="1"/>
      <c r="AW785" s="1"/>
      <c r="AX785" s="1"/>
      <c r="AY785" s="1"/>
      <c r="AZ785" s="1" t="b">
        <v>1</v>
      </c>
    </row>
    <row r="786" spans="1:52" ht="15" customHeight="1" x14ac:dyDescent="0.35">
      <c r="A786" s="1" t="s">
        <v>2560</v>
      </c>
      <c r="B786" s="1" t="s">
        <v>2561</v>
      </c>
      <c r="C786" s="1" t="s">
        <v>988</v>
      </c>
      <c r="D786" s="1" t="s">
        <v>1725</v>
      </c>
      <c r="E786" s="1" t="s">
        <v>1983</v>
      </c>
      <c r="F786" s="9" t="s">
        <v>2562</v>
      </c>
      <c r="G786" s="1" t="s">
        <v>38</v>
      </c>
      <c r="H78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6" s="11" t="e">
        <f>ABS(NETWORKDAYS.INTL("05/20/24", "05/22/24", 1, {"01/01/2024","01/15/2024","02/19/2024","05/27/2024","07/04/2024","09/02/2024","10/14/2024","11/11/2024","11/28/2024","12/25/2024","12/25/2024","12/26/2024","12/27/2024","12/28/2024","12/29/2024","12/30/2024","31/25/2024","01/01/2024","01/02/2024","01/03/2024","01/04/2024","01/05/2024"}))</f>
        <v>#VALUE!</v>
      </c>
      <c r="J786">
        <f>0</f>
        <v>0</v>
      </c>
      <c r="K786" s="1"/>
      <c r="L786" s="1">
        <v>1</v>
      </c>
      <c r="M786" s="1" t="e">
        <f>ABS(NETWORKDAYS.INTL("06/20/24", "06/20/24", 1, {"01/01/2024","01/15/2024","02/19/2024","05/27/2024","07/04/2024","09/02/2024","10/14/2024","11/11/2024","11/28/2024","12/25/2024","12/25/2024","12/26/2024","12/27/2024","12/28/2024","12/29/2024","12/30/2024","31/25/2024","01/01/2024","01/02/2024","01/03/2024","01/04/2024","01/05/2024"}))</f>
        <v>#VALUE!</v>
      </c>
      <c r="N786" s="1">
        <f>0</f>
        <v>0</v>
      </c>
      <c r="O786" s="1">
        <f>0</f>
        <v>0</v>
      </c>
      <c r="P786" s="1"/>
      <c r="Q786" s="1">
        <v>0</v>
      </c>
      <c r="R786" s="1">
        <v>0</v>
      </c>
      <c r="S786" s="1">
        <f>0</f>
        <v>0</v>
      </c>
      <c r="T786" s="1">
        <f>0</f>
        <v>0</v>
      </c>
      <c r="U786" s="1"/>
      <c r="V786" s="1">
        <v>1</v>
      </c>
      <c r="W786" s="1">
        <v>1</v>
      </c>
      <c r="X786" s="1" t="e">
        <f>ABS(NETWORKDAYS.INTL("06/20/24", "06/21/24", 1, {"01/01/2024","01/15/2024","02/19/2024","05/27/2024","07/04/2024","09/02/2024","10/14/2024","11/11/2024","11/28/2024","12/25/2024","12/25/2024","12/26/2024","12/27/2024","12/28/2024","12/29/2024","12/30/2024","31/25/2024","01/01/2024","01/02/2024","01/03/2024","01/04/2024","01/05/2024"}))</f>
        <v>#VALUE!</v>
      </c>
      <c r="Y786" s="1">
        <f>0</f>
        <v>0</v>
      </c>
      <c r="Z786" s="1">
        <f>0</f>
        <v>0</v>
      </c>
      <c r="AA786" s="1"/>
      <c r="AB786" s="5">
        <v>45474</v>
      </c>
      <c r="AC786" s="5">
        <v>45504</v>
      </c>
      <c r="AD786" s="1" t="e">
        <f>ABS(NETWORKDAYS.INTL("06/20/24", "05/22/24", 1, {"01/01/2024","01/15/2024","02/19/2024","05/27/2024","07/04/2024","09/02/2024","10/14/2024","11/11/2024","11/28/2024","12/25/2024","12/25/2024","12/26/2024","12/27/2024","12/28/2024","12/29/2024","12/30/2024","31/25/2024","01/01/2024","01/02/2024","01/03/2024","01/04/2024","01/05/2024"}))</f>
        <v>#VALUE!</v>
      </c>
      <c r="AE786" s="1">
        <f>0</f>
        <v>0</v>
      </c>
      <c r="AF786" s="1">
        <f>0</f>
        <v>0</v>
      </c>
      <c r="AG786" s="1" t="e">
        <f>ABS(NETWORKDAYS.INTL("06/20/24", "08/05/24", 1, {"01/01/2024","01/15/2024","02/19/2024","05/27/2024","07/04/2024","09/02/2024","10/14/2024","11/11/2024","11/28/2024","12/25/2024","12/25/2024","12/26/2024","12/27/2024","12/28/2024","12/29/2024","12/30/2024","31/25/2024","01/01/2024","01/02/2024","01/03/2024","01/04/2024","01/05/2024"}))</f>
        <v>#VALUE!</v>
      </c>
      <c r="AH786" s="1" t="e">
        <f>ABS(NETWORKDAYS.INTL("06/20/24", "06/20/24", 1, {"01/01/2024","01/15/2024","02/19/2024","05/27/2024","07/04/2024","09/02/2024","10/14/2024","11/11/2024","11/28/2024","12/25/2024","12/25/2024","12/26/2024","12/27/2024","12/28/2024","12/29/2024","12/30/2024","31/25/2024","01/01/2024","01/02/2024","01/03/2024","01/04/2024","01/05/2024"}))</f>
        <v>#VALUE!</v>
      </c>
      <c r="AI786" s="1" t="e">
        <f>ABS(NETWORKDAYS.INTL("07/31/2024", "07/01/24", 1, {"01/01/2024","01/15/2024","02/19/2024","05/27/2024","07/04/2024","09/02/2024","10/14/2024","11/11/2024","11/28/2024","12/25/2024","12/25/2024","12/26/2024","12/27/2024","12/28/2024","12/29/2024","12/30/2024","31/25/2024","01/01/2024","01/02/2024","01/03/2024","01/04/2024","01/05/2024"}))</f>
        <v>#VALUE!</v>
      </c>
      <c r="AJ786" s="1" t="b">
        <v>1</v>
      </c>
      <c r="AK786" s="1"/>
      <c r="AL786" s="1"/>
      <c r="AM786" s="1"/>
      <c r="AN786" s="1"/>
      <c r="AO786" s="1"/>
      <c r="AP786" s="1" t="b">
        <v>1</v>
      </c>
      <c r="AQ786" s="1"/>
      <c r="AR786" s="1"/>
      <c r="AS786" s="1"/>
      <c r="AT786" s="1"/>
      <c r="AU786" s="1"/>
      <c r="AV786" s="1"/>
      <c r="AW786" s="1"/>
      <c r="AX786" s="1"/>
      <c r="AY786" s="1"/>
      <c r="AZ786" s="1" t="b">
        <v>1</v>
      </c>
    </row>
    <row r="787" spans="1:52" ht="15" customHeight="1" x14ac:dyDescent="0.35">
      <c r="A787" s="1" t="s">
        <v>2563</v>
      </c>
      <c r="B787" s="1" t="s">
        <v>2564</v>
      </c>
      <c r="C787" s="1" t="s">
        <v>1157</v>
      </c>
      <c r="D787" s="1" t="s">
        <v>2084</v>
      </c>
      <c r="E787" s="1" t="s">
        <v>1983</v>
      </c>
      <c r="F787" s="9" t="s">
        <v>2565</v>
      </c>
      <c r="G787" s="1" t="s">
        <v>38</v>
      </c>
      <c r="H78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7" s="11" t="e">
        <f>ABS(NETWORKDAYS.INTL("05/31/24", "05/31/24", 1, {"01/01/2024","01/15/2024","02/19/2024","05/27/2024","07/04/2024","09/02/2024","10/14/2024","11/11/2024","11/28/2024","12/25/2024","12/25/2024","12/26/2024","12/27/2024","12/28/2024","12/29/2024","12/30/2024","31/25/2024","01/01/2024","01/02/2024","01/03/2024","01/04/2024","01/05/2024"}))</f>
        <v>#VALUE!</v>
      </c>
      <c r="J787">
        <f>0</f>
        <v>0</v>
      </c>
      <c r="K787" s="1"/>
      <c r="L787" s="1">
        <v>1</v>
      </c>
      <c r="M787" s="1" t="e">
        <f>ABS(NETWORKDAYS.INTL("06/18/24", "06/18/24", 1, {"01/01/2024","01/15/2024","02/19/2024","05/27/2024","07/04/2024","09/02/2024","10/14/2024","11/11/2024","11/28/2024","12/25/2024","12/25/2024","12/26/2024","12/27/2024","12/28/2024","12/29/2024","12/30/2024","31/25/2024","01/01/2024","01/02/2024","01/03/2024","01/04/2024","01/05/2024"}))</f>
        <v>#VALUE!</v>
      </c>
      <c r="N787" s="1">
        <f>0</f>
        <v>0</v>
      </c>
      <c r="O787" s="1">
        <f>0</f>
        <v>0</v>
      </c>
      <c r="P787" s="1"/>
      <c r="Q787" s="1">
        <v>0</v>
      </c>
      <c r="R787" s="1">
        <v>0</v>
      </c>
      <c r="S787" s="1">
        <f>0</f>
        <v>0</v>
      </c>
      <c r="T787" s="1">
        <f>0</f>
        <v>0</v>
      </c>
      <c r="U787" s="1"/>
      <c r="V787" s="1">
        <v>1</v>
      </c>
      <c r="W787" s="1">
        <v>1</v>
      </c>
      <c r="X787" s="1" t="e">
        <f>ABS(NETWORKDAYS.INTL("06/18/24", "06/19/24", 1, {"01/01/2024","01/15/2024","02/19/2024","05/27/2024","07/04/2024","09/02/2024","10/14/2024","11/11/2024","11/28/2024","12/25/2024","12/25/2024","12/26/2024","12/27/2024","12/28/2024","12/29/2024","12/30/2024","31/25/2024","01/01/2024","01/02/2024","01/03/2024","01/04/2024","01/05/2024"}))</f>
        <v>#VALUE!</v>
      </c>
      <c r="Y787" s="1">
        <f>0</f>
        <v>0</v>
      </c>
      <c r="Z787" s="1">
        <f>0</f>
        <v>0</v>
      </c>
      <c r="AA787" s="1"/>
      <c r="AB787" s="5">
        <v>45469</v>
      </c>
      <c r="AC787" s="1"/>
      <c r="AD787" s="1" t="e">
        <f>ABS(NETWORKDAYS.INTL("06/18/24", "05/31/24", 1, {"01/01/2024","01/15/2024","02/19/2024","05/27/2024","07/04/2024","09/02/2024","10/14/2024","11/11/2024","11/28/2024","12/25/2024","12/25/2024","12/26/2024","12/27/2024","12/28/2024","12/29/2024","12/30/2024","31/25/2024","01/01/2024","01/02/2024","01/03/2024","01/04/2024","01/05/2024"}))</f>
        <v>#VALUE!</v>
      </c>
      <c r="AE787" s="1">
        <f>0</f>
        <v>0</v>
      </c>
      <c r="AF787" s="1">
        <f>0</f>
        <v>0</v>
      </c>
      <c r="AG787" s="1" t="e">
        <f>ABS(NETWORKDAYS.INTL("06/18/24", "08/05/24", 1, {"01/01/2024","01/15/2024","02/19/2024","05/27/2024","07/04/2024","09/02/2024","10/14/2024","11/11/2024","11/28/2024","12/25/2024","12/25/2024","12/26/2024","12/27/2024","12/28/2024","12/29/2024","12/30/2024","31/25/2024","01/01/2024","01/02/2024","01/03/2024","01/04/2024","01/05/2024"}))</f>
        <v>#VALUE!</v>
      </c>
      <c r="AH787" s="1" t="e">
        <f>ABS(NETWORKDAYS.INTL("06/18/24", "06/18/24", 1, {"01/01/2024","01/15/2024","02/19/2024","05/27/2024","07/04/2024","09/02/2024","10/14/2024","11/11/2024","11/28/2024","12/25/2024","12/25/2024","12/26/2024","12/27/2024","12/28/2024","12/29/2024","12/30/2024","31/25/2024","01/01/2024","01/02/2024","01/03/2024","01/04/2024","01/05/2024"}))</f>
        <v>#VALUE!</v>
      </c>
      <c r="AI787" s="1">
        <f>0</f>
        <v>0</v>
      </c>
      <c r="AJ787" s="1" t="b">
        <v>1</v>
      </c>
      <c r="AK787" s="1"/>
      <c r="AL787" s="1"/>
      <c r="AM787" s="1"/>
      <c r="AN787" s="1"/>
      <c r="AO787" s="1"/>
      <c r="AP787" s="1" t="b">
        <v>1</v>
      </c>
      <c r="AQ787" s="1"/>
      <c r="AR787" s="1"/>
      <c r="AS787" s="1"/>
      <c r="AT787" s="1"/>
      <c r="AU787" s="1"/>
      <c r="AV787" s="1"/>
      <c r="AW787" s="1"/>
      <c r="AX787" s="1"/>
      <c r="AY787" s="1"/>
      <c r="AZ787" s="1" t="b">
        <v>1</v>
      </c>
    </row>
    <row r="788" spans="1:52" ht="15" customHeight="1" x14ac:dyDescent="0.35">
      <c r="A788" s="1" t="s">
        <v>2566</v>
      </c>
      <c r="B788" s="1" t="s">
        <v>2567</v>
      </c>
      <c r="C788" s="1" t="s">
        <v>988</v>
      </c>
      <c r="D788" s="1" t="s">
        <v>2091</v>
      </c>
      <c r="E788" s="1" t="s">
        <v>1983</v>
      </c>
      <c r="F788" s="9" t="s">
        <v>2568</v>
      </c>
      <c r="G788" s="1" t="s">
        <v>38</v>
      </c>
      <c r="H78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88" s="11" t="e">
        <f>ABS(NETWORKDAYS.INTL("05/30/24", "05/30/24", 1, {"01/01/2024","01/15/2024","02/19/2024","05/27/2024","07/04/2024","09/02/2024","10/14/2024","11/11/2024","11/28/2024","12/25/2024","12/25/2024","12/26/2024","12/27/2024","12/28/2024","12/29/2024","12/30/2024","31/25/2024","01/01/2024","01/02/2024","01/03/2024","01/04/2024","01/05/2024"}))</f>
        <v>#VALUE!</v>
      </c>
      <c r="J788">
        <f>0</f>
        <v>0</v>
      </c>
      <c r="K788" s="1"/>
      <c r="L788" s="1">
        <v>1</v>
      </c>
      <c r="M788" s="1" t="e">
        <f>ABS(NETWORKDAYS.INTL("06/17/24", "06/17/24", 1, {"01/01/2024","01/15/2024","02/19/2024","05/27/2024","07/04/2024","09/02/2024","10/14/2024","11/11/2024","11/28/2024","12/25/2024","12/25/2024","12/26/2024","12/27/2024","12/28/2024","12/29/2024","12/30/2024","31/25/2024","01/01/2024","01/02/2024","01/03/2024","01/04/2024","01/05/2024"}))</f>
        <v>#VALUE!</v>
      </c>
      <c r="N788" s="1">
        <f>0</f>
        <v>0</v>
      </c>
      <c r="O788" s="1">
        <f>0</f>
        <v>0</v>
      </c>
      <c r="P788" s="1"/>
      <c r="Q788" s="1">
        <v>0</v>
      </c>
      <c r="R788" s="1">
        <v>0</v>
      </c>
      <c r="S788" s="1">
        <f>0</f>
        <v>0</v>
      </c>
      <c r="T788" s="1">
        <f>0</f>
        <v>0</v>
      </c>
      <c r="U788" s="1"/>
      <c r="V788" s="1">
        <v>1</v>
      </c>
      <c r="W788" s="1">
        <v>1</v>
      </c>
      <c r="X788" s="1" t="e">
        <f>ABS(NETWORKDAYS.INTL("06/17/24", "06/18/24", 1, {"01/01/2024","01/15/2024","02/19/2024","05/27/2024","07/04/2024","09/02/2024","10/14/2024","11/11/2024","11/28/2024","12/25/2024","12/25/2024","12/26/2024","12/27/2024","12/28/2024","12/29/2024","12/30/2024","31/25/2024","01/01/2024","01/02/2024","01/03/2024","01/04/2024","01/05/2024"}))</f>
        <v>#VALUE!</v>
      </c>
      <c r="Y788" s="1">
        <f>0</f>
        <v>0</v>
      </c>
      <c r="Z788" s="1">
        <f>0</f>
        <v>0</v>
      </c>
      <c r="AA788" s="1"/>
      <c r="AB788" s="5">
        <v>45468</v>
      </c>
      <c r="AC788" s="5">
        <v>45502</v>
      </c>
      <c r="AD788" s="1" t="e">
        <f>ABS(NETWORKDAYS.INTL("06/17/24", "05/30/24", 1, {"01/01/2024","01/15/2024","02/19/2024","05/27/2024","07/04/2024","09/02/2024","10/14/2024","11/11/2024","11/28/2024","12/25/2024","12/25/2024","12/26/2024","12/27/2024","12/28/2024","12/29/2024","12/30/2024","31/25/2024","01/01/2024","01/02/2024","01/03/2024","01/04/2024","01/05/2024"}))</f>
        <v>#VALUE!</v>
      </c>
      <c r="AE788" s="1">
        <f>0</f>
        <v>0</v>
      </c>
      <c r="AF788" s="1">
        <f>0</f>
        <v>0</v>
      </c>
      <c r="AG788" s="1" t="e">
        <f>ABS(NETWORKDAYS.INTL("06/17/24", "08/05/24", 1, {"01/01/2024","01/15/2024","02/19/2024","05/27/2024","07/04/2024","09/02/2024","10/14/2024","11/11/2024","11/28/2024","12/25/2024","12/25/2024","12/26/2024","12/27/2024","12/28/2024","12/29/2024","12/30/2024","31/25/2024","01/01/2024","01/02/2024","01/03/2024","01/04/2024","01/05/2024"}))</f>
        <v>#VALUE!</v>
      </c>
      <c r="AH788" s="1" t="e">
        <f>ABS(NETWORKDAYS.INTL("06/17/24", "06/17/24", 1, {"01/01/2024","01/15/2024","02/19/2024","05/27/2024","07/04/2024","09/02/2024","10/14/2024","11/11/2024","11/28/2024","12/25/2024","12/25/2024","12/26/2024","12/27/2024","12/28/2024","12/29/2024","12/30/2024","31/25/2024","01/01/2024","01/02/2024","01/03/2024","01/04/2024","01/05/2024"}))</f>
        <v>#VALUE!</v>
      </c>
      <c r="AI788" s="1" t="e">
        <f>ABS(NETWORKDAYS.INTL("7/29/2024", "06/25/24", 1, {"01/01/2024","01/15/2024","02/19/2024","05/27/2024","07/04/2024","09/02/2024","10/14/2024","11/11/2024","11/28/2024","12/25/2024","12/25/2024","12/26/2024","12/27/2024","12/28/2024","12/29/2024","12/30/2024","31/25/2024","01/01/2024","01/02/2024","01/03/2024","01/04/2024","01/05/2024"}))</f>
        <v>#VALUE!</v>
      </c>
      <c r="AJ788" s="1" t="b">
        <v>1</v>
      </c>
      <c r="AK788" s="1"/>
      <c r="AL788" s="1"/>
      <c r="AM788" s="1"/>
      <c r="AN788" s="1"/>
      <c r="AO788" s="1"/>
      <c r="AP788" s="1" t="b">
        <v>1</v>
      </c>
      <c r="AQ788" s="1"/>
      <c r="AR788" s="1"/>
      <c r="AS788" s="1"/>
      <c r="AT788" s="1"/>
      <c r="AU788" s="1"/>
      <c r="AV788" s="1"/>
      <c r="AW788" s="1"/>
      <c r="AX788" s="1"/>
      <c r="AY788" s="1"/>
      <c r="AZ788" s="1" t="b">
        <v>1</v>
      </c>
    </row>
    <row r="789" spans="1:52" ht="15" customHeight="1" x14ac:dyDescent="0.35">
      <c r="A789" s="1" t="s">
        <v>2569</v>
      </c>
      <c r="B789" s="1" t="s">
        <v>2570</v>
      </c>
      <c r="C789" s="1" t="s">
        <v>1157</v>
      </c>
      <c r="D789" s="1" t="s">
        <v>1738</v>
      </c>
      <c r="E789" s="1" t="s">
        <v>1983</v>
      </c>
      <c r="F789" s="9" t="s">
        <v>2571</v>
      </c>
      <c r="G789" s="1" t="s">
        <v>38</v>
      </c>
      <c r="H78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4. Lilly in progress methods</v>
      </c>
      <c r="I789" s="11" t="e">
        <f>ABS(NETWORKDAYS.INTL("05/29/24", "05/31/24", 1, {"01/01/2024","01/15/2024","02/19/2024","05/27/2024","07/04/2024","09/02/2024","10/14/2024","11/11/2024","11/28/2024","12/25/2024","12/25/2024","12/26/2024","12/27/2024","12/28/2024","12/29/2024","12/30/2024","31/25/2024","01/01/2024","01/02/2024","01/03/2024","01/04/2024","01/05/2024"}))</f>
        <v>#VALUE!</v>
      </c>
      <c r="J789">
        <f>0</f>
        <v>0</v>
      </c>
      <c r="K789" s="1"/>
      <c r="L789" s="1">
        <v>1</v>
      </c>
      <c r="M789" s="1" t="e">
        <f>ABS(NETWORKDAYS.INTL("06/17/24", "06/17/24", 1, {"01/01/2024","01/15/2024","02/19/2024","05/27/2024","07/04/2024","09/02/2024","10/14/2024","11/11/2024","11/28/2024","12/25/2024","12/25/2024","12/26/2024","12/27/2024","12/28/2024","12/29/2024","12/30/2024","31/25/2024","01/01/2024","01/02/2024","01/03/2024","01/04/2024","01/05/2024"}))</f>
        <v>#VALUE!</v>
      </c>
      <c r="N789" s="1">
        <f>0</f>
        <v>0</v>
      </c>
      <c r="O789" s="1">
        <f>0</f>
        <v>0</v>
      </c>
      <c r="P789" s="1"/>
      <c r="Q789" s="1">
        <v>0</v>
      </c>
      <c r="R789" s="1">
        <v>0</v>
      </c>
      <c r="S789" s="1">
        <f>0</f>
        <v>0</v>
      </c>
      <c r="T789" s="1">
        <f>0</f>
        <v>0</v>
      </c>
      <c r="U789" s="1"/>
      <c r="V789" s="1">
        <v>1</v>
      </c>
      <c r="W789" s="1">
        <v>1</v>
      </c>
      <c r="X789" s="1" t="e">
        <f>ABS(NETWORKDAYS.INTL("06/17/24", "06/18/24", 1, {"01/01/2024","01/15/2024","02/19/2024","05/27/2024","07/04/2024","09/02/2024","10/14/2024","11/11/2024","11/28/2024","12/25/2024","12/25/2024","12/26/2024","12/27/2024","12/28/2024","12/29/2024","12/30/2024","31/25/2024","01/01/2024","01/02/2024","01/03/2024","01/04/2024","01/05/2024"}))</f>
        <v>#VALUE!</v>
      </c>
      <c r="Y789" s="1">
        <f>0</f>
        <v>0</v>
      </c>
      <c r="Z789" s="1">
        <f>0</f>
        <v>0</v>
      </c>
      <c r="AA789" s="1"/>
      <c r="AB789" s="5">
        <v>45468</v>
      </c>
      <c r="AC789" s="1"/>
      <c r="AD789" s="1" t="e">
        <f>ABS(NETWORKDAYS.INTL("06/17/24", "05/31/24", 1, {"01/01/2024","01/15/2024","02/19/2024","05/27/2024","07/04/2024","09/02/2024","10/14/2024","11/11/2024","11/28/2024","12/25/2024","12/25/2024","12/26/2024","12/27/2024","12/28/2024","12/29/2024","12/30/2024","31/25/2024","01/01/2024","01/02/2024","01/03/2024","01/04/2024","01/05/2024"}))</f>
        <v>#VALUE!</v>
      </c>
      <c r="AE789" s="1">
        <f>0</f>
        <v>0</v>
      </c>
      <c r="AF789" s="1">
        <f>0</f>
        <v>0</v>
      </c>
      <c r="AG789" s="1" t="e">
        <f>ABS(NETWORKDAYS.INTL("06/17/24", "08/05/24", 1, {"01/01/2024","01/15/2024","02/19/2024","05/27/2024","07/04/2024","09/02/2024","10/14/2024","11/11/2024","11/28/2024","12/25/2024","12/25/2024","12/26/2024","12/27/2024","12/28/2024","12/29/2024","12/30/2024","31/25/2024","01/01/2024","01/02/2024","01/03/2024","01/04/2024","01/05/2024"}))</f>
        <v>#VALUE!</v>
      </c>
      <c r="AH789" s="1" t="e">
        <f>ABS(NETWORKDAYS.INTL("06/17/24", "06/17/24", 1, {"01/01/2024","01/15/2024","02/19/2024","05/27/2024","07/04/2024","09/02/2024","10/14/2024","11/11/2024","11/28/2024","12/25/2024","12/25/2024","12/26/2024","12/27/2024","12/28/2024","12/29/2024","12/30/2024","31/25/2024","01/01/2024","01/02/2024","01/03/2024","01/04/2024","01/05/2024"}))</f>
        <v>#VALUE!</v>
      </c>
      <c r="AI789" s="1">
        <f>0</f>
        <v>0</v>
      </c>
      <c r="AJ789" s="1" t="b">
        <v>1</v>
      </c>
      <c r="AK789" s="1"/>
      <c r="AL789" s="1"/>
      <c r="AM789" s="1"/>
      <c r="AN789" s="1"/>
      <c r="AO789" s="1"/>
      <c r="AP789" s="1" t="b">
        <v>1</v>
      </c>
      <c r="AQ789" s="1"/>
      <c r="AR789" s="1"/>
      <c r="AS789" s="1"/>
      <c r="AT789" s="1"/>
      <c r="AU789" s="1"/>
      <c r="AV789" s="1"/>
      <c r="AW789" s="1"/>
      <c r="AX789" s="1"/>
      <c r="AY789" s="1"/>
      <c r="AZ789" s="1" t="b">
        <v>1</v>
      </c>
    </row>
    <row r="790" spans="1:52" ht="15" customHeight="1" x14ac:dyDescent="0.35">
      <c r="A790" s="1" t="s">
        <v>2572</v>
      </c>
      <c r="B790" s="1" t="s">
        <v>2573</v>
      </c>
      <c r="C790" s="1" t="s">
        <v>988</v>
      </c>
      <c r="D790" s="1" t="s">
        <v>1738</v>
      </c>
      <c r="E790" s="1" t="s">
        <v>2003</v>
      </c>
      <c r="F790" s="9" t="s">
        <v>2574</v>
      </c>
      <c r="G790" s="1" t="s">
        <v>38</v>
      </c>
      <c r="H79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0" s="11" t="e">
        <f>ABS(NETWORKDAYS.INTL("05/15/24", "05/22/24", 1, {"01/01/2024","01/15/2024","02/19/2024","05/27/2024","07/04/2024","09/02/2024","10/14/2024","11/11/2024","11/28/2024","12/25/2024","12/25/2024","12/26/2024","12/27/2024","12/28/2024","12/29/2024","12/30/2024","31/25/2024","01/01/2024","01/02/2024","01/03/2024","01/04/2024","01/05/2024"}))</f>
        <v>#VALUE!</v>
      </c>
      <c r="J790">
        <f>0</f>
        <v>0</v>
      </c>
      <c r="K790" s="1"/>
      <c r="L790" s="1">
        <v>1</v>
      </c>
      <c r="M790" s="1" t="e">
        <f>ABS(NETWORKDAYS.INTL("06/12/24", "06/12/24", 1, {"01/01/2024","01/15/2024","02/19/2024","05/27/2024","07/04/2024","09/02/2024","10/14/2024","11/11/2024","11/28/2024","12/25/2024","12/25/2024","12/26/2024","12/27/2024","12/28/2024","12/29/2024","12/30/2024","31/25/2024","01/01/2024","01/02/2024","01/03/2024","01/04/2024","01/05/2024"}))</f>
        <v>#VALUE!</v>
      </c>
      <c r="N790" s="1">
        <f>0</f>
        <v>0</v>
      </c>
      <c r="O790" s="1">
        <f>0</f>
        <v>0</v>
      </c>
      <c r="P790" s="1"/>
      <c r="Q790" s="1">
        <v>0</v>
      </c>
      <c r="R790" s="1">
        <v>0</v>
      </c>
      <c r="S790" s="1">
        <f>0</f>
        <v>0</v>
      </c>
      <c r="T790" s="1">
        <f>0</f>
        <v>0</v>
      </c>
      <c r="U790" s="1"/>
      <c r="V790" s="1">
        <v>1</v>
      </c>
      <c r="W790" s="1">
        <v>2</v>
      </c>
      <c r="X790" s="1" t="e">
        <f>ABS(NETWORKDAYS.INTL("06/13/24", "06/13/24", 1, {"01/01/2024","01/15/2024","02/19/2024","05/27/2024","07/04/2024","09/02/2024","10/14/2024","11/11/2024","11/28/2024","12/25/2024","12/25/2024","12/26/2024","12/27/2024","12/28/2024","12/29/2024","12/30/2024","31/25/2024","01/01/2024","01/02/2024","01/03/2024","01/04/2024","01/05/2024"})+NETWORKDAYS.INTL("06/14/24", "06/14/24", 1, {"01/01/2024","01/15/2024","02/19/2024","05/27/2024","07/04/2024","09/02/2024","10/14/2024","11/11/2024","11/28/2024","12/25/2024","12/25/2024","12/26/2024","12/27/2024","12/28/2024","12/29/2024","12/30/2024","31/25/2024","01/01/2024","01/02/2024","01/03/2024","01/04/2024","01/05/2024"}))</f>
        <v>#VALUE!</v>
      </c>
      <c r="Y790" s="1" t="e">
        <f>ABS(NETWORKDAYS.INTL("06/14/24", "06/14/24", 1, {"01/01/2024","01/15/2024","02/19/2024","05/27/2024","07/04/2024","09/02/2024","10/14/2024","11/11/2024","11/28/2024","12/25/2024","12/25/2024","12/26/2024","12/27/2024","12/28/2024","12/29/2024","12/30/2024","31/25/2024","01/01/2024","01/02/2024","01/03/2024","01/04/2024","01/05/2024"}))</f>
        <v>#VALUE!</v>
      </c>
      <c r="Z790" s="1">
        <f>0</f>
        <v>0</v>
      </c>
      <c r="AA790" s="1"/>
      <c r="AB790" s="5">
        <v>45457</v>
      </c>
      <c r="AC790" s="5">
        <v>45503</v>
      </c>
      <c r="AD790" s="1" t="e">
        <f>ABS(NETWORKDAYS.INTL("06/12/24", "05/22/24", 1, {"01/01/2024","01/15/2024","02/19/2024","05/27/2024","07/04/2024","09/02/2024","10/14/2024","11/11/2024","11/28/2024","12/25/2024","12/25/2024","12/26/2024","12/27/2024","12/28/2024","12/29/2024","12/30/2024","31/25/2024","01/01/2024","01/02/2024","01/03/2024","01/04/2024","01/05/2024"}))</f>
        <v>#VALUE!</v>
      </c>
      <c r="AE790" s="1">
        <f>0</f>
        <v>0</v>
      </c>
      <c r="AF790" s="1">
        <f>0</f>
        <v>0</v>
      </c>
      <c r="AG790" s="1" t="e">
        <f>ABS(NETWORKDAYS.INTL("06/12/24", "08/05/24", 1, {"01/01/2024","01/15/2024","02/19/2024","05/27/2024","07/04/2024","09/02/2024","10/14/2024","11/11/2024","11/28/2024","12/25/2024","12/25/2024","12/26/2024","12/27/2024","12/28/2024","12/29/2024","12/30/2024","31/25/2024","01/01/2024","01/02/2024","01/03/2024","01/04/2024","01/05/2024"}))</f>
        <v>#VALUE!</v>
      </c>
      <c r="AH790" s="1" t="e">
        <f>ABS(NETWORKDAYS.INTL("06/13/24", "06/12/24", 1, {"01/01/2024","01/15/2024","02/19/2024","05/27/2024","07/04/2024","09/02/2024","10/14/2024","11/11/2024","11/28/2024","12/25/2024","12/25/2024","12/26/2024","12/27/2024","12/28/2024","12/29/2024","12/30/2024","31/25/2024","01/01/2024","01/02/2024","01/03/2024","01/04/2024","01/05/2024"}))</f>
        <v>#VALUE!</v>
      </c>
      <c r="AI790" s="1" t="e">
        <f>ABS(NETWORKDAYS.INTL("07/30/2024", "06/14/24", 1, {"01/01/2024","01/15/2024","02/19/2024","05/27/2024","07/04/2024","09/02/2024","10/14/2024","11/11/2024","11/28/2024","12/25/2024","12/25/2024","12/26/2024","12/27/2024","12/28/2024","12/29/2024","12/30/2024","31/25/2024","01/01/2024","01/02/2024","01/03/2024","01/04/2024","01/05/2024"}))</f>
        <v>#VALUE!</v>
      </c>
      <c r="AJ790" s="1" t="b">
        <v>1</v>
      </c>
      <c r="AK790" s="1"/>
      <c r="AL790" s="1"/>
      <c r="AM790" s="1"/>
      <c r="AN790" s="1"/>
      <c r="AO790" s="1"/>
      <c r="AP790" s="1" t="b">
        <v>1</v>
      </c>
      <c r="AQ790" s="1"/>
      <c r="AR790" s="1"/>
      <c r="AS790" s="1"/>
      <c r="AT790" s="1"/>
      <c r="AU790" s="1"/>
      <c r="AV790" s="1"/>
      <c r="AW790" s="1"/>
      <c r="AX790" s="1"/>
      <c r="AY790" s="1"/>
      <c r="AZ790" s="1" t="b">
        <v>1</v>
      </c>
    </row>
    <row r="791" spans="1:52" ht="15" customHeight="1" x14ac:dyDescent="0.35">
      <c r="A791" s="1" t="s">
        <v>2575</v>
      </c>
      <c r="B791" s="1" t="s">
        <v>2576</v>
      </c>
      <c r="C791" s="1" t="s">
        <v>988</v>
      </c>
      <c r="D791" s="1" t="s">
        <v>2577</v>
      </c>
      <c r="E791" s="1" t="s">
        <v>1983</v>
      </c>
      <c r="F791" s="9" t="s">
        <v>2578</v>
      </c>
      <c r="G791" s="1" t="s">
        <v>38</v>
      </c>
      <c r="H79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1" s="11" t="e">
        <f>ABS(NETWORKDAYS.INTL("06/10/24", "06/10/24", 1, {"01/01/2024","01/15/2024","02/19/2024","05/27/2024","07/04/2024","09/02/2024","10/14/2024","11/11/2024","11/28/2024","12/25/2024","12/25/2024","12/26/2024","12/27/2024","12/28/2024","12/29/2024","12/30/2024","31/25/2024","01/01/2024","01/02/2024","01/03/2024","01/04/2024","01/05/2024"}))</f>
        <v>#VALUE!</v>
      </c>
      <c r="J791">
        <f>0</f>
        <v>0</v>
      </c>
      <c r="K791" s="1"/>
      <c r="L791" s="1">
        <v>1</v>
      </c>
      <c r="M791" s="1" t="e">
        <f>ABS(NETWORKDAYS.INTL("06/13/24", "06/13/24", 1, {"01/01/2024","01/15/2024","02/19/2024","05/27/2024","07/04/2024","09/02/2024","10/14/2024","11/11/2024","11/28/2024","12/25/2024","12/25/2024","12/26/2024","12/27/2024","12/28/2024","12/29/2024","12/30/2024","31/25/2024","01/01/2024","01/02/2024","01/03/2024","01/04/2024","01/05/2024"}))</f>
        <v>#VALUE!</v>
      </c>
      <c r="N791" s="1">
        <f>0</f>
        <v>0</v>
      </c>
      <c r="O791" s="1">
        <f>0</f>
        <v>0</v>
      </c>
      <c r="P791" s="1"/>
      <c r="Q791" s="1">
        <v>0</v>
      </c>
      <c r="R791" s="1">
        <v>0</v>
      </c>
      <c r="S791" s="1">
        <f>0</f>
        <v>0</v>
      </c>
      <c r="T791" s="1">
        <f>0</f>
        <v>0</v>
      </c>
      <c r="U791" s="1"/>
      <c r="V791" s="1">
        <v>1</v>
      </c>
      <c r="W791" s="1">
        <v>1</v>
      </c>
      <c r="X791" s="1" t="e">
        <f>ABS(NETWORKDAYS.INTL("06/13/24", "06/14/24", 1, {"01/01/2024","01/15/2024","02/19/2024","05/27/2024","07/04/2024","09/02/2024","10/14/2024","11/11/2024","11/28/2024","12/25/2024","12/25/2024","12/26/2024","12/27/2024","12/28/2024","12/29/2024","12/30/2024","31/25/2024","01/01/2024","01/02/2024","01/03/2024","01/04/2024","01/05/2024"}))</f>
        <v>#VALUE!</v>
      </c>
      <c r="Y791" s="1" t="e">
        <f>ABS(NETWORKDAYS.INTL("06/14/24", "06/14/24", 1, {"01/01/2024","01/15/2024","02/19/2024","05/27/2024","07/04/2024","09/02/2024","10/14/2024","11/11/2024","11/28/2024","12/25/2024","12/25/2024","12/26/2024","12/27/2024","12/28/2024","12/29/2024","12/30/2024","31/25/2024","01/01/2024","01/02/2024","01/03/2024","01/04/2024","01/05/2024"}))</f>
        <v>#VALUE!</v>
      </c>
      <c r="Z791" s="1">
        <f>0</f>
        <v>0</v>
      </c>
      <c r="AA791" s="1"/>
      <c r="AB791" s="5">
        <v>45457</v>
      </c>
      <c r="AC791" s="5">
        <v>45503</v>
      </c>
      <c r="AD791" s="1" t="e">
        <f>ABS(NETWORKDAYS.INTL("06/13/24", "06/10/24", 1, {"01/01/2024","01/15/2024","02/19/2024","05/27/2024","07/04/2024","09/02/2024","10/14/2024","11/11/2024","11/28/2024","12/25/2024","12/25/2024","12/26/2024","12/27/2024","12/28/2024","12/29/2024","12/30/2024","31/25/2024","01/01/2024","01/02/2024","01/03/2024","01/04/2024","01/05/2024"}))</f>
        <v>#VALUE!</v>
      </c>
      <c r="AE791" s="1">
        <f>0</f>
        <v>0</v>
      </c>
      <c r="AF791" s="1">
        <f>0</f>
        <v>0</v>
      </c>
      <c r="AG791" s="1" t="e">
        <f>ABS(NETWORKDAYS.INTL("06/13/24", "08/05/24", 1, {"01/01/2024","01/15/2024","02/19/2024","05/27/2024","07/04/2024","09/02/2024","10/14/2024","11/11/2024","11/28/2024","12/25/2024","12/25/2024","12/26/2024","12/27/2024","12/28/2024","12/29/2024","12/30/2024","31/25/2024","01/01/2024","01/02/2024","01/03/2024","01/04/2024","01/05/2024"}))</f>
        <v>#VALUE!</v>
      </c>
      <c r="AH791" s="1" t="e">
        <f>ABS(NETWORKDAYS.INTL("06/13/24", "06/13/24", 1, {"01/01/2024","01/15/2024","02/19/2024","05/27/2024","07/04/2024","09/02/2024","10/14/2024","11/11/2024","11/28/2024","12/25/2024","12/25/2024","12/26/2024","12/27/2024","12/28/2024","12/29/2024","12/30/2024","31/25/2024","01/01/2024","01/02/2024","01/03/2024","01/04/2024","01/05/2024"}))</f>
        <v>#VALUE!</v>
      </c>
      <c r="AI791" s="1" t="e">
        <f>ABS(NETWORKDAYS.INTL("7/30/2024", "06/14/24", 1, {"01/01/2024","01/15/2024","02/19/2024","05/27/2024","07/04/2024","09/02/2024","10/14/2024","11/11/2024","11/28/2024","12/25/2024","12/25/2024","12/26/2024","12/27/2024","12/28/2024","12/29/2024","12/30/2024","31/25/2024","01/01/2024","01/02/2024","01/03/2024","01/04/2024","01/05/2024"}))</f>
        <v>#VALUE!</v>
      </c>
      <c r="AJ791" s="1" t="b">
        <v>1</v>
      </c>
      <c r="AK791" s="1"/>
      <c r="AL791" s="1"/>
      <c r="AM791" s="1"/>
      <c r="AN791" s="1"/>
      <c r="AO791" s="1"/>
      <c r="AP791" s="1" t="b">
        <v>1</v>
      </c>
      <c r="AQ791" s="1"/>
      <c r="AR791" s="1"/>
      <c r="AS791" s="1"/>
      <c r="AT791" s="1"/>
      <c r="AU791" s="1"/>
      <c r="AV791" s="1"/>
      <c r="AW791" s="1"/>
      <c r="AX791" s="1"/>
      <c r="AY791" s="1"/>
      <c r="AZ791" s="1" t="b">
        <v>1</v>
      </c>
    </row>
    <row r="792" spans="1:52" ht="15" customHeight="1" x14ac:dyDescent="0.35">
      <c r="A792" s="1" t="s">
        <v>2579</v>
      </c>
      <c r="B792" s="1" t="s">
        <v>2580</v>
      </c>
      <c r="C792" s="1" t="s">
        <v>988</v>
      </c>
      <c r="D792" s="1" t="s">
        <v>2551</v>
      </c>
      <c r="E792" s="1" t="s">
        <v>2581</v>
      </c>
      <c r="F792" s="9" t="s">
        <v>2582</v>
      </c>
      <c r="G792" s="1" t="s">
        <v>38</v>
      </c>
      <c r="H79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792" s="11" t="e">
        <f>ABS(NETWORKDAYS.INTL("03/06/24", "05/22/24", 1, {"01/01/2024","01/15/2024","02/19/2024","05/27/2024","07/04/2024","09/02/2024","10/14/2024","11/11/2024","11/28/2024","12/25/2024","12/25/2024","12/26/2024","12/27/2024","12/28/2024","12/29/2024","12/30/2024","31/25/2024","01/01/2024","01/02/2024","01/03/2024","01/04/2024","01/05/2024"}))</f>
        <v>#VALUE!</v>
      </c>
      <c r="J792" t="e">
        <f>ABS(NETWORKDAYS.INTL("05/17/24", "05/21/24", 1, {"01/01/2024","01/15/2024","02/19/2024","05/27/2024","07/04/2024","09/02/2024","10/14/2024","11/11/2024","11/28/2024","12/25/2024","12/25/2024","12/26/2024","12/27/2024","12/28/2024","12/29/2024","12/30/2024","31/25/2024","01/01/2024","01/02/2024","01/03/2024","01/04/2024","01/05/2024"}))</f>
        <v>#VALUE!</v>
      </c>
      <c r="K792" s="1"/>
      <c r="L792" s="1">
        <v>1</v>
      </c>
      <c r="M792" s="1" t="e">
        <f>ABS(NETWORKDAYS.INTL("06/12/24", "06/12/24", 1, {"01/01/2024","01/15/2024","02/19/2024","05/27/2024","07/04/2024","09/02/2024","10/14/2024","11/11/2024","11/28/2024","12/25/2024","12/25/2024","12/26/2024","12/27/2024","12/28/2024","12/29/2024","12/30/2024","31/25/2024","01/01/2024","01/02/2024","01/03/2024","01/04/2024","01/05/2024"}))</f>
        <v>#VALUE!</v>
      </c>
      <c r="N792" s="1">
        <f>0</f>
        <v>0</v>
      </c>
      <c r="O792" s="1">
        <f>0</f>
        <v>0</v>
      </c>
      <c r="P792" s="1"/>
      <c r="Q792" s="1">
        <v>0</v>
      </c>
      <c r="R792" s="1">
        <v>0</v>
      </c>
      <c r="S792" s="1">
        <f>0</f>
        <v>0</v>
      </c>
      <c r="T792" s="1">
        <f>0</f>
        <v>0</v>
      </c>
      <c r="U792" s="1"/>
      <c r="V792" s="1">
        <v>2</v>
      </c>
      <c r="W792" s="1">
        <v>2</v>
      </c>
      <c r="X792" s="1" t="e">
        <f>ABS(NETWORKDAYS.INTL("06/12/24", "06/12/24", 1, {"01/01/2024","01/15/2024","02/19/2024","05/27/2024","07/04/2024","09/02/2024","10/14/2024","11/11/2024","11/28/2024","12/25/2024","12/25/2024","12/26/2024","12/27/2024","12/28/2024","12/29/2024","12/30/2024","31/25/2024","01/01/2024","01/02/2024","01/03/2024","01/04/2024","01/05/2024"})+NETWORKDAYS.INTL("06/14/24", "06/14/24", 1, {"01/01/2024","01/15/2024","02/19/2024","05/27/2024","07/04/2024","09/02/2024","10/14/2024","11/11/2024","11/28/2024","12/25/2024","12/25/2024","12/26/2024","12/27/2024","12/28/2024","12/29/2024","12/30/2024","31/25/2024","01/01/2024","01/02/2024","01/03/2024","01/04/2024","01/05/2024"}))</f>
        <v>#VALUE!</v>
      </c>
      <c r="Y792" s="1" t="e">
        <f>ABS(NETWORKDAYS.INTL("06/14/24", "06/14/24", 1, {"01/01/2024","01/15/2024","02/19/2024","05/27/2024","07/04/2024","09/02/2024","10/14/2024","11/11/2024","11/28/2024","12/25/2024","12/25/2024","12/26/2024","12/27/2024","12/28/2024","12/29/2024","12/30/2024","31/25/2024","01/01/2024","01/02/2024","01/03/2024","01/04/2024","01/05/2024"}))</f>
        <v>#VALUE!</v>
      </c>
      <c r="Z792" s="1">
        <f>0</f>
        <v>0</v>
      </c>
      <c r="AA792" s="1"/>
      <c r="AB792" s="5">
        <v>45457</v>
      </c>
      <c r="AC792" s="5">
        <v>45502</v>
      </c>
      <c r="AD792" s="1" t="e">
        <f>ABS(NETWORKDAYS.INTL("06/12/24", "05/22/24", 1, {"01/01/2024","01/15/2024","02/19/2024","05/27/2024","07/04/2024","09/02/2024","10/14/2024","11/11/2024","11/28/2024","12/25/2024","12/25/2024","12/26/2024","12/27/2024","12/28/2024","12/29/2024","12/30/2024","31/25/2024","01/01/2024","01/02/2024","01/03/2024","01/04/2024","01/05/2024"}))</f>
        <v>#VALUE!</v>
      </c>
      <c r="AE792" s="1">
        <f>0</f>
        <v>0</v>
      </c>
      <c r="AF792" s="1">
        <f>0</f>
        <v>0</v>
      </c>
      <c r="AG792" s="1" t="e">
        <f>ABS(NETWORKDAYS.INTL("06/12/24", "08/05/24", 1, {"01/01/2024","01/15/2024","02/19/2024","05/27/2024","07/04/2024","09/02/2024","10/14/2024","11/11/2024","11/28/2024","12/25/2024","12/25/2024","12/26/2024","12/27/2024","12/28/2024","12/29/2024","12/30/2024","31/25/2024","01/01/2024","01/02/2024","01/03/2024","01/04/2024","01/05/2024"}))</f>
        <v>#VALUE!</v>
      </c>
      <c r="AH792" s="1" t="e">
        <f>ABS(NETWORKDAYS.INTL("06/12/24", "06/12/24", 1, {"01/01/2024","01/15/2024","02/19/2024","05/27/2024","07/04/2024","09/02/2024","10/14/2024","11/11/2024","11/28/2024","12/25/2024","12/25/2024","12/26/2024","12/27/2024","12/28/2024","12/29/2024","12/30/2024","31/25/2024","01/01/2024","01/02/2024","01/03/2024","01/04/2024","01/05/2024"}))</f>
        <v>#VALUE!</v>
      </c>
      <c r="AI792" s="1" t="e">
        <f>ABS(NETWORKDAYS.INTL("7/29/2024", "06/14/24", 1, {"01/01/2024","01/15/2024","02/19/2024","05/27/2024","07/04/2024","09/02/2024","10/14/2024","11/11/2024","11/28/2024","12/25/2024","12/25/2024","12/26/2024","12/27/2024","12/28/2024","12/29/2024","12/30/2024","31/25/2024","01/01/2024","01/02/2024","01/03/2024","01/04/2024","01/05/2024"}))</f>
        <v>#VALUE!</v>
      </c>
      <c r="AJ792" s="1" t="b">
        <v>1</v>
      </c>
      <c r="AK792" s="1"/>
      <c r="AL792" s="1"/>
      <c r="AM792" s="1"/>
      <c r="AN792" s="1"/>
      <c r="AO792" s="1"/>
      <c r="AP792" s="1"/>
      <c r="AQ792" s="1"/>
      <c r="AR792" s="1"/>
      <c r="AS792" s="1"/>
      <c r="AT792" s="1"/>
      <c r="AU792" s="1" t="b">
        <v>1</v>
      </c>
      <c r="AV792" s="1"/>
      <c r="AW792" s="1"/>
      <c r="AX792" s="1"/>
      <c r="AY792" s="1"/>
      <c r="AZ792" s="1" t="b">
        <v>1</v>
      </c>
    </row>
    <row r="793" spans="1:52" ht="15" customHeight="1" x14ac:dyDescent="0.35">
      <c r="A793" s="1" t="s">
        <v>2583</v>
      </c>
      <c r="B793" s="1" t="s">
        <v>2584</v>
      </c>
      <c r="C793" s="1" t="s">
        <v>680</v>
      </c>
      <c r="D793" s="1" t="s">
        <v>2182</v>
      </c>
      <c r="E793" s="1" t="s">
        <v>2585</v>
      </c>
      <c r="F793" s="9" t="s">
        <v>2586</v>
      </c>
      <c r="G793" s="1" t="s">
        <v>38</v>
      </c>
      <c r="H79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3" s="11">
        <f>0</f>
        <v>0</v>
      </c>
      <c r="J793">
        <f>0</f>
        <v>0</v>
      </c>
      <c r="K793" s="1"/>
      <c r="L793" s="1">
        <v>0</v>
      </c>
      <c r="M793" s="1">
        <f>0</f>
        <v>0</v>
      </c>
      <c r="N793" s="1">
        <f>0</f>
        <v>0</v>
      </c>
      <c r="O793" s="1">
        <f>0</f>
        <v>0</v>
      </c>
      <c r="P793" s="1"/>
      <c r="Q793" s="1">
        <v>0</v>
      </c>
      <c r="R793" s="1">
        <v>0</v>
      </c>
      <c r="S793" s="1">
        <f>0</f>
        <v>0</v>
      </c>
      <c r="T793" s="1">
        <f>0</f>
        <v>0</v>
      </c>
      <c r="U793" s="1"/>
      <c r="V793" s="1">
        <v>0</v>
      </c>
      <c r="W793" s="1">
        <v>0</v>
      </c>
      <c r="X793" s="1">
        <f>0</f>
        <v>0</v>
      </c>
      <c r="Y793" s="1">
        <f>0</f>
        <v>0</v>
      </c>
      <c r="Z793" s="1">
        <f>0</f>
        <v>0</v>
      </c>
      <c r="AA793" s="1"/>
      <c r="AB793" s="5"/>
      <c r="AC793" s="1"/>
      <c r="AD793" s="1">
        <f>0</f>
        <v>0</v>
      </c>
      <c r="AE793" s="1">
        <f>0</f>
        <v>0</v>
      </c>
      <c r="AF793" s="1">
        <f>0</f>
        <v>0</v>
      </c>
      <c r="AG793" s="1">
        <f>0</f>
        <v>0</v>
      </c>
      <c r="AH793" s="1">
        <f>0</f>
        <v>0</v>
      </c>
      <c r="AI793" s="1">
        <f>0</f>
        <v>0</v>
      </c>
      <c r="AJ793" s="1" t="b">
        <v>1</v>
      </c>
      <c r="AK793" s="1"/>
      <c r="AL793" s="1"/>
      <c r="AM793" s="1"/>
      <c r="AN793" s="1"/>
      <c r="AO793" s="1"/>
      <c r="AP793" s="1"/>
      <c r="AQ793" s="1"/>
      <c r="AR793" s="1"/>
      <c r="AS793" s="1"/>
      <c r="AT793" s="1"/>
      <c r="AU793" s="1" t="b">
        <v>1</v>
      </c>
      <c r="AV793" s="1" t="b">
        <v>1</v>
      </c>
      <c r="AW793" s="1"/>
      <c r="AX793" s="1"/>
      <c r="AY793" s="1"/>
      <c r="AZ793" s="1" t="b">
        <v>1</v>
      </c>
    </row>
    <row r="794" spans="1:52" ht="15" customHeight="1" x14ac:dyDescent="0.35">
      <c r="A794" s="1" t="s">
        <v>2587</v>
      </c>
      <c r="B794" s="1" t="s">
        <v>2588</v>
      </c>
      <c r="C794" s="1" t="s">
        <v>1149</v>
      </c>
      <c r="D794" s="1" t="s">
        <v>1628</v>
      </c>
      <c r="E794" s="1" t="s">
        <v>2589</v>
      </c>
      <c r="F794" s="9" t="s">
        <v>2590</v>
      </c>
      <c r="G794" s="1" t="s">
        <v>38</v>
      </c>
      <c r="H79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794" s="11" t="e">
        <f>ABS(NETWORKDAYS.INTL("03/06/24", "05/21/24", 1, {"01/01/2024","01/15/2024","02/19/2024","05/27/2024","07/04/2024","09/02/2024","10/14/2024","11/11/2024","11/28/2024","12/25/2024","12/25/2024","12/26/2024","12/27/2024","12/28/2024","12/29/2024","12/30/2024","31/25/2024","01/01/2024","01/02/2024","01/03/2024","01/04/2024","01/05/2024"}))</f>
        <v>#VALUE!</v>
      </c>
      <c r="J794">
        <f>0</f>
        <v>0</v>
      </c>
      <c r="K794" s="1"/>
      <c r="L794" s="1">
        <v>0</v>
      </c>
      <c r="M794" s="1">
        <f>0</f>
        <v>0</v>
      </c>
      <c r="N794" s="1">
        <f>0</f>
        <v>0</v>
      </c>
      <c r="O794" s="1">
        <f>0</f>
        <v>0</v>
      </c>
      <c r="P794" s="1"/>
      <c r="Q794" s="1">
        <v>0</v>
      </c>
      <c r="R794" s="1">
        <v>0</v>
      </c>
      <c r="S794" s="1">
        <f>0</f>
        <v>0</v>
      </c>
      <c r="T794" s="1">
        <f>0</f>
        <v>0</v>
      </c>
      <c r="U794" s="1"/>
      <c r="V794" s="1">
        <v>0</v>
      </c>
      <c r="W794" s="1">
        <v>0</v>
      </c>
      <c r="X794" s="1">
        <f>0</f>
        <v>0</v>
      </c>
      <c r="Y794" s="1">
        <f>0</f>
        <v>0</v>
      </c>
      <c r="Z794" s="1">
        <f>0</f>
        <v>0</v>
      </c>
      <c r="AA794" s="1"/>
      <c r="AB794" s="5"/>
      <c r="AC794" s="1"/>
      <c r="AD794" s="1">
        <f>0</f>
        <v>0</v>
      </c>
      <c r="AE794" s="1">
        <f>0</f>
        <v>0</v>
      </c>
      <c r="AF794" s="1">
        <f>0</f>
        <v>0</v>
      </c>
      <c r="AG794" s="1">
        <f>0</f>
        <v>0</v>
      </c>
      <c r="AH794" s="1">
        <f>0</f>
        <v>0</v>
      </c>
      <c r="AI794" s="1">
        <f>0</f>
        <v>0</v>
      </c>
      <c r="AJ794" s="1" t="b">
        <v>1</v>
      </c>
      <c r="AK794" s="1"/>
      <c r="AL794" s="1"/>
      <c r="AM794" s="1"/>
      <c r="AN794" s="1"/>
      <c r="AO794" s="1"/>
      <c r="AP794" s="1"/>
      <c r="AQ794" s="1"/>
      <c r="AR794" s="1"/>
      <c r="AS794" s="1"/>
      <c r="AT794" s="1"/>
      <c r="AU794" s="1" t="b">
        <v>1</v>
      </c>
      <c r="AV794" s="1"/>
      <c r="AW794" s="1"/>
      <c r="AX794" s="1"/>
      <c r="AY794" s="1"/>
      <c r="AZ794" s="1"/>
    </row>
    <row r="795" spans="1:52" ht="15" customHeight="1" x14ac:dyDescent="0.35">
      <c r="A795" s="1" t="s">
        <v>2591</v>
      </c>
      <c r="B795" s="1" t="s">
        <v>2592</v>
      </c>
      <c r="C795" s="1" t="s">
        <v>640</v>
      </c>
      <c r="D795" s="1" t="s">
        <v>1551</v>
      </c>
      <c r="E795" s="1" t="s">
        <v>2220</v>
      </c>
      <c r="F795" s="9" t="s">
        <v>2593</v>
      </c>
      <c r="G795" s="1" t="s">
        <v>38</v>
      </c>
      <c r="H79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795" s="11">
        <f>0</f>
        <v>0</v>
      </c>
      <c r="J795">
        <f>0</f>
        <v>0</v>
      </c>
      <c r="K795" s="1"/>
      <c r="L795" s="1">
        <v>0</v>
      </c>
      <c r="M795" s="1">
        <f>0</f>
        <v>0</v>
      </c>
      <c r="N795" s="1">
        <f>0</f>
        <v>0</v>
      </c>
      <c r="O795" s="1">
        <f>0</f>
        <v>0</v>
      </c>
      <c r="P795" s="1"/>
      <c r="Q795" s="1">
        <v>0</v>
      </c>
      <c r="R795" s="1">
        <v>0</v>
      </c>
      <c r="S795" s="1">
        <f>0</f>
        <v>0</v>
      </c>
      <c r="T795" s="1">
        <f>0</f>
        <v>0</v>
      </c>
      <c r="U795" s="1"/>
      <c r="V795" s="1">
        <v>0</v>
      </c>
      <c r="W795" s="1">
        <v>0</v>
      </c>
      <c r="X795" s="1">
        <f>0</f>
        <v>0</v>
      </c>
      <c r="Y795" s="1">
        <f>0</f>
        <v>0</v>
      </c>
      <c r="Z795" s="1">
        <f>0</f>
        <v>0</v>
      </c>
      <c r="AA795" s="1"/>
      <c r="AB795" s="5"/>
      <c r="AC795" s="1"/>
      <c r="AD795" s="1">
        <f>0</f>
        <v>0</v>
      </c>
      <c r="AE795" s="1">
        <f>0</f>
        <v>0</v>
      </c>
      <c r="AF795" s="1">
        <f>0</f>
        <v>0</v>
      </c>
      <c r="AG795" s="1">
        <f>0</f>
        <v>0</v>
      </c>
      <c r="AH795" s="1">
        <f>0</f>
        <v>0</v>
      </c>
      <c r="AI795" s="1">
        <f>0</f>
        <v>0</v>
      </c>
      <c r="AJ795" s="1" t="b">
        <v>1</v>
      </c>
      <c r="AK795" s="1"/>
      <c r="AL795" s="1"/>
      <c r="AM795" s="1"/>
      <c r="AN795" s="1"/>
      <c r="AO795" s="1"/>
      <c r="AP795" s="1"/>
      <c r="AQ795" s="1"/>
      <c r="AR795" s="1"/>
      <c r="AS795" s="1"/>
      <c r="AT795" s="1"/>
      <c r="AU795" s="1" t="b">
        <v>1</v>
      </c>
      <c r="AV795" s="1" t="b">
        <v>1</v>
      </c>
      <c r="AW795" s="1"/>
      <c r="AX795" s="1"/>
      <c r="AY795" s="1" t="b">
        <v>1</v>
      </c>
      <c r="AZ795" s="1"/>
    </row>
    <row r="796" spans="1:52" ht="15" customHeight="1" x14ac:dyDescent="0.35">
      <c r="A796" s="1" t="s">
        <v>2594</v>
      </c>
      <c r="B796" s="1" t="s">
        <v>2595</v>
      </c>
      <c r="C796" s="1" t="s">
        <v>1329</v>
      </c>
      <c r="D796" s="1" t="s">
        <v>1551</v>
      </c>
      <c r="E796" s="1" t="s">
        <v>2228</v>
      </c>
      <c r="F796" s="9" t="s">
        <v>2596</v>
      </c>
      <c r="G796" s="1" t="s">
        <v>38</v>
      </c>
      <c r="H79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6" s="11" t="e">
        <f>ABS(NETWORKDAYS.INTL("05/15/24", "06/21/24", 1, {"01/01/2024","01/15/2024","02/19/2024","05/27/2024","07/04/2024","09/02/2024","10/14/2024","11/11/2024","11/28/2024","12/25/2024","12/25/2024","12/26/2024","12/27/2024","12/28/2024","12/29/2024","12/30/2024","31/25/2024","01/01/2024","01/02/2024","01/03/2024","01/04/2024","01/05/2024"}))</f>
        <v>#VALUE!</v>
      </c>
      <c r="J796">
        <f>0</f>
        <v>0</v>
      </c>
      <c r="K796" s="1"/>
      <c r="L796" s="1">
        <v>0</v>
      </c>
      <c r="M796" s="1">
        <f>0</f>
        <v>0</v>
      </c>
      <c r="N796" s="1">
        <f>0</f>
        <v>0</v>
      </c>
      <c r="O796" s="1">
        <f>0</f>
        <v>0</v>
      </c>
      <c r="P796" s="1"/>
      <c r="Q796" s="1">
        <v>0</v>
      </c>
      <c r="R796" s="1">
        <v>0</v>
      </c>
      <c r="S796" s="1">
        <f>0</f>
        <v>0</v>
      </c>
      <c r="T796" s="1">
        <f>0</f>
        <v>0</v>
      </c>
      <c r="U796" s="1"/>
      <c r="V796" s="1">
        <v>0</v>
      </c>
      <c r="W796" s="1">
        <v>0</v>
      </c>
      <c r="X796" s="1">
        <f>0</f>
        <v>0</v>
      </c>
      <c r="Y796" s="1">
        <f>0</f>
        <v>0</v>
      </c>
      <c r="Z796" s="1">
        <f>0</f>
        <v>0</v>
      </c>
      <c r="AA796" s="1"/>
      <c r="AB796" s="5"/>
      <c r="AC796" s="1"/>
      <c r="AD796" s="1">
        <f>0</f>
        <v>0</v>
      </c>
      <c r="AE796" s="1">
        <f>0</f>
        <v>0</v>
      </c>
      <c r="AF796" s="1">
        <f>0</f>
        <v>0</v>
      </c>
      <c r="AG796" s="1">
        <f>0</f>
        <v>0</v>
      </c>
      <c r="AH796" s="1">
        <f>0</f>
        <v>0</v>
      </c>
      <c r="AI796" s="1">
        <f>0</f>
        <v>0</v>
      </c>
      <c r="AJ796" s="1" t="b">
        <v>1</v>
      </c>
      <c r="AK796" s="1"/>
      <c r="AL796" s="1"/>
      <c r="AM796" s="1"/>
      <c r="AN796" s="1"/>
      <c r="AO796" s="1"/>
      <c r="AP796" s="1"/>
      <c r="AQ796" s="1"/>
      <c r="AR796" s="1"/>
      <c r="AS796" s="1"/>
      <c r="AT796" s="1"/>
      <c r="AU796" s="1" t="b">
        <v>1</v>
      </c>
      <c r="AV796" s="1"/>
      <c r="AW796" s="1"/>
      <c r="AX796" s="1"/>
      <c r="AY796" s="1" t="b">
        <v>1</v>
      </c>
      <c r="AZ796" s="1"/>
    </row>
    <row r="797" spans="1:52" ht="15" customHeight="1" x14ac:dyDescent="0.35">
      <c r="A797" s="1" t="s">
        <v>2597</v>
      </c>
      <c r="B797" s="1" t="s">
        <v>2598</v>
      </c>
      <c r="C797" s="1" t="s">
        <v>1329</v>
      </c>
      <c r="D797" s="1" t="s">
        <v>2599</v>
      </c>
      <c r="E797" s="1" t="s">
        <v>2228</v>
      </c>
      <c r="F797" s="9" t="s">
        <v>2600</v>
      </c>
      <c r="G797" s="1" t="s">
        <v>38</v>
      </c>
      <c r="H797"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7" s="11" t="e">
        <f>ABS(NETWORKDAYS.INTL("03/25/24", "05/24/24", 1, {"01/01/2024","01/15/2024","02/19/2024","05/27/2024","07/04/2024","09/02/2024","10/14/2024","11/11/2024","11/28/2024","12/25/2024","12/25/2024","12/26/2024","12/27/2024","12/28/2024","12/29/2024","12/30/2024","31/25/2024","01/01/2024","01/02/2024","01/03/2024","01/04/2024","01/05/2024"}))</f>
        <v>#VALUE!</v>
      </c>
      <c r="J797">
        <f>0</f>
        <v>0</v>
      </c>
      <c r="K797" s="1"/>
      <c r="L797" s="1">
        <v>0</v>
      </c>
      <c r="M797" s="1">
        <f>0</f>
        <v>0</v>
      </c>
      <c r="N797" s="1">
        <f>0</f>
        <v>0</v>
      </c>
      <c r="O797" s="1">
        <f>0</f>
        <v>0</v>
      </c>
      <c r="P797" s="1"/>
      <c r="Q797" s="1">
        <v>0</v>
      </c>
      <c r="R797" s="1">
        <v>0</v>
      </c>
      <c r="S797" s="1">
        <f>0</f>
        <v>0</v>
      </c>
      <c r="T797" s="1">
        <f>0</f>
        <v>0</v>
      </c>
      <c r="U797" s="1"/>
      <c r="V797" s="1">
        <v>0</v>
      </c>
      <c r="W797" s="1">
        <v>0</v>
      </c>
      <c r="X797" s="1">
        <f>0</f>
        <v>0</v>
      </c>
      <c r="Y797" s="1">
        <f>0</f>
        <v>0</v>
      </c>
      <c r="Z797" s="1">
        <f>0</f>
        <v>0</v>
      </c>
      <c r="AA797" s="1"/>
      <c r="AB797" s="5"/>
      <c r="AC797" s="1"/>
      <c r="AD797" s="1">
        <f>0</f>
        <v>0</v>
      </c>
      <c r="AE797" s="1">
        <f>0</f>
        <v>0</v>
      </c>
      <c r="AF797" s="1">
        <f>0</f>
        <v>0</v>
      </c>
      <c r="AG797" s="1">
        <f>0</f>
        <v>0</v>
      </c>
      <c r="AH797" s="1">
        <f>0</f>
        <v>0</v>
      </c>
      <c r="AI797" s="1">
        <f>0</f>
        <v>0</v>
      </c>
      <c r="AJ797" s="1" t="b">
        <v>1</v>
      </c>
      <c r="AK797" s="1"/>
      <c r="AL797" s="1"/>
      <c r="AM797" s="1"/>
      <c r="AN797" s="1"/>
      <c r="AO797" s="1"/>
      <c r="AP797" s="1"/>
      <c r="AQ797" s="1"/>
      <c r="AR797" s="1"/>
      <c r="AS797" s="1"/>
      <c r="AT797" s="1"/>
      <c r="AU797" s="1" t="b">
        <v>1</v>
      </c>
      <c r="AV797" s="1"/>
      <c r="AW797" s="1"/>
      <c r="AX797" s="1"/>
      <c r="AY797" s="1" t="b">
        <v>1</v>
      </c>
      <c r="AZ797" s="1"/>
    </row>
    <row r="798" spans="1:52" ht="15" customHeight="1" x14ac:dyDescent="0.35">
      <c r="A798" s="1" t="s">
        <v>2601</v>
      </c>
      <c r="B798" s="1" t="s">
        <v>2602</v>
      </c>
      <c r="C798" s="1" t="s">
        <v>1692</v>
      </c>
      <c r="D798" s="1" t="s">
        <v>2603</v>
      </c>
      <c r="E798" s="1" t="s">
        <v>2581</v>
      </c>
      <c r="F798" s="9" t="s">
        <v>2604</v>
      </c>
      <c r="G798" s="1" t="s">
        <v>38</v>
      </c>
      <c r="H798"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8" s="11" t="e">
        <f>ABS(NETWORKDAYS.INTL("03/06/24", "05/22/24", 1, {"01/01/2024","01/15/2024","02/19/2024","05/27/2024","07/04/2024","09/02/2024","10/14/2024","11/11/2024","11/28/2024","12/25/2024","12/25/2024","12/26/2024","12/27/2024","12/28/2024","12/29/2024","12/30/2024","31/25/2024","01/01/2024","01/02/2024","01/03/2024","01/04/2024","01/05/2024"}))</f>
        <v>#VALUE!</v>
      </c>
      <c r="J798">
        <f>0</f>
        <v>0</v>
      </c>
      <c r="K798" s="1"/>
      <c r="L798" s="1">
        <v>1</v>
      </c>
      <c r="M798" s="1" t="e">
        <f>ABS(NETWORKDAYS.INTL("06/13/24", "06/13/24", 1, {"01/01/2024","01/15/2024","02/19/2024","05/27/2024","07/04/2024","09/02/2024","10/14/2024","11/11/2024","11/28/2024","12/25/2024","12/25/2024","12/26/2024","12/27/2024","12/28/2024","12/29/2024","12/30/2024","31/25/2024","01/01/2024","01/02/2024","01/03/2024","01/04/2024","01/05/2024"}))</f>
        <v>#VALUE!</v>
      </c>
      <c r="N798" s="1" t="e">
        <f>ABS(NETWORKDAYS.INTL("07/10/24", "07/10/24", 1, {"01/01/2024","01/15/2024","02/19/2024","05/27/2024","07/04/2024","09/02/2024","10/14/2024","11/11/2024","11/28/2024","12/25/2024","12/25/2024","12/26/2024","12/27/2024","12/28/2024","12/29/2024","12/30/2024","31/25/2024","01/01/2024","01/02/2024","01/03/2024","01/04/2024","01/05/2024"}))</f>
        <v>#VALUE!</v>
      </c>
      <c r="O798" s="1">
        <f>0</f>
        <v>0</v>
      </c>
      <c r="P798" s="1"/>
      <c r="Q798" s="1">
        <v>0</v>
      </c>
      <c r="R798" s="1">
        <v>0</v>
      </c>
      <c r="S798" s="1">
        <f>0</f>
        <v>0</v>
      </c>
      <c r="T798" s="1">
        <f>0</f>
        <v>0</v>
      </c>
      <c r="U798" s="1"/>
      <c r="V798" s="1">
        <v>1</v>
      </c>
      <c r="W798" s="1">
        <v>1</v>
      </c>
      <c r="X798" s="1" t="e">
        <f>ABS(NETWORKDAYS.INTL("06/13/24", "06/14/24", 1, {"01/01/2024","01/15/2024","02/19/2024","05/27/2024","07/04/2024","09/02/2024","10/14/2024","11/11/2024","11/28/2024","12/25/2024","12/25/2024","12/26/2024","12/27/2024","12/28/2024","12/29/2024","12/30/2024","31/25/2024","01/01/2024","01/02/2024","01/03/2024","01/04/2024","01/05/2024"}))</f>
        <v>#VALUE!</v>
      </c>
      <c r="Y798" s="1">
        <f>0</f>
        <v>0</v>
      </c>
      <c r="Z798" s="1">
        <f>0</f>
        <v>0</v>
      </c>
      <c r="AA798" s="1"/>
      <c r="AB798" s="5">
        <v>45457</v>
      </c>
      <c r="AC798" s="1"/>
      <c r="AD798" s="1" t="e">
        <f>ABS(NETWORKDAYS.INTL("06/13/24", "05/22/24", 1, {"01/01/2024","01/15/2024","02/19/2024","05/27/2024","07/04/2024","09/02/2024","10/14/2024","11/11/2024","11/28/2024","12/25/2024","12/25/2024","12/26/2024","12/27/2024","12/28/2024","12/29/2024","12/30/2024","31/25/2024","01/01/2024","01/02/2024","01/03/2024","01/04/2024","01/05/2024"}))</f>
        <v>#VALUE!</v>
      </c>
      <c r="AE798" s="1" t="e">
        <f>ABS(NETWORKDAYS.INTL("07/10/24", "06/13/24", 1, {"01/01/2024","01/15/2024","02/19/2024","05/27/2024","07/04/2024","09/02/2024","10/14/2024","11/11/2024","11/28/2024","12/25/2024","12/25/2024","12/26/2024","12/27/2024","12/28/2024","12/29/2024","12/30/2024","31/25/2024","01/01/2024","01/02/2024","01/03/2024","01/04/2024","01/05/2024"}))</f>
        <v>#VALUE!</v>
      </c>
      <c r="AF798" s="1">
        <f>0</f>
        <v>0</v>
      </c>
      <c r="AG798" s="1" t="e">
        <f>ABS(NETWORKDAYS.INTL("06/13/24", "08/05/24", 1, {"01/01/2024","01/15/2024","02/19/2024","05/27/2024","07/04/2024","09/02/2024","10/14/2024","11/11/2024","11/28/2024","12/25/2024","12/25/2024","12/26/2024","12/27/2024","12/28/2024","12/29/2024","12/30/2024","31/25/2024","01/01/2024","01/02/2024","01/03/2024","01/04/2024","01/05/2024"}))</f>
        <v>#VALUE!</v>
      </c>
      <c r="AH798" s="1" t="e">
        <f>ABS(NETWORKDAYS.INTL("06/13/24", "06/13/24", 1, {"01/01/2024","01/15/2024","02/19/2024","05/27/2024","07/04/2024","09/02/2024","10/14/2024","11/11/2024","11/28/2024","12/25/2024","12/25/2024","12/26/2024","12/27/2024","12/28/2024","12/29/2024","12/30/2024","31/25/2024","01/01/2024","01/02/2024","01/03/2024","01/04/2024","01/05/2024"}))</f>
        <v>#VALUE!</v>
      </c>
      <c r="AI798" s="1">
        <f>0</f>
        <v>0</v>
      </c>
      <c r="AJ798" s="1" t="b">
        <v>1</v>
      </c>
      <c r="AK798" s="1"/>
      <c r="AL798" s="1"/>
      <c r="AM798" s="1"/>
      <c r="AN798" s="1"/>
      <c r="AO798" s="1"/>
      <c r="AP798" s="1"/>
      <c r="AQ798" s="1"/>
      <c r="AR798" s="1"/>
      <c r="AS798" s="1"/>
      <c r="AT798" s="1"/>
      <c r="AU798" s="1" t="b">
        <v>1</v>
      </c>
      <c r="AV798" s="1"/>
      <c r="AW798" s="1"/>
      <c r="AX798" s="1"/>
      <c r="AY798" s="1"/>
      <c r="AZ798" s="1" t="b">
        <v>1</v>
      </c>
    </row>
    <row r="799" spans="1:52" ht="15" customHeight="1" x14ac:dyDescent="0.35">
      <c r="A799" s="1" t="s">
        <v>2605</v>
      </c>
      <c r="B799" s="1" t="s">
        <v>2606</v>
      </c>
      <c r="C799" s="1" t="s">
        <v>1329</v>
      </c>
      <c r="D799" s="1" t="s">
        <v>2607</v>
      </c>
      <c r="E799" s="1" t="s">
        <v>2581</v>
      </c>
      <c r="F799" s="9" t="s">
        <v>2608</v>
      </c>
      <c r="G799" s="1" t="s">
        <v>38</v>
      </c>
      <c r="H799"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799" s="11" t="e">
        <f>ABS(NETWORKDAYS.INTL("04/05/24", "05/22/24", 1, {"01/01/2024","01/15/2024","02/19/2024","05/27/2024","07/04/2024","09/02/2024","10/14/2024","11/11/2024","11/28/2024","12/25/2024","12/25/2024","12/26/2024","12/27/2024","12/28/2024","12/29/2024","12/30/2024","31/25/2024","01/01/2024","01/02/2024","01/03/2024","01/04/2024","01/05/2024"})+NETWORKDAYS.INTL("06/06/24", "07/18/24", 1, {"01/01/2024","01/15/2024","02/19/2024","05/27/2024","07/04/2024","09/02/2024","10/14/2024","11/11/2024","11/28/2024","12/25/2024","12/25/2024","12/26/2024","12/27/2024","12/28/2024","12/29/2024","12/30/2024","31/25/2024","01/01/2024","01/02/2024","01/03/2024","01/04/2024","01/05/2024"})+NETWORKDAYS.INTL("07/19/24", "07/30/2024", 1, {"01/01/2024","01/15/2024","02/19/2024","05/27/2024","07/04/2024","09/02/2024","10/14/2024","11/11/2024","11/28/2024","12/25/2024","12/25/2024","12/26/2024","12/27/2024","12/28/2024","12/29/2024","12/30/2024","31/25/2024","01/01/2024","01/02/2024","01/03/2024","01/04/2024","01/05/2024"}))</f>
        <v>#VALUE!</v>
      </c>
      <c r="J799">
        <f>0</f>
        <v>0</v>
      </c>
      <c r="K799" s="1"/>
      <c r="L799" s="1">
        <v>0</v>
      </c>
      <c r="M799" s="1">
        <f>0</f>
        <v>0</v>
      </c>
      <c r="N799" s="1">
        <f>0</f>
        <v>0</v>
      </c>
      <c r="O799" s="1">
        <f>0</f>
        <v>0</v>
      </c>
      <c r="P799" s="1"/>
      <c r="Q799" s="1">
        <v>0</v>
      </c>
      <c r="R799" s="1">
        <v>0</v>
      </c>
      <c r="S799" s="1">
        <f>0</f>
        <v>0</v>
      </c>
      <c r="T799" s="1">
        <f>0</f>
        <v>0</v>
      </c>
      <c r="U799" s="1"/>
      <c r="V799" s="1">
        <v>0</v>
      </c>
      <c r="W799" s="1">
        <v>0</v>
      </c>
      <c r="X799" s="1">
        <f>0</f>
        <v>0</v>
      </c>
      <c r="Y799" s="1">
        <f>0</f>
        <v>0</v>
      </c>
      <c r="Z799" s="1">
        <f>0</f>
        <v>0</v>
      </c>
      <c r="AA799" s="1"/>
      <c r="AB799" s="5"/>
      <c r="AC799" s="1"/>
      <c r="AD799" s="1">
        <f>0</f>
        <v>0</v>
      </c>
      <c r="AE799" s="1">
        <f>0</f>
        <v>0</v>
      </c>
      <c r="AF799" s="1">
        <f>0</f>
        <v>0</v>
      </c>
      <c r="AG799" s="1">
        <f>0</f>
        <v>0</v>
      </c>
      <c r="AH799" s="1">
        <f>0</f>
        <v>0</v>
      </c>
      <c r="AI799" s="1">
        <f>0</f>
        <v>0</v>
      </c>
      <c r="AJ799" s="1" t="b">
        <v>1</v>
      </c>
      <c r="AK799" s="1"/>
      <c r="AL799" s="1"/>
      <c r="AM799" s="1"/>
      <c r="AN799" s="1"/>
      <c r="AO799" s="1"/>
      <c r="AP799" s="1"/>
      <c r="AQ799" s="1"/>
      <c r="AR799" s="1"/>
      <c r="AS799" s="1"/>
      <c r="AT799" s="1"/>
      <c r="AU799" s="1" t="b">
        <v>1</v>
      </c>
      <c r="AV799" s="1"/>
      <c r="AW799" s="1"/>
      <c r="AX799" s="1"/>
      <c r="AY799" s="1"/>
      <c r="AZ799" s="1" t="b">
        <v>1</v>
      </c>
    </row>
    <row r="800" spans="1:52" ht="15" customHeight="1" x14ac:dyDescent="0.35">
      <c r="A800" s="1" t="s">
        <v>2609</v>
      </c>
      <c r="B800" s="1" t="s">
        <v>2610</v>
      </c>
      <c r="C800" s="1" t="s">
        <v>988</v>
      </c>
      <c r="D800" s="1" t="s">
        <v>2611</v>
      </c>
      <c r="E800" s="1" t="s">
        <v>2161</v>
      </c>
      <c r="F800" s="9" t="s">
        <v>2612</v>
      </c>
      <c r="G800" s="1" t="s">
        <v>38</v>
      </c>
      <c r="H800"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0" s="11" t="e">
        <f>ABS(NETWORKDAYS.INTL("03/18/24", "05/22/24", 1, {"01/01/2024","01/15/2024","02/19/2024","05/27/2024","07/04/2024","09/02/2024","10/14/2024","11/11/2024","11/28/2024","12/25/2024","12/25/2024","12/26/2024","12/27/2024","12/28/2024","12/29/2024","12/30/2024","31/25/2024","01/01/2024","01/02/2024","01/03/2024","01/04/2024","01/05/2024"}))</f>
        <v>#VALUE!</v>
      </c>
      <c r="J800">
        <f>0</f>
        <v>0</v>
      </c>
      <c r="K800" s="1"/>
      <c r="L800" s="1">
        <v>1</v>
      </c>
      <c r="M800" s="1" t="e">
        <f>ABS(NETWORKDAYS.INTL("06/19/24", "06/19/24", 1, {"01/01/2024","01/15/2024","02/19/2024","05/27/2024","07/04/2024","09/02/2024","10/14/2024","11/11/2024","11/28/2024","12/25/2024","12/25/2024","12/26/2024","12/27/2024","12/28/2024","12/29/2024","12/30/2024","31/25/2024","01/01/2024","01/02/2024","01/03/2024","01/04/2024","01/05/2024"}))</f>
        <v>#VALUE!</v>
      </c>
      <c r="N800" s="1">
        <f>0</f>
        <v>0</v>
      </c>
      <c r="O800" s="1">
        <f>0</f>
        <v>0</v>
      </c>
      <c r="P800" s="1"/>
      <c r="Q800" s="1">
        <v>0</v>
      </c>
      <c r="R800" s="1">
        <v>0</v>
      </c>
      <c r="S800" s="1">
        <f>0</f>
        <v>0</v>
      </c>
      <c r="T800" s="1">
        <f>0</f>
        <v>0</v>
      </c>
      <c r="U800" s="1"/>
      <c r="V800" s="1">
        <v>1</v>
      </c>
      <c r="W800" s="1">
        <v>1</v>
      </c>
      <c r="X800" s="1" t="e">
        <f>ABS(NETWORKDAYS.INTL("06/19/24", "06/20/24", 1, {"01/01/2024","01/15/2024","02/19/2024","05/27/2024","07/04/2024","09/02/2024","10/14/2024","11/11/2024","11/28/2024","12/25/2024","12/25/2024","12/26/2024","12/27/2024","12/28/2024","12/29/2024","12/30/2024","31/25/2024","01/01/2024","01/02/2024","01/03/2024","01/04/2024","01/05/2024"}))</f>
        <v>#VALUE!</v>
      </c>
      <c r="Y800" s="1" t="e">
        <f>ABS(NETWORKDAYS.INTL("07/08/2024", "07/08/2024", 1, {"01/01/2024","01/15/2024","02/19/2024","05/27/2024","07/04/2024","09/02/2024","10/14/2024","11/11/2024","11/28/2024","12/25/2024","12/25/2024","12/26/2024","12/27/2024","12/28/2024","12/29/2024","12/30/2024","31/25/2024","01/01/2024","01/02/2024","01/03/2024","01/04/2024","01/05/2024"}))</f>
        <v>#VALUE!</v>
      </c>
      <c r="Z800" s="1">
        <f>0</f>
        <v>0</v>
      </c>
      <c r="AA800" s="1"/>
      <c r="AB800" s="5">
        <v>45483</v>
      </c>
      <c r="AC800" s="5">
        <v>45503</v>
      </c>
      <c r="AD800" s="1" t="e">
        <f>ABS(NETWORKDAYS.INTL("06/19/24", "05/22/24", 1, {"01/01/2024","01/15/2024","02/19/2024","05/27/2024","07/04/2024","09/02/2024","10/14/2024","11/11/2024","11/28/2024","12/25/2024","12/25/2024","12/26/2024","12/27/2024","12/28/2024","12/29/2024","12/30/2024","31/25/2024","01/01/2024","01/02/2024","01/03/2024","01/04/2024","01/05/2024"}))</f>
        <v>#VALUE!</v>
      </c>
      <c r="AE800" s="1">
        <f>0</f>
        <v>0</v>
      </c>
      <c r="AF800" s="1">
        <f>0</f>
        <v>0</v>
      </c>
      <c r="AG800" s="1" t="e">
        <f>ABS(NETWORKDAYS.INTL("06/19/24", "08/05/24", 1, {"01/01/2024","01/15/2024","02/19/2024","05/27/2024","07/04/2024","09/02/2024","10/14/2024","11/11/2024","11/28/2024","12/25/2024","12/25/2024","12/26/2024","12/27/2024","12/28/2024","12/29/2024","12/30/2024","31/25/2024","01/01/2024","01/02/2024","01/03/2024","01/04/2024","01/05/2024"}))</f>
        <v>#VALUE!</v>
      </c>
      <c r="AH800" s="1" t="e">
        <f>ABS(NETWORKDAYS.INTL("06/19/24", "06/19/24", 1, {"01/01/2024","01/15/2024","02/19/2024","05/27/2024","07/04/2024","09/02/2024","10/14/2024","11/11/2024","11/28/2024","12/25/2024","12/25/2024","12/26/2024","12/27/2024","12/28/2024","12/29/2024","12/30/2024","31/25/2024","01/01/2024","01/02/2024","01/03/2024","01/04/2024","01/05/2024"}))</f>
        <v>#VALUE!</v>
      </c>
      <c r="AI800" s="1" t="e">
        <f>ABS(NETWORKDAYS.INTL("07/30/2024", "07/10/2024", 1, {"01/01/2024","01/15/2024","02/19/2024","05/27/2024","07/04/2024","09/02/2024","10/14/2024","11/11/2024","11/28/2024","12/25/2024","12/25/2024","12/26/2024","12/27/2024","12/28/2024","12/29/2024","12/30/2024","31/25/2024","01/01/2024","01/02/2024","01/03/2024","01/04/2024","01/05/2024"}))</f>
        <v>#VALUE!</v>
      </c>
      <c r="AJ800" s="1" t="b">
        <v>1</v>
      </c>
      <c r="AK800" s="1"/>
      <c r="AL800" s="1"/>
      <c r="AM800" s="1"/>
      <c r="AN800" s="1"/>
      <c r="AO800" s="1"/>
      <c r="AP800" s="1"/>
      <c r="AQ800" s="1"/>
      <c r="AR800" s="1"/>
      <c r="AS800" s="1"/>
      <c r="AT800" s="1"/>
      <c r="AU800" s="1" t="b">
        <v>1</v>
      </c>
      <c r="AV800" s="1"/>
      <c r="AW800" s="1"/>
      <c r="AX800" s="1"/>
      <c r="AY800" s="1"/>
      <c r="AZ800" s="1" t="b">
        <v>1</v>
      </c>
    </row>
    <row r="801" spans="1:52" ht="15" customHeight="1" x14ac:dyDescent="0.35">
      <c r="A801" s="1" t="s">
        <v>2613</v>
      </c>
      <c r="B801" s="1" t="s">
        <v>2614</v>
      </c>
      <c r="C801" s="1" t="s">
        <v>1149</v>
      </c>
      <c r="D801" s="1" t="s">
        <v>1530</v>
      </c>
      <c r="E801" s="1" t="s">
        <v>2615</v>
      </c>
      <c r="F801" s="9" t="s">
        <v>2616</v>
      </c>
      <c r="G801" s="1" t="s">
        <v>38</v>
      </c>
      <c r="H801"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1. Out of Scope</v>
      </c>
      <c r="I801" s="11" t="e">
        <f>ABS(NETWORKDAYS.INTL("03/18/24", "04/17/24", 1, {"01/01/2024","01/15/2024","02/19/2024","05/27/2024","07/04/2024","09/02/2024","10/14/2024","11/11/2024","11/28/2024","12/25/2024","12/25/2024","12/26/2024","12/27/2024","12/28/2024","12/29/2024","12/30/2024","31/25/2024","01/01/2024","01/02/2024","01/03/2024","01/04/2024","01/05/2024"}))</f>
        <v>#VALUE!</v>
      </c>
      <c r="J801">
        <f>0</f>
        <v>0</v>
      </c>
      <c r="K801" s="1"/>
      <c r="L801" s="1">
        <v>0</v>
      </c>
      <c r="M801" s="1">
        <f>0</f>
        <v>0</v>
      </c>
      <c r="N801" s="1">
        <f>0</f>
        <v>0</v>
      </c>
      <c r="O801" s="1">
        <f>0</f>
        <v>0</v>
      </c>
      <c r="P801" s="1"/>
      <c r="Q801" s="1">
        <v>0</v>
      </c>
      <c r="R801" s="1">
        <v>0</v>
      </c>
      <c r="S801" s="1">
        <f>0</f>
        <v>0</v>
      </c>
      <c r="T801" s="1">
        <f>0</f>
        <v>0</v>
      </c>
      <c r="U801" s="1"/>
      <c r="V801" s="1">
        <v>0</v>
      </c>
      <c r="W801" s="1">
        <v>0</v>
      </c>
      <c r="X801" s="1">
        <f>0</f>
        <v>0</v>
      </c>
      <c r="Y801" s="1">
        <f>0</f>
        <v>0</v>
      </c>
      <c r="Z801" s="1">
        <f>0</f>
        <v>0</v>
      </c>
      <c r="AA801" s="1"/>
      <c r="AB801" s="5"/>
      <c r="AC801" s="1"/>
      <c r="AD801" s="1">
        <f>0</f>
        <v>0</v>
      </c>
      <c r="AE801" s="1">
        <f>0</f>
        <v>0</v>
      </c>
      <c r="AF801" s="1">
        <f>0</f>
        <v>0</v>
      </c>
      <c r="AG801" s="1">
        <f>0</f>
        <v>0</v>
      </c>
      <c r="AH801" s="1">
        <f>0</f>
        <v>0</v>
      </c>
      <c r="AI801" s="1">
        <f>0</f>
        <v>0</v>
      </c>
      <c r="AJ801" s="1" t="b">
        <v>1</v>
      </c>
      <c r="AK801" s="1"/>
      <c r="AL801" s="1"/>
      <c r="AM801" s="1"/>
      <c r="AN801" s="1"/>
      <c r="AO801" s="1"/>
      <c r="AP801" s="1"/>
      <c r="AQ801" s="1"/>
      <c r="AR801" s="1"/>
      <c r="AS801" s="1"/>
      <c r="AT801" s="1"/>
      <c r="AU801" s="1" t="b">
        <v>1</v>
      </c>
      <c r="AV801" s="1"/>
      <c r="AW801" s="1"/>
      <c r="AX801" s="1"/>
      <c r="AY801" s="1"/>
      <c r="AZ801" s="1"/>
    </row>
    <row r="802" spans="1:52" ht="15" customHeight="1" x14ac:dyDescent="0.35">
      <c r="A802" s="1" t="s">
        <v>2617</v>
      </c>
      <c r="B802" s="1" t="s">
        <v>2618</v>
      </c>
      <c r="C802" s="1" t="s">
        <v>1329</v>
      </c>
      <c r="D802" s="1" t="s">
        <v>1660</v>
      </c>
      <c r="E802" s="1" t="s">
        <v>2228</v>
      </c>
      <c r="F802" s="9" t="s">
        <v>2619</v>
      </c>
      <c r="G802" s="1" t="s">
        <v>38</v>
      </c>
      <c r="H802"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2" s="11" t="e">
        <f>ABS(NETWORKDAYS.INTL("05/03/24", "05/15/24", 1, {"01/01/2024","01/15/2024","02/19/2024","05/27/2024","07/04/2024","09/02/2024","10/14/2024","11/11/2024","11/28/2024","12/25/2024","12/25/2024","12/26/2024","12/27/2024","12/28/2024","12/29/2024","12/30/2024","31/25/2024","01/01/2024","01/02/2024","01/03/2024","01/04/2024","01/05/2024"}))</f>
        <v>#VALUE!</v>
      </c>
      <c r="J802">
        <f>0</f>
        <v>0</v>
      </c>
      <c r="K802" s="1"/>
      <c r="L802" s="1">
        <v>0</v>
      </c>
      <c r="M802" s="1">
        <f>0</f>
        <v>0</v>
      </c>
      <c r="N802" s="1">
        <f>0</f>
        <v>0</v>
      </c>
      <c r="O802" s="1">
        <f>0</f>
        <v>0</v>
      </c>
      <c r="P802" s="1"/>
      <c r="Q802" s="1">
        <v>1</v>
      </c>
      <c r="R802" s="1">
        <v>1</v>
      </c>
      <c r="S802" s="1">
        <f>0</f>
        <v>0</v>
      </c>
      <c r="T802" s="1">
        <f>0</f>
        <v>0</v>
      </c>
      <c r="U802" s="1"/>
      <c r="V802" s="1">
        <v>0</v>
      </c>
      <c r="W802" s="1">
        <v>0</v>
      </c>
      <c r="X802" s="1">
        <f>0</f>
        <v>0</v>
      </c>
      <c r="Y802" s="1">
        <f>0</f>
        <v>0</v>
      </c>
      <c r="Z802" s="1">
        <f>0</f>
        <v>0</v>
      </c>
      <c r="AA802" s="1"/>
      <c r="AB802" s="5"/>
      <c r="AC802" s="1"/>
      <c r="AD802" s="1">
        <f>0</f>
        <v>0</v>
      </c>
      <c r="AE802" s="1">
        <f>0</f>
        <v>0</v>
      </c>
      <c r="AF802" s="1" t="e">
        <f>ABS(NETWORKDAYS.INTL("05/31/2024", "05/31/2024", 1, {"01/01/2024","01/15/2024","02/19/2024","05/27/2024","07/04/2024","09/02/2024","10/14/2024","11/11/2024","11/28/2024","12/25/2024","12/25/2024","12/26/2024","12/27/2024","12/28/2024","12/29/2024","12/30/2024","31/25/2024","01/01/2024","01/02/2024","01/03/2024","01/04/2024","01/05/2024"}))</f>
        <v>#VALUE!</v>
      </c>
      <c r="AG802" s="1">
        <f>0</f>
        <v>0</v>
      </c>
      <c r="AH802" s="1">
        <f>0</f>
        <v>0</v>
      </c>
      <c r="AI802" s="1">
        <f>0</f>
        <v>0</v>
      </c>
      <c r="AJ802" s="1" t="b">
        <v>1</v>
      </c>
      <c r="AK802" s="1"/>
      <c r="AL802" s="1"/>
      <c r="AM802" s="1"/>
      <c r="AN802" s="1"/>
      <c r="AO802" s="1"/>
      <c r="AP802" s="1"/>
      <c r="AQ802" s="1"/>
      <c r="AR802" s="1"/>
      <c r="AS802" s="1"/>
      <c r="AT802" s="1"/>
      <c r="AU802" s="1" t="b">
        <v>1</v>
      </c>
      <c r="AV802" s="1"/>
      <c r="AW802" s="1"/>
      <c r="AX802" s="1"/>
      <c r="AY802" s="1" t="b">
        <v>1</v>
      </c>
      <c r="AZ802" s="1"/>
    </row>
    <row r="803" spans="1:52" ht="15" customHeight="1" x14ac:dyDescent="0.35">
      <c r="A803" s="1" t="s">
        <v>2620</v>
      </c>
      <c r="B803" s="1" t="s">
        <v>2621</v>
      </c>
      <c r="C803" s="1" t="s">
        <v>640</v>
      </c>
      <c r="D803" s="1" t="s">
        <v>1554</v>
      </c>
      <c r="E803" s="1" t="s">
        <v>2585</v>
      </c>
      <c r="F803" s="9" t="s">
        <v>2622</v>
      </c>
      <c r="G803" s="1" t="s">
        <v>38</v>
      </c>
      <c r="H803"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2. Not started methods</v>
      </c>
      <c r="I803" s="11">
        <f>0</f>
        <v>0</v>
      </c>
      <c r="J803">
        <f>0</f>
        <v>0</v>
      </c>
      <c r="K803" s="1"/>
      <c r="L803" s="1">
        <v>0</v>
      </c>
      <c r="M803" s="1">
        <f>0</f>
        <v>0</v>
      </c>
      <c r="N803" s="1">
        <f>0</f>
        <v>0</v>
      </c>
      <c r="O803" s="1">
        <f>0</f>
        <v>0</v>
      </c>
      <c r="P803" s="1"/>
      <c r="Q803" s="1">
        <v>0</v>
      </c>
      <c r="R803" s="1">
        <v>0</v>
      </c>
      <c r="S803" s="1">
        <f>0</f>
        <v>0</v>
      </c>
      <c r="T803" s="1">
        <f>0</f>
        <v>0</v>
      </c>
      <c r="U803" s="1"/>
      <c r="V803" s="1">
        <v>0</v>
      </c>
      <c r="W803" s="1">
        <v>0</v>
      </c>
      <c r="X803" s="1">
        <f>0</f>
        <v>0</v>
      </c>
      <c r="Y803" s="1">
        <f>0</f>
        <v>0</v>
      </c>
      <c r="Z803" s="1">
        <f>0</f>
        <v>0</v>
      </c>
      <c r="AA803" s="1"/>
      <c r="AB803" s="5"/>
      <c r="AC803" s="1"/>
      <c r="AD803" s="1">
        <f>0</f>
        <v>0</v>
      </c>
      <c r="AE803" s="1">
        <f>0</f>
        <v>0</v>
      </c>
      <c r="AF803" s="1">
        <f>0</f>
        <v>0</v>
      </c>
      <c r="AG803" s="1">
        <f>0</f>
        <v>0</v>
      </c>
      <c r="AH803" s="1">
        <f>0</f>
        <v>0</v>
      </c>
      <c r="AI803" s="1">
        <f>0</f>
        <v>0</v>
      </c>
      <c r="AJ803" s="1" t="b">
        <v>1</v>
      </c>
      <c r="AK803" s="1"/>
      <c r="AL803" s="1"/>
      <c r="AM803" s="1"/>
      <c r="AN803" s="1"/>
      <c r="AO803" s="1"/>
      <c r="AP803" s="1"/>
      <c r="AQ803" s="1"/>
      <c r="AR803" s="1"/>
      <c r="AS803" s="1"/>
      <c r="AT803" s="1"/>
      <c r="AU803" s="1" t="b">
        <v>1</v>
      </c>
      <c r="AV803" s="1" t="b">
        <v>1</v>
      </c>
      <c r="AW803" s="1"/>
      <c r="AX803" s="1"/>
      <c r="AY803" s="1"/>
      <c r="AZ803" s="1" t="b">
        <v>1</v>
      </c>
    </row>
    <row r="804" spans="1:52" ht="15" customHeight="1" x14ac:dyDescent="0.35">
      <c r="A804" s="1" t="s">
        <v>2623</v>
      </c>
      <c r="B804" s="1" t="s">
        <v>2624</v>
      </c>
      <c r="C804" s="1" t="s">
        <v>821</v>
      </c>
      <c r="D804" s="1" t="s">
        <v>1354</v>
      </c>
      <c r="E804" s="1" t="s">
        <v>2461</v>
      </c>
      <c r="F804" s="9" t="s">
        <v>2625</v>
      </c>
      <c r="G804" s="1" t="s">
        <v>38</v>
      </c>
      <c r="H804"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4" s="11" t="e">
        <f>ABS(NETWORKDAYS.INTL("03/20/24", "05/23/24", 1, {"01/01/2024","01/15/2024","02/19/2024","05/27/2024","07/04/2024","09/02/2024","10/14/2024","11/11/2024","11/28/2024","12/25/2024","12/25/2024","12/26/2024","12/27/2024","12/28/2024","12/29/2024","12/30/2024","31/25/2024","01/01/2024","01/02/2024","01/03/2024","01/04/2024","01/05/2024"}))</f>
        <v>#VALUE!</v>
      </c>
      <c r="J804" t="e">
        <f>ABS(NETWORKDAYS.INTL("04/04/24", "04/24/24", 1, {"01/01/2024","01/15/2024","02/19/2024","05/27/2024","07/04/2024","09/02/2024","10/14/2024","11/11/2024","11/28/2024","12/25/2024","12/25/2024","12/26/2024","12/27/2024","12/28/2024","12/29/2024","12/30/2024","31/25/2024","01/01/2024","01/02/2024","01/03/2024","01/04/2024","01/05/2024"}))</f>
        <v>#VALUE!</v>
      </c>
      <c r="K804" s="1"/>
      <c r="L804" s="1">
        <v>0</v>
      </c>
      <c r="M804" s="1">
        <f>0</f>
        <v>0</v>
      </c>
      <c r="N804" s="1">
        <f>0</f>
        <v>0</v>
      </c>
      <c r="O804" s="1">
        <f>0</f>
        <v>0</v>
      </c>
      <c r="P804" s="1"/>
      <c r="Q804" s="1">
        <v>0</v>
      </c>
      <c r="R804" s="1">
        <v>0</v>
      </c>
      <c r="S804" s="1">
        <f>0</f>
        <v>0</v>
      </c>
      <c r="T804" s="1">
        <f>0</f>
        <v>0</v>
      </c>
      <c r="U804" s="1"/>
      <c r="V804" s="1">
        <v>0</v>
      </c>
      <c r="W804" s="1">
        <v>0</v>
      </c>
      <c r="X804" s="1">
        <f>0</f>
        <v>0</v>
      </c>
      <c r="Y804" s="1">
        <f>0</f>
        <v>0</v>
      </c>
      <c r="Z804" s="1">
        <f>0</f>
        <v>0</v>
      </c>
      <c r="AA804" s="1"/>
      <c r="AB804" s="5"/>
      <c r="AC804" s="1"/>
      <c r="AD804" s="1">
        <f>0</f>
        <v>0</v>
      </c>
      <c r="AE804" s="1">
        <f>0</f>
        <v>0</v>
      </c>
      <c r="AF804" s="1">
        <f>0</f>
        <v>0</v>
      </c>
      <c r="AG804" s="1">
        <f>0</f>
        <v>0</v>
      </c>
      <c r="AH804" s="1">
        <f>0</f>
        <v>0</v>
      </c>
      <c r="AI804" s="1">
        <f>0</f>
        <v>0</v>
      </c>
      <c r="AJ804" s="1" t="b">
        <v>1</v>
      </c>
      <c r="AK804" s="1"/>
      <c r="AL804" s="1"/>
      <c r="AM804" s="1"/>
      <c r="AN804" s="1"/>
      <c r="AO804" s="1"/>
      <c r="AP804" s="1"/>
      <c r="AQ804" s="1"/>
      <c r="AR804" s="1"/>
      <c r="AS804" s="1"/>
      <c r="AT804" s="1"/>
      <c r="AU804" s="1" t="b">
        <v>1</v>
      </c>
      <c r="AV804" s="1"/>
      <c r="AW804" s="1"/>
      <c r="AX804" s="1"/>
      <c r="AY804" s="1" t="b">
        <v>1</v>
      </c>
      <c r="AZ804" s="1"/>
    </row>
    <row r="805" spans="1:52" ht="15" customHeight="1" x14ac:dyDescent="0.35">
      <c r="A805" s="1" t="s">
        <v>2626</v>
      </c>
      <c r="B805" s="1" t="s">
        <v>2627</v>
      </c>
      <c r="C805" s="1" t="s">
        <v>821</v>
      </c>
      <c r="D805" s="1" t="s">
        <v>1533</v>
      </c>
      <c r="E805" s="1" t="s">
        <v>2228</v>
      </c>
      <c r="F805" s="9" t="s">
        <v>2628</v>
      </c>
      <c r="G805" s="1" t="s">
        <v>38</v>
      </c>
      <c r="H805"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3. Astrix in progress methods</v>
      </c>
      <c r="I805" s="11" t="e">
        <f>ABS(NETWORKDAYS.INTL("04/06/24", "7/23/24", 1, {"01/01/2024","01/15/2024","02/19/2024","05/27/2024","07/04/2024","09/02/2024","10/14/2024","11/11/2024","11/28/2024","12/25/2024","12/25/2024","12/26/2024","12/27/2024","12/28/2024","12/29/2024","12/30/2024","31/25/2024","01/01/2024","01/02/2024","01/03/2024","01/04/2024","01/05/2024"}))</f>
        <v>#VALUE!</v>
      </c>
      <c r="J805">
        <f>0</f>
        <v>0</v>
      </c>
      <c r="K805" s="1"/>
      <c r="L805" s="1">
        <v>0</v>
      </c>
      <c r="M805" s="1">
        <f>0</f>
        <v>0</v>
      </c>
      <c r="N805" s="1">
        <f>0</f>
        <v>0</v>
      </c>
      <c r="O805" s="1">
        <f>0</f>
        <v>0</v>
      </c>
      <c r="P805" s="1"/>
      <c r="Q805" s="1">
        <v>0</v>
      </c>
      <c r="R805" s="1">
        <v>0</v>
      </c>
      <c r="S805" s="1">
        <f>0</f>
        <v>0</v>
      </c>
      <c r="T805" s="1">
        <f>0</f>
        <v>0</v>
      </c>
      <c r="U805" s="1"/>
      <c r="V805" s="1">
        <v>0</v>
      </c>
      <c r="W805" s="1">
        <v>0</v>
      </c>
      <c r="X805" s="1">
        <f>0</f>
        <v>0</v>
      </c>
      <c r="Y805" s="1">
        <f>0</f>
        <v>0</v>
      </c>
      <c r="Z805" s="1">
        <f>0</f>
        <v>0</v>
      </c>
      <c r="AA805" s="1"/>
      <c r="AB805" s="5"/>
      <c r="AC805" s="1"/>
      <c r="AD805" s="1">
        <f>0</f>
        <v>0</v>
      </c>
      <c r="AE805" s="1">
        <f>0</f>
        <v>0</v>
      </c>
      <c r="AF805" s="1">
        <f>0</f>
        <v>0</v>
      </c>
      <c r="AG805" s="1">
        <f>0</f>
        <v>0</v>
      </c>
      <c r="AH805" s="1">
        <f>0</f>
        <v>0</v>
      </c>
      <c r="AI805" s="1">
        <f>0</f>
        <v>0</v>
      </c>
      <c r="AJ805" s="1" t="b">
        <v>1</v>
      </c>
      <c r="AK805" s="1"/>
      <c r="AL805" s="1"/>
      <c r="AM805" s="1"/>
      <c r="AN805" s="1"/>
      <c r="AO805" s="1"/>
      <c r="AP805" s="1"/>
      <c r="AQ805" s="1"/>
      <c r="AR805" s="1"/>
      <c r="AS805" s="1"/>
      <c r="AT805" s="1"/>
      <c r="AU805" s="1" t="b">
        <v>1</v>
      </c>
      <c r="AV805" s="1"/>
      <c r="AW805" s="1"/>
      <c r="AX805" s="1"/>
      <c r="AY805" s="1" t="b">
        <v>1</v>
      </c>
      <c r="AZ805" s="1"/>
    </row>
    <row r="806" spans="1:52" ht="15" customHeight="1" x14ac:dyDescent="0.35">
      <c r="A806" s="1" t="s">
        <v>2629</v>
      </c>
      <c r="B806" s="1" t="s">
        <v>2630</v>
      </c>
      <c r="C806" s="1" t="s">
        <v>988</v>
      </c>
      <c r="D806" s="1" t="s">
        <v>2631</v>
      </c>
      <c r="E806" s="1" t="s">
        <v>2161</v>
      </c>
      <c r="F806" s="9" t="s">
        <v>2632</v>
      </c>
      <c r="G806" s="1" t="s">
        <v>38</v>
      </c>
      <c r="H806" s="10" t="str">
        <f>IF(UPPER(TRIM(Tasks[[#This Row],[Bucket Name]]))="1.BACKLOG", "2. Not started methods",
IF(OR(UPPER(TRIM(Tasks[[#This Row],[Bucket Name]]))="3.CONFIGURATION IN PROGRESS", UPPER(TRIM(Tasks[[#This Row],[Bucket Name]]))="4.BLOCKED", UPPER(TRIM(Tasks[[#This Row],[Bucket Name]]))="5.CONFIGURATION COMPLETE", UPPER(TRIM(Tasks[[#This Row],[Bucket Name]]))="6.PEER REVIEW IN PROGRESS", UPPER(TRIM(Tasks[[#This Row],[Bucket Name]]))="7.PEER REVIEW-REWORK REQ", UPPER(TRIM(Tasks[[#This Row],[Bucket Name]]))="8.READY FOR DEMO", UPPER(TRIM(Tasks[[#This Row],[Bucket Name]]))="9.DEMO IN PROGRESS", UPPER(TRIM(Tasks[[#This Row],[Bucket Name]]))="10.CLIENT REWORK REQUIRED", UPPER(TRIM(Tasks[[#This Row],[Bucket Name]]))="11.CLIENT REWORK IN PROGRESS"), "3. Astrix in progress methods",
IF(OR(UPPER(TRIM(Tasks[[#This Row],[Bucket Name]]))="12.READY FOR CLIENT VERIFICATION", UPPER(TRIM(Tasks[[#This Row],[Bucket Name]]))="13.VERIFICATION IN PROGRESS", UPPER(TRIM(Tasks[[#This Row],[Bucket Name]]))="14.VERIFICATION COMPLETE"), "4. Lilly in progress methods",
IF(OR(UPPER(TRIM(Tasks[[#This Row],[Bucket Name]]))="15.READY TO MIGRATE", UPPER(TRIM(Tasks[[#This Row],[Bucket Name]]))="STAGE LOAD COMPLETE", UPPER(TRIM(Tasks[[#This Row],[Bucket Name]]))="UNIT TEST COMPLETE", UPPER(TRIM(Tasks[[#This Row],[Bucket Name]]))="ADDED TO PACKAGE"), "5. Complete methods", "1. Out of Scope"))))</f>
        <v>5. Complete methods</v>
      </c>
      <c r="I806" s="11" t="e">
        <f>ABS(NETWORKDAYS.INTL("03/20/24", "05/22/24", 1, {"01/01/2024","01/15/2024","02/19/2024","05/27/2024","07/04/2024","09/02/2024","10/14/2024","11/11/2024","11/28/2024","12/25/2024","12/25/2024","12/26/2024","12/27/2024","12/28/2024","12/29/2024","12/30/2024","31/25/2024","01/01/2024","01/02/2024","01/03/2024","01/04/2024","01/05/2024"}))</f>
        <v>#VALUE!</v>
      </c>
      <c r="J806">
        <f>0</f>
        <v>0</v>
      </c>
      <c r="K806" s="1"/>
      <c r="L806" s="1">
        <v>1</v>
      </c>
      <c r="M806" s="1" t="e">
        <f>ABS(NETWORKDAYS.INTL("06/19/24", "06/19/24", 1, {"01/01/2024","01/15/2024","02/19/2024","05/27/2024","07/04/2024","09/02/2024","10/14/2024","11/11/2024","11/28/2024","12/25/2024","12/25/2024","12/26/2024","12/27/2024","12/28/2024","12/29/2024","12/30/2024","31/25/2024","01/01/2024","01/02/2024","01/03/2024","01/04/2024","01/05/2024"}))</f>
        <v>#VALUE!</v>
      </c>
      <c r="N806" s="1">
        <f>0</f>
        <v>0</v>
      </c>
      <c r="O806" s="1">
        <f>0</f>
        <v>0</v>
      </c>
      <c r="P806" s="1"/>
      <c r="Q806" s="1">
        <v>0</v>
      </c>
      <c r="R806" s="1">
        <v>0</v>
      </c>
      <c r="S806" s="1">
        <f>0</f>
        <v>0</v>
      </c>
      <c r="T806" s="1">
        <f>0</f>
        <v>0</v>
      </c>
      <c r="U806" s="1"/>
      <c r="V806" s="1">
        <v>2</v>
      </c>
      <c r="W806" s="1">
        <v>1</v>
      </c>
      <c r="X806" s="1" t="e">
        <f>ABS(NETWORKDAYS.INTL("06/19/24", "06/21/24", 1, {"01/01/2024","01/15/2024","02/19/2024","05/27/2024","07/04/2024","09/02/2024","10/14/2024","11/11/2024","11/28/2024","12/25/2024","12/25/2024","12/26/2024","12/27/2024","12/28/2024","12/29/2024","12/30/2024","31/25/2024","01/01/2024","01/02/2024","01/03/2024","01/04/2024","01/05/2024"}))</f>
        <v>#VALUE!</v>
      </c>
      <c r="Y806" s="1" t="e">
        <f>ABS(NETWORKDAYS.INTL("07/09/2024", "7/09/2024", 1, {"01/01/2024","01/15/2024","02/19/2024","05/27/2024","07/04/2024","09/02/2024","10/14/2024","11/11/2024","11/28/2024","12/25/2024","12/25/2024","12/26/2024","12/27/2024","12/28/2024","12/29/2024","12/30/2024","31/25/2024","01/01/2024","01/02/2024","01/03/2024","01/04/2024","01/05/2024"})+NETWORKDAYS.INTL("07/11/2024", "07/11/2024", 1, {"01/01/2024","01/15/2024","02/19/2024","05/27/2024","07/04/2024","09/02/2024","10/14/2024","11/11/2024","11/28/2024","12/25/2024","12/25/2024","12/26/2024","12/27/2024","12/28/2024","12/29/2024","12/30/2024","31/25/2024","01/01/2024","01/02/2024","01/03/2024","01/04/2024","01/05/2024"}))</f>
        <v>#VALUE!</v>
      </c>
      <c r="Z806" s="1">
        <f>0</f>
        <v>0</v>
      </c>
      <c r="AA806" s="1"/>
      <c r="AB806" s="5">
        <v>45484</v>
      </c>
      <c r="AC806" s="5">
        <v>45504</v>
      </c>
      <c r="AD806" s="1" t="e">
        <f>ABS(NETWORKDAYS.INTL("06/19/24", "05/22/24", 1, {"01/01/2024","01/15/2024","02/19/2024","05/27/2024","07/04/2024","09/02/2024","10/14/2024","11/11/2024","11/28/2024","12/25/2024","12/25/2024","12/26/2024","12/27/2024","12/28/2024","12/29/2024","12/30/2024","31/25/2024","01/01/2024","01/02/2024","01/03/2024","01/04/2024","01/05/2024"}))</f>
        <v>#VALUE!</v>
      </c>
      <c r="AE806" s="1">
        <f>0</f>
        <v>0</v>
      </c>
      <c r="AF806" s="1">
        <f>0</f>
        <v>0</v>
      </c>
      <c r="AG806" s="1" t="e">
        <f>ABS(NETWORKDAYS.INTL("06/19/24", "08/05/24", 1, {"01/01/2024","01/15/2024","02/19/2024","05/27/2024","07/04/2024","09/02/2024","10/14/2024","11/11/2024","11/28/2024","12/25/2024","12/25/2024","12/26/2024","12/27/2024","12/28/2024","12/29/2024","12/30/2024","31/25/2024","01/01/2024","01/02/2024","01/03/2024","01/04/2024","01/05/2024"}))</f>
        <v>#VALUE!</v>
      </c>
      <c r="AH806" s="1" t="e">
        <f>ABS(NETWORKDAYS.INTL("06/19/24", "06/19/24", 1, {"01/01/2024","01/15/2024","02/19/2024","05/27/2024","07/04/2024","09/02/2024","10/14/2024","11/11/2024","11/28/2024","12/25/2024","12/25/2024","12/26/2024","12/27/2024","12/28/2024","12/29/2024","12/30/2024","31/25/2024","01/01/2024","01/02/2024","01/03/2024","01/04/2024","01/05/2024"}))</f>
        <v>#VALUE!</v>
      </c>
      <c r="AI806" s="1" t="e">
        <f>ABS(NETWORKDAYS.INTL("07/31/2024", "07/11/2024", 1, {"01/01/2024","01/15/2024","02/19/2024","05/27/2024","07/04/2024","09/02/2024","10/14/2024","11/11/2024","11/28/2024","12/25/2024","12/25/2024","12/26/2024","12/27/2024","12/28/2024","12/29/2024","12/30/2024","31/25/2024","01/01/2024","01/02/2024","01/03/2024","01/04/2024","01/05/2024"}))</f>
        <v>#VALUE!</v>
      </c>
      <c r="AJ806" s="1" t="b">
        <v>1</v>
      </c>
      <c r="AK806" s="1"/>
      <c r="AL806" s="1"/>
      <c r="AM806" s="1"/>
      <c r="AN806" s="1"/>
      <c r="AO806" s="1"/>
      <c r="AP806" s="1"/>
      <c r="AQ806" s="1"/>
      <c r="AR806" s="1"/>
      <c r="AS806" s="1"/>
      <c r="AT806" s="1"/>
      <c r="AU806" s="1" t="b">
        <v>1</v>
      </c>
      <c r="AV806" s="1"/>
      <c r="AW806" s="1"/>
      <c r="AX806" s="1"/>
      <c r="AY806" s="1"/>
      <c r="AZ806" s="1" t="b">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0D9D-D6C5-47F0-966D-0B86AB5F05FE}">
  <sheetPr codeName="Sheet2"/>
  <dimension ref="M70:Y1269"/>
  <sheetViews>
    <sheetView showGridLines="0" showRowColHeaders="0" zoomScale="40" zoomScaleNormal="40" workbookViewId="0">
      <selection activeCell="W16" sqref="W16"/>
    </sheetView>
  </sheetViews>
  <sheetFormatPr defaultColWidth="9.1796875" defaultRowHeight="14.5" x14ac:dyDescent="0.35"/>
  <cols>
    <col min="1" max="12" width="9.1796875" style="3"/>
    <col min="13" max="13" width="217.81640625" style="3" bestFit="1" customWidth="1"/>
    <col min="14" max="14" width="45.81640625" style="3" bestFit="1" customWidth="1"/>
    <col min="15" max="15" width="38.26953125" style="3" bestFit="1" customWidth="1"/>
    <col min="16" max="16" width="32.36328125" style="3" bestFit="1" customWidth="1"/>
    <col min="17" max="17" width="54" style="3" bestFit="1" customWidth="1"/>
    <col min="18" max="18" width="51.453125" style="3" bestFit="1" customWidth="1"/>
    <col min="19" max="19" width="46.26953125" style="3" bestFit="1" customWidth="1"/>
    <col min="20" max="20" width="33.7265625" style="3" bestFit="1" customWidth="1"/>
    <col min="21" max="21" width="46" style="3" bestFit="1" customWidth="1"/>
    <col min="22" max="22" width="61" style="3" bestFit="1" customWidth="1"/>
    <col min="23" max="23" width="39.453125" style="3" bestFit="1" customWidth="1"/>
    <col min="24" max="24" width="60.81640625" style="3" bestFit="1" customWidth="1"/>
    <col min="25" max="25" width="53.08984375" style="3" bestFit="1" customWidth="1"/>
    <col min="26" max="16384" width="9.1796875" style="3"/>
  </cols>
  <sheetData>
    <row r="70" spans="13:25" x14ac:dyDescent="0.35">
      <c r="M70" s="2" t="s">
        <v>4</v>
      </c>
      <c r="N70" t="s">
        <v>30</v>
      </c>
      <c r="O70"/>
      <c r="P70"/>
      <c r="Q70"/>
      <c r="R70"/>
      <c r="S70"/>
    </row>
    <row r="71" spans="13:25" x14ac:dyDescent="0.35">
      <c r="M71"/>
      <c r="N71"/>
      <c r="O71"/>
      <c r="P71"/>
      <c r="Q71"/>
      <c r="R71"/>
      <c r="S71"/>
    </row>
    <row r="72" spans="13:25" x14ac:dyDescent="0.35">
      <c r="M72" s="2" t="s">
        <v>29</v>
      </c>
      <c r="N72" t="s">
        <v>31</v>
      </c>
      <c r="O72" t="s">
        <v>585</v>
      </c>
      <c r="P72" t="s">
        <v>32</v>
      </c>
      <c r="Q72" t="s">
        <v>33</v>
      </c>
      <c r="R72" t="s">
        <v>586</v>
      </c>
      <c r="S72" t="s">
        <v>587</v>
      </c>
      <c r="T72" t="s">
        <v>588</v>
      </c>
      <c r="U72" t="s">
        <v>34</v>
      </c>
      <c r="V72" t="s">
        <v>589</v>
      </c>
      <c r="W72" t="s">
        <v>36</v>
      </c>
      <c r="X72" t="s">
        <v>35</v>
      </c>
      <c r="Y72" t="s">
        <v>590</v>
      </c>
    </row>
    <row r="73" spans="13:25" x14ac:dyDescent="0.35">
      <c r="M73" s="6" t="s">
        <v>159</v>
      </c>
      <c r="N73" s="12"/>
      <c r="O73" s="12">
        <v>0</v>
      </c>
      <c r="P73" s="12">
        <v>0</v>
      </c>
      <c r="Q73" s="12"/>
      <c r="R73" s="12">
        <v>0</v>
      </c>
      <c r="S73" s="12">
        <v>0</v>
      </c>
      <c r="T73" s="12">
        <v>0</v>
      </c>
      <c r="U73" s="12"/>
      <c r="V73" s="12">
        <v>0</v>
      </c>
      <c r="W73" s="12">
        <v>0</v>
      </c>
      <c r="X73" s="12"/>
      <c r="Y73" s="12">
        <v>0</v>
      </c>
    </row>
    <row r="74" spans="13:25" x14ac:dyDescent="0.35">
      <c r="M74" s="6" t="s">
        <v>171</v>
      </c>
      <c r="N74" s="12"/>
      <c r="O74" s="12">
        <v>0</v>
      </c>
      <c r="P74" s="12">
        <v>0</v>
      </c>
      <c r="Q74" s="12"/>
      <c r="R74" s="12">
        <v>0</v>
      </c>
      <c r="S74" s="12">
        <v>0</v>
      </c>
      <c r="T74" s="12">
        <v>0</v>
      </c>
      <c r="U74" s="12"/>
      <c r="V74" s="12">
        <v>0</v>
      </c>
      <c r="W74" s="12">
        <v>0</v>
      </c>
      <c r="X74" s="12"/>
      <c r="Y74" s="12">
        <v>0</v>
      </c>
    </row>
    <row r="75" spans="13:25" x14ac:dyDescent="0.35">
      <c r="M75" s="6" t="s">
        <v>209</v>
      </c>
      <c r="N75" s="12"/>
      <c r="O75" s="12">
        <v>0</v>
      </c>
      <c r="P75" s="12">
        <v>0</v>
      </c>
      <c r="Q75" s="12"/>
      <c r="R75" s="12">
        <v>0</v>
      </c>
      <c r="S75" s="12">
        <v>0</v>
      </c>
      <c r="T75" s="12">
        <v>0</v>
      </c>
      <c r="U75" s="12"/>
      <c r="V75" s="12">
        <v>0</v>
      </c>
      <c r="W75" s="12">
        <v>0</v>
      </c>
      <c r="X75" s="12"/>
      <c r="Y75" s="12">
        <v>0</v>
      </c>
    </row>
    <row r="76" spans="13:25" x14ac:dyDescent="0.35">
      <c r="M76" s="6" t="s">
        <v>208</v>
      </c>
      <c r="N76" s="12"/>
      <c r="O76" s="12" t="e">
        <v>#VALUE!</v>
      </c>
      <c r="P76" s="12" t="e">
        <v>#VALUE!</v>
      </c>
      <c r="Q76" s="12"/>
      <c r="R76" s="12">
        <v>0</v>
      </c>
      <c r="S76" s="12">
        <v>0</v>
      </c>
      <c r="T76" s="12" t="e">
        <v>#VALUE!</v>
      </c>
      <c r="U76" s="12"/>
      <c r="V76" s="12" t="e">
        <v>#VALUE!</v>
      </c>
      <c r="W76" s="12" t="e">
        <v>#VALUE!</v>
      </c>
      <c r="X76" s="12"/>
      <c r="Y76" s="12">
        <v>0</v>
      </c>
    </row>
    <row r="77" spans="13:25" x14ac:dyDescent="0.35">
      <c r="M77" s="6" t="s">
        <v>198</v>
      </c>
      <c r="N77" s="12"/>
      <c r="O77" s="12">
        <v>0</v>
      </c>
      <c r="P77" s="12">
        <v>0</v>
      </c>
      <c r="Q77" s="12"/>
      <c r="R77" s="12">
        <v>0</v>
      </c>
      <c r="S77" s="12">
        <v>0</v>
      </c>
      <c r="T77" s="12">
        <v>0</v>
      </c>
      <c r="U77" s="12"/>
      <c r="V77" s="12">
        <v>0</v>
      </c>
      <c r="W77" s="12">
        <v>0</v>
      </c>
      <c r="X77" s="12"/>
      <c r="Y77" s="12">
        <v>0</v>
      </c>
    </row>
    <row r="78" spans="13:25" x14ac:dyDescent="0.35">
      <c r="M78" s="6" t="s">
        <v>197</v>
      </c>
      <c r="N78" s="12"/>
      <c r="O78" s="12" t="e">
        <v>#VALUE!</v>
      </c>
      <c r="P78" s="12" t="e">
        <v>#VALUE!</v>
      </c>
      <c r="Q78" s="12"/>
      <c r="R78" s="12">
        <v>0</v>
      </c>
      <c r="S78" s="12">
        <v>0</v>
      </c>
      <c r="T78" s="12" t="e">
        <v>#VALUE!</v>
      </c>
      <c r="U78" s="12"/>
      <c r="V78" s="12">
        <v>0</v>
      </c>
      <c r="W78" s="12">
        <v>0</v>
      </c>
      <c r="X78" s="12"/>
      <c r="Y78" s="12">
        <v>0</v>
      </c>
    </row>
    <row r="79" spans="13:25" x14ac:dyDescent="0.35">
      <c r="M79" s="6" t="s">
        <v>194</v>
      </c>
      <c r="N79" s="12"/>
      <c r="O79" s="12" t="e">
        <v>#VALUE!</v>
      </c>
      <c r="P79" s="12" t="e">
        <v>#VALUE!</v>
      </c>
      <c r="Q79" s="12"/>
      <c r="R79" s="12">
        <v>0</v>
      </c>
      <c r="S79" s="12">
        <v>0</v>
      </c>
      <c r="T79" s="12" t="e">
        <v>#VALUE!</v>
      </c>
      <c r="U79" s="12"/>
      <c r="V79" s="12">
        <v>0</v>
      </c>
      <c r="W79" s="12">
        <v>0</v>
      </c>
      <c r="X79" s="12"/>
      <c r="Y79" s="12">
        <v>0</v>
      </c>
    </row>
    <row r="80" spans="13:25" x14ac:dyDescent="0.35">
      <c r="M80" s="6" t="s">
        <v>193</v>
      </c>
      <c r="N80" s="12"/>
      <c r="O80" s="12" t="e">
        <v>#VALUE!</v>
      </c>
      <c r="P80" s="12" t="e">
        <v>#VALUE!</v>
      </c>
      <c r="Q80" s="12"/>
      <c r="R80" s="12">
        <v>0</v>
      </c>
      <c r="S80" s="12">
        <v>0</v>
      </c>
      <c r="T80" s="12" t="e">
        <v>#VALUE!</v>
      </c>
      <c r="U80" s="12"/>
      <c r="V80" s="12">
        <v>0</v>
      </c>
      <c r="W80" s="12">
        <v>0</v>
      </c>
      <c r="X80" s="12"/>
      <c r="Y80" s="12">
        <v>0</v>
      </c>
    </row>
    <row r="81" spans="13:25" x14ac:dyDescent="0.35">
      <c r="M81" s="6" t="s">
        <v>158</v>
      </c>
      <c r="N81" s="12"/>
      <c r="O81" s="12">
        <v>0</v>
      </c>
      <c r="P81" s="12">
        <v>0</v>
      </c>
      <c r="Q81" s="12"/>
      <c r="R81" s="12">
        <v>0</v>
      </c>
      <c r="S81" s="12">
        <v>0</v>
      </c>
      <c r="T81" s="12">
        <v>0</v>
      </c>
      <c r="U81" s="12"/>
      <c r="V81" s="12">
        <v>0</v>
      </c>
      <c r="W81" s="12">
        <v>0</v>
      </c>
      <c r="X81" s="12"/>
      <c r="Y81" s="12">
        <v>0</v>
      </c>
    </row>
    <row r="82" spans="13:25" x14ac:dyDescent="0.35">
      <c r="M82" s="6" t="s">
        <v>405</v>
      </c>
      <c r="N82" s="12"/>
      <c r="O82" s="12">
        <v>0</v>
      </c>
      <c r="P82" s="12">
        <v>0</v>
      </c>
      <c r="Q82" s="12"/>
      <c r="R82" s="12">
        <v>0</v>
      </c>
      <c r="S82" s="12">
        <v>0</v>
      </c>
      <c r="T82" s="12">
        <v>0</v>
      </c>
      <c r="U82" s="12"/>
      <c r="V82" s="12">
        <v>0</v>
      </c>
      <c r="W82" s="12">
        <v>0</v>
      </c>
      <c r="X82" s="12"/>
      <c r="Y82" s="12">
        <v>0</v>
      </c>
    </row>
    <row r="83" spans="13:25" x14ac:dyDescent="0.35">
      <c r="M83" s="6" t="s">
        <v>400</v>
      </c>
      <c r="N83" s="12"/>
      <c r="O83" s="12">
        <v>0</v>
      </c>
      <c r="P83" s="12">
        <v>0</v>
      </c>
      <c r="Q83" s="12"/>
      <c r="R83" s="12">
        <v>0</v>
      </c>
      <c r="S83" s="12" t="e">
        <v>#VALUE!</v>
      </c>
      <c r="T83" s="12" t="e">
        <v>#VALUE!</v>
      </c>
      <c r="U83" s="12"/>
      <c r="V83" s="12">
        <v>0</v>
      </c>
      <c r="W83" s="12">
        <v>0</v>
      </c>
      <c r="X83" s="12"/>
      <c r="Y83" s="12">
        <v>0</v>
      </c>
    </row>
    <row r="84" spans="13:25" x14ac:dyDescent="0.35">
      <c r="M84" s="6" t="s">
        <v>397</v>
      </c>
      <c r="N84" s="12"/>
      <c r="O84" s="12">
        <v>0</v>
      </c>
      <c r="P84" s="12">
        <v>0</v>
      </c>
      <c r="Q84" s="12"/>
      <c r="R84" s="12">
        <v>0</v>
      </c>
      <c r="S84" s="12">
        <v>0</v>
      </c>
      <c r="T84" s="12">
        <v>0</v>
      </c>
      <c r="U84" s="12"/>
      <c r="V84" s="12">
        <v>0</v>
      </c>
      <c r="W84" s="12">
        <v>0</v>
      </c>
      <c r="X84" s="12"/>
      <c r="Y84" s="12">
        <v>0</v>
      </c>
    </row>
    <row r="85" spans="13:25" x14ac:dyDescent="0.35">
      <c r="M85" s="6" t="s">
        <v>394</v>
      </c>
      <c r="N85" s="12"/>
      <c r="O85" s="12" t="e">
        <v>#VALUE!</v>
      </c>
      <c r="P85" s="12" t="e">
        <v>#VALUE!</v>
      </c>
      <c r="Q85" s="12"/>
      <c r="R85" s="12">
        <v>0</v>
      </c>
      <c r="S85" s="12" t="e">
        <v>#VALUE!</v>
      </c>
      <c r="T85" s="12" t="e">
        <v>#VALUE!</v>
      </c>
      <c r="U85" s="12"/>
      <c r="V85" s="12" t="e">
        <v>#VALUE!</v>
      </c>
      <c r="W85" s="12" t="e">
        <v>#VALUE!</v>
      </c>
      <c r="X85" s="12"/>
      <c r="Y85" s="12">
        <v>0</v>
      </c>
    </row>
    <row r="86" spans="13:25" x14ac:dyDescent="0.35">
      <c r="M86" s="6" t="s">
        <v>392</v>
      </c>
      <c r="N86" s="12"/>
      <c r="O86" s="12" t="e">
        <v>#VALUE!</v>
      </c>
      <c r="P86" s="12" t="e">
        <v>#VALUE!</v>
      </c>
      <c r="Q86" s="12"/>
      <c r="R86" s="12">
        <v>0</v>
      </c>
      <c r="S86" s="12">
        <v>0</v>
      </c>
      <c r="T86" s="12" t="e">
        <v>#VALUE!</v>
      </c>
      <c r="U86" s="12"/>
      <c r="V86" s="12" t="e">
        <v>#VALUE!</v>
      </c>
      <c r="W86" s="12" t="e">
        <v>#VALUE!</v>
      </c>
      <c r="X86" s="12"/>
      <c r="Y86" s="12" t="e">
        <v>#VALUE!</v>
      </c>
    </row>
    <row r="87" spans="13:25" x14ac:dyDescent="0.35">
      <c r="M87" s="6" t="s">
        <v>390</v>
      </c>
      <c r="N87" s="12"/>
      <c r="O87" s="12">
        <v>0</v>
      </c>
      <c r="P87" s="12">
        <v>0</v>
      </c>
      <c r="Q87" s="12"/>
      <c r="R87" s="12">
        <v>0</v>
      </c>
      <c r="S87" s="12">
        <v>0</v>
      </c>
      <c r="T87" s="12">
        <v>0</v>
      </c>
      <c r="U87" s="12"/>
      <c r="V87" s="12">
        <v>0</v>
      </c>
      <c r="W87" s="12">
        <v>0</v>
      </c>
      <c r="X87" s="12"/>
      <c r="Y87" s="12">
        <v>0</v>
      </c>
    </row>
    <row r="88" spans="13:25" x14ac:dyDescent="0.35">
      <c r="M88" s="6" t="s">
        <v>387</v>
      </c>
      <c r="N88" s="12"/>
      <c r="O88" s="12" t="e">
        <v>#VALUE!</v>
      </c>
      <c r="P88" s="12" t="e">
        <v>#VALUE!</v>
      </c>
      <c r="Q88" s="12"/>
      <c r="R88" s="12">
        <v>0</v>
      </c>
      <c r="S88" s="12">
        <v>0</v>
      </c>
      <c r="T88" s="12" t="e">
        <v>#VALUE!</v>
      </c>
      <c r="U88" s="12"/>
      <c r="V88" s="12" t="e">
        <v>#VALUE!</v>
      </c>
      <c r="W88" s="12" t="e">
        <v>#VALUE!</v>
      </c>
      <c r="X88" s="12"/>
      <c r="Y88" s="12">
        <v>0</v>
      </c>
    </row>
    <row r="89" spans="13:25" x14ac:dyDescent="0.35">
      <c r="M89" s="6" t="s">
        <v>386</v>
      </c>
      <c r="N89" s="12"/>
      <c r="O89" s="12">
        <v>0</v>
      </c>
      <c r="P89" s="12">
        <v>0</v>
      </c>
      <c r="Q89" s="12"/>
      <c r="R89" s="12">
        <v>0</v>
      </c>
      <c r="S89" s="12">
        <v>0</v>
      </c>
      <c r="T89" s="12">
        <v>0</v>
      </c>
      <c r="U89" s="12"/>
      <c r="V89" s="12">
        <v>0</v>
      </c>
      <c r="W89" s="12">
        <v>0</v>
      </c>
      <c r="X89" s="12"/>
      <c r="Y89" s="12">
        <v>0</v>
      </c>
    </row>
    <row r="90" spans="13:25" x14ac:dyDescent="0.35">
      <c r="M90" s="6" t="s">
        <v>385</v>
      </c>
      <c r="N90" s="12"/>
      <c r="O90" s="12" t="e">
        <v>#VALUE!</v>
      </c>
      <c r="P90" s="12" t="e">
        <v>#VALUE!</v>
      </c>
      <c r="Q90" s="12"/>
      <c r="R90" s="12">
        <v>0</v>
      </c>
      <c r="S90" s="12">
        <v>0</v>
      </c>
      <c r="T90" s="12" t="e">
        <v>#VALUE!</v>
      </c>
      <c r="U90" s="12"/>
      <c r="V90" s="12" t="e">
        <v>#VALUE!</v>
      </c>
      <c r="W90" s="12" t="e">
        <v>#VALUE!</v>
      </c>
      <c r="X90" s="12"/>
      <c r="Y90" s="12">
        <v>0</v>
      </c>
    </row>
    <row r="91" spans="13:25" x14ac:dyDescent="0.35">
      <c r="M91" s="6" t="s">
        <v>384</v>
      </c>
      <c r="N91" s="12"/>
      <c r="O91" s="12">
        <v>0</v>
      </c>
      <c r="P91" s="12">
        <v>0</v>
      </c>
      <c r="Q91" s="12"/>
      <c r="R91" s="12">
        <v>0</v>
      </c>
      <c r="S91" s="12">
        <v>0</v>
      </c>
      <c r="T91" s="12">
        <v>0</v>
      </c>
      <c r="U91" s="12"/>
      <c r="V91" s="12">
        <v>0</v>
      </c>
      <c r="W91" s="12">
        <v>0</v>
      </c>
      <c r="X91" s="12"/>
      <c r="Y91" s="12">
        <v>0</v>
      </c>
    </row>
    <row r="92" spans="13:25" x14ac:dyDescent="0.35">
      <c r="M92" s="6" t="s">
        <v>383</v>
      </c>
      <c r="N92" s="12"/>
      <c r="O92" s="12">
        <v>0</v>
      </c>
      <c r="P92" s="12">
        <v>0</v>
      </c>
      <c r="Q92" s="12"/>
      <c r="R92" s="12">
        <v>0</v>
      </c>
      <c r="S92" s="12">
        <v>0</v>
      </c>
      <c r="T92" s="12">
        <v>0</v>
      </c>
      <c r="U92" s="12"/>
      <c r="V92" s="12">
        <v>0</v>
      </c>
      <c r="W92" s="12">
        <v>0</v>
      </c>
      <c r="X92" s="12"/>
      <c r="Y92" s="12">
        <v>0</v>
      </c>
    </row>
    <row r="93" spans="13:25" x14ac:dyDescent="0.35">
      <c r="M93" s="6" t="s">
        <v>382</v>
      </c>
      <c r="N93" s="12"/>
      <c r="O93" s="12" t="e">
        <v>#VALUE!</v>
      </c>
      <c r="P93" s="12" t="e">
        <v>#VALUE!</v>
      </c>
      <c r="Q93" s="12"/>
      <c r="R93" s="12">
        <v>0</v>
      </c>
      <c r="S93" s="12" t="e">
        <v>#VALUE!</v>
      </c>
      <c r="T93" s="12" t="e">
        <v>#VALUE!</v>
      </c>
      <c r="U93" s="12"/>
      <c r="V93" s="12" t="e">
        <v>#VALUE!</v>
      </c>
      <c r="W93" s="12" t="e">
        <v>#VALUE!</v>
      </c>
      <c r="X93" s="12"/>
      <c r="Y93" s="12">
        <v>0</v>
      </c>
    </row>
    <row r="94" spans="13:25" x14ac:dyDescent="0.35">
      <c r="M94" s="6" t="s">
        <v>381</v>
      </c>
      <c r="N94" s="12"/>
      <c r="O94" s="12">
        <v>0</v>
      </c>
      <c r="P94" s="12">
        <v>0</v>
      </c>
      <c r="Q94" s="12"/>
      <c r="R94" s="12">
        <v>0</v>
      </c>
      <c r="S94" s="12">
        <v>0</v>
      </c>
      <c r="T94" s="12">
        <v>0</v>
      </c>
      <c r="U94" s="12"/>
      <c r="V94" s="12">
        <v>0</v>
      </c>
      <c r="W94" s="12">
        <v>0</v>
      </c>
      <c r="X94" s="12"/>
      <c r="Y94" s="12">
        <v>0</v>
      </c>
    </row>
    <row r="95" spans="13:25" x14ac:dyDescent="0.35">
      <c r="M95" s="6" t="s">
        <v>380</v>
      </c>
      <c r="N95" s="12"/>
      <c r="O95" s="12">
        <v>0</v>
      </c>
      <c r="P95" s="12">
        <v>0</v>
      </c>
      <c r="Q95" s="12"/>
      <c r="R95" s="12">
        <v>0</v>
      </c>
      <c r="S95" s="12">
        <v>0</v>
      </c>
      <c r="T95" s="12">
        <v>0</v>
      </c>
      <c r="U95" s="12"/>
      <c r="V95" s="12">
        <v>0</v>
      </c>
      <c r="W95" s="12">
        <v>0</v>
      </c>
      <c r="X95" s="12"/>
      <c r="Y95" s="12">
        <v>0</v>
      </c>
    </row>
    <row r="96" spans="13:25" x14ac:dyDescent="0.35">
      <c r="M96" s="6" t="s">
        <v>379</v>
      </c>
      <c r="N96" s="12"/>
      <c r="O96" s="12">
        <v>0</v>
      </c>
      <c r="P96" s="12">
        <v>0</v>
      </c>
      <c r="Q96" s="12"/>
      <c r="R96" s="12">
        <v>0</v>
      </c>
      <c r="S96" s="12">
        <v>0</v>
      </c>
      <c r="T96" s="12">
        <v>0</v>
      </c>
      <c r="U96" s="12"/>
      <c r="V96" s="12">
        <v>0</v>
      </c>
      <c r="W96" s="12">
        <v>0</v>
      </c>
      <c r="X96" s="12"/>
      <c r="Y96" s="12">
        <v>0</v>
      </c>
    </row>
    <row r="97" spans="13:25" x14ac:dyDescent="0.35">
      <c r="M97" s="6" t="s">
        <v>378</v>
      </c>
      <c r="N97" s="12"/>
      <c r="O97" s="12" t="e">
        <v>#VALUE!</v>
      </c>
      <c r="P97" s="12" t="e">
        <v>#VALUE!</v>
      </c>
      <c r="Q97" s="12"/>
      <c r="R97" s="12">
        <v>0</v>
      </c>
      <c r="S97" s="12">
        <v>0</v>
      </c>
      <c r="T97" s="12" t="e">
        <v>#VALUE!</v>
      </c>
      <c r="U97" s="12"/>
      <c r="V97" s="12" t="e">
        <v>#VALUE!</v>
      </c>
      <c r="W97" s="12" t="e">
        <v>#VALUE!</v>
      </c>
      <c r="X97" s="12"/>
      <c r="Y97" s="12">
        <v>0</v>
      </c>
    </row>
    <row r="98" spans="13:25" x14ac:dyDescent="0.35">
      <c r="M98" s="6" t="s">
        <v>377</v>
      </c>
      <c r="N98" s="12"/>
      <c r="O98" s="12" t="e">
        <v>#VALUE!</v>
      </c>
      <c r="P98" s="12" t="e">
        <v>#VALUE!</v>
      </c>
      <c r="Q98" s="12"/>
      <c r="R98" s="12">
        <v>0</v>
      </c>
      <c r="S98" s="12">
        <v>0</v>
      </c>
      <c r="T98" s="12" t="e">
        <v>#VALUE!</v>
      </c>
      <c r="U98" s="12"/>
      <c r="V98" s="12" t="e">
        <v>#VALUE!</v>
      </c>
      <c r="W98" s="12" t="e">
        <v>#VALUE!</v>
      </c>
      <c r="X98" s="12"/>
      <c r="Y98" s="12" t="e">
        <v>#VALUE!</v>
      </c>
    </row>
    <row r="99" spans="13:25" x14ac:dyDescent="0.35">
      <c r="M99" s="6" t="s">
        <v>376</v>
      </c>
      <c r="N99" s="12"/>
      <c r="O99" s="12" t="e">
        <v>#VALUE!</v>
      </c>
      <c r="P99" s="12" t="e">
        <v>#VALUE!</v>
      </c>
      <c r="Q99" s="12"/>
      <c r="R99" s="12">
        <v>0</v>
      </c>
      <c r="S99" s="12">
        <v>0</v>
      </c>
      <c r="T99" s="12" t="e">
        <v>#VALUE!</v>
      </c>
      <c r="U99" s="12"/>
      <c r="V99" s="12" t="e">
        <v>#VALUE!</v>
      </c>
      <c r="W99" s="12" t="e">
        <v>#VALUE!</v>
      </c>
      <c r="X99" s="12"/>
      <c r="Y99" s="12">
        <v>0</v>
      </c>
    </row>
    <row r="100" spans="13:25" x14ac:dyDescent="0.35">
      <c r="M100" s="6" t="s">
        <v>375</v>
      </c>
      <c r="N100" s="12"/>
      <c r="O100" s="12" t="e">
        <v>#VALUE!</v>
      </c>
      <c r="P100" s="12" t="e">
        <v>#VALUE!</v>
      </c>
      <c r="Q100" s="12"/>
      <c r="R100" s="12">
        <v>0</v>
      </c>
      <c r="S100" s="12">
        <v>0</v>
      </c>
      <c r="T100" s="12" t="e">
        <v>#VALUE!</v>
      </c>
      <c r="U100" s="12"/>
      <c r="V100" s="12" t="e">
        <v>#VALUE!</v>
      </c>
      <c r="W100" s="12" t="e">
        <v>#VALUE!</v>
      </c>
      <c r="X100" s="12"/>
      <c r="Y100" s="12">
        <v>0</v>
      </c>
    </row>
    <row r="101" spans="13:25" x14ac:dyDescent="0.35">
      <c r="M101" s="6" t="s">
        <v>374</v>
      </c>
      <c r="N101" s="12"/>
      <c r="O101" s="12" t="e">
        <v>#VALUE!</v>
      </c>
      <c r="P101" s="12" t="e">
        <v>#VALUE!</v>
      </c>
      <c r="Q101" s="12"/>
      <c r="R101" s="12">
        <v>0</v>
      </c>
      <c r="S101" s="12">
        <v>0</v>
      </c>
      <c r="T101" s="12" t="e">
        <v>#VALUE!</v>
      </c>
      <c r="U101" s="12"/>
      <c r="V101" s="12" t="e">
        <v>#VALUE!</v>
      </c>
      <c r="W101" s="12" t="e">
        <v>#VALUE!</v>
      </c>
      <c r="X101" s="12"/>
      <c r="Y101" s="12">
        <v>0</v>
      </c>
    </row>
    <row r="102" spans="13:25" x14ac:dyDescent="0.35">
      <c r="M102" s="6" t="s">
        <v>373</v>
      </c>
      <c r="N102" s="12"/>
      <c r="O102" s="12" t="e">
        <v>#VALUE!</v>
      </c>
      <c r="P102" s="12" t="e">
        <v>#VALUE!</v>
      </c>
      <c r="Q102" s="12"/>
      <c r="R102" s="12">
        <v>0</v>
      </c>
      <c r="S102" s="12">
        <v>0</v>
      </c>
      <c r="T102" s="12" t="e">
        <v>#VALUE!</v>
      </c>
      <c r="U102" s="12"/>
      <c r="V102" s="12" t="e">
        <v>#VALUE!</v>
      </c>
      <c r="W102" s="12" t="e">
        <v>#VALUE!</v>
      </c>
      <c r="X102" s="12"/>
      <c r="Y102" s="12" t="e">
        <v>#VALUE!</v>
      </c>
    </row>
    <row r="103" spans="13:25" x14ac:dyDescent="0.35">
      <c r="M103" s="6" t="s">
        <v>372</v>
      </c>
      <c r="N103" s="12"/>
      <c r="O103" s="12" t="e">
        <v>#VALUE!</v>
      </c>
      <c r="P103" s="12" t="e">
        <v>#VALUE!</v>
      </c>
      <c r="Q103" s="12"/>
      <c r="R103" s="12">
        <v>0</v>
      </c>
      <c r="S103" s="12">
        <v>0</v>
      </c>
      <c r="T103" s="12" t="e">
        <v>#VALUE!</v>
      </c>
      <c r="U103" s="12"/>
      <c r="V103" s="12" t="e">
        <v>#VALUE!</v>
      </c>
      <c r="W103" s="12" t="e">
        <v>#VALUE!</v>
      </c>
      <c r="X103" s="12"/>
      <c r="Y103" s="12" t="e">
        <v>#VALUE!</v>
      </c>
    </row>
    <row r="104" spans="13:25" x14ac:dyDescent="0.35">
      <c r="M104" s="6" t="s">
        <v>371</v>
      </c>
      <c r="N104" s="12"/>
      <c r="O104" s="12" t="e">
        <v>#VALUE!</v>
      </c>
      <c r="P104" s="12" t="e">
        <v>#VALUE!</v>
      </c>
      <c r="Q104" s="12"/>
      <c r="R104" s="12">
        <v>0</v>
      </c>
      <c r="S104" s="12">
        <v>0</v>
      </c>
      <c r="T104" s="12" t="e">
        <v>#VALUE!</v>
      </c>
      <c r="U104" s="12"/>
      <c r="V104" s="12" t="e">
        <v>#VALUE!</v>
      </c>
      <c r="W104" s="12" t="e">
        <v>#VALUE!</v>
      </c>
      <c r="X104" s="12"/>
      <c r="Y104" s="12">
        <v>0</v>
      </c>
    </row>
    <row r="105" spans="13:25" x14ac:dyDescent="0.35">
      <c r="M105" s="6" t="s">
        <v>370</v>
      </c>
      <c r="N105" s="12"/>
      <c r="O105" s="12" t="e">
        <v>#VALUE!</v>
      </c>
      <c r="P105" s="12" t="e">
        <v>#VALUE!</v>
      </c>
      <c r="Q105" s="12"/>
      <c r="R105" s="12">
        <v>0</v>
      </c>
      <c r="S105" s="12">
        <v>0</v>
      </c>
      <c r="T105" s="12" t="e">
        <v>#VALUE!</v>
      </c>
      <c r="U105" s="12"/>
      <c r="V105" s="12" t="e">
        <v>#VALUE!</v>
      </c>
      <c r="W105" s="12" t="e">
        <v>#VALUE!</v>
      </c>
      <c r="X105" s="12"/>
      <c r="Y105" s="12" t="e">
        <v>#VALUE!</v>
      </c>
    </row>
    <row r="106" spans="13:25" x14ac:dyDescent="0.35">
      <c r="M106" s="6" t="s">
        <v>369</v>
      </c>
      <c r="N106" s="12"/>
      <c r="O106" s="12" t="e">
        <v>#VALUE!</v>
      </c>
      <c r="P106" s="12" t="e">
        <v>#VALUE!</v>
      </c>
      <c r="Q106" s="12"/>
      <c r="R106" s="12">
        <v>0</v>
      </c>
      <c r="S106" s="12">
        <v>0</v>
      </c>
      <c r="T106" s="12" t="e">
        <v>#VALUE!</v>
      </c>
      <c r="U106" s="12"/>
      <c r="V106" s="12" t="e">
        <v>#VALUE!</v>
      </c>
      <c r="W106" s="12" t="e">
        <v>#VALUE!</v>
      </c>
      <c r="X106" s="12"/>
      <c r="Y106" s="12" t="e">
        <v>#VALUE!</v>
      </c>
    </row>
    <row r="107" spans="13:25" x14ac:dyDescent="0.35">
      <c r="M107" s="6" t="s">
        <v>368</v>
      </c>
      <c r="N107" s="12"/>
      <c r="O107" s="12" t="e">
        <v>#VALUE!</v>
      </c>
      <c r="P107" s="12" t="e">
        <v>#VALUE!</v>
      </c>
      <c r="Q107" s="12"/>
      <c r="R107" s="12">
        <v>0</v>
      </c>
      <c r="S107" s="12">
        <v>0</v>
      </c>
      <c r="T107" s="12" t="e">
        <v>#VALUE!</v>
      </c>
      <c r="U107" s="12"/>
      <c r="V107" s="12" t="e">
        <v>#VALUE!</v>
      </c>
      <c r="W107" s="12" t="e">
        <v>#VALUE!</v>
      </c>
      <c r="X107" s="12"/>
      <c r="Y107" s="12" t="e">
        <v>#VALUE!</v>
      </c>
    </row>
    <row r="108" spans="13:25" x14ac:dyDescent="0.35">
      <c r="M108" s="6" t="s">
        <v>367</v>
      </c>
      <c r="N108" s="12"/>
      <c r="O108" s="12" t="e">
        <v>#VALUE!</v>
      </c>
      <c r="P108" s="12" t="e">
        <v>#VALUE!</v>
      </c>
      <c r="Q108" s="12"/>
      <c r="R108" s="12">
        <v>0</v>
      </c>
      <c r="S108" s="12">
        <v>0</v>
      </c>
      <c r="T108" s="12" t="e">
        <v>#VALUE!</v>
      </c>
      <c r="U108" s="12"/>
      <c r="V108" s="12" t="e">
        <v>#VALUE!</v>
      </c>
      <c r="W108" s="12" t="e">
        <v>#VALUE!</v>
      </c>
      <c r="X108" s="12"/>
      <c r="Y108" s="12" t="e">
        <v>#VALUE!</v>
      </c>
    </row>
    <row r="109" spans="13:25" x14ac:dyDescent="0.35">
      <c r="M109" s="6" t="s">
        <v>366</v>
      </c>
      <c r="N109" s="12"/>
      <c r="O109" s="12" t="e">
        <v>#VALUE!</v>
      </c>
      <c r="P109" s="12" t="e">
        <v>#VALUE!</v>
      </c>
      <c r="Q109" s="12"/>
      <c r="R109" s="12">
        <v>0</v>
      </c>
      <c r="S109" s="12">
        <v>0</v>
      </c>
      <c r="T109" s="12" t="e">
        <v>#VALUE!</v>
      </c>
      <c r="U109" s="12"/>
      <c r="V109" s="12" t="e">
        <v>#VALUE!</v>
      </c>
      <c r="W109" s="12" t="e">
        <v>#VALUE!</v>
      </c>
      <c r="X109" s="12"/>
      <c r="Y109" s="12">
        <v>0</v>
      </c>
    </row>
    <row r="110" spans="13:25" x14ac:dyDescent="0.35">
      <c r="M110" s="6" t="s">
        <v>365</v>
      </c>
      <c r="N110" s="12"/>
      <c r="O110" s="12" t="e">
        <v>#VALUE!</v>
      </c>
      <c r="P110" s="12" t="e">
        <v>#VALUE!</v>
      </c>
      <c r="Q110" s="12"/>
      <c r="R110" s="12">
        <v>0</v>
      </c>
      <c r="S110" s="12">
        <v>0</v>
      </c>
      <c r="T110" s="12" t="e">
        <v>#VALUE!</v>
      </c>
      <c r="U110" s="12"/>
      <c r="V110" s="12" t="e">
        <v>#VALUE!</v>
      </c>
      <c r="W110" s="12" t="e">
        <v>#VALUE!</v>
      </c>
      <c r="X110" s="12"/>
      <c r="Y110" s="12" t="e">
        <v>#VALUE!</v>
      </c>
    </row>
    <row r="111" spans="13:25" x14ac:dyDescent="0.35">
      <c r="M111" s="6" t="s">
        <v>364</v>
      </c>
      <c r="N111" s="12"/>
      <c r="O111" s="12">
        <v>0</v>
      </c>
      <c r="P111" s="12">
        <v>0</v>
      </c>
      <c r="Q111" s="12"/>
      <c r="R111" s="12">
        <v>0</v>
      </c>
      <c r="S111" s="12">
        <v>0</v>
      </c>
      <c r="T111" s="12">
        <v>0</v>
      </c>
      <c r="U111" s="12"/>
      <c r="V111" s="12">
        <v>0</v>
      </c>
      <c r="W111" s="12">
        <v>0</v>
      </c>
      <c r="X111" s="12"/>
      <c r="Y111" s="12">
        <v>0</v>
      </c>
    </row>
    <row r="112" spans="13:25" x14ac:dyDescent="0.35">
      <c r="M112" s="6" t="s">
        <v>363</v>
      </c>
      <c r="N112" s="12"/>
      <c r="O112" s="12" t="e">
        <v>#VALUE!</v>
      </c>
      <c r="P112" s="12" t="e">
        <v>#VALUE!</v>
      </c>
      <c r="Q112" s="12"/>
      <c r="R112" s="12">
        <v>0</v>
      </c>
      <c r="S112" s="12">
        <v>0</v>
      </c>
      <c r="T112" s="12" t="e">
        <v>#VALUE!</v>
      </c>
      <c r="U112" s="12"/>
      <c r="V112" s="12" t="e">
        <v>#VALUE!</v>
      </c>
      <c r="W112" s="12" t="e">
        <v>#VALUE!</v>
      </c>
      <c r="X112" s="12"/>
      <c r="Y112" s="12" t="e">
        <v>#VALUE!</v>
      </c>
    </row>
    <row r="113" spans="13:25" x14ac:dyDescent="0.35">
      <c r="M113" s="6" t="s">
        <v>362</v>
      </c>
      <c r="N113" s="12"/>
      <c r="O113" s="12" t="e">
        <v>#VALUE!</v>
      </c>
      <c r="P113" s="12" t="e">
        <v>#VALUE!</v>
      </c>
      <c r="Q113" s="12"/>
      <c r="R113" s="12">
        <v>0</v>
      </c>
      <c r="S113" s="12">
        <v>0</v>
      </c>
      <c r="T113" s="12" t="e">
        <v>#VALUE!</v>
      </c>
      <c r="U113" s="12"/>
      <c r="V113" s="12" t="e">
        <v>#VALUE!</v>
      </c>
      <c r="W113" s="12" t="e">
        <v>#VALUE!</v>
      </c>
      <c r="X113" s="12"/>
      <c r="Y113" s="12">
        <v>0</v>
      </c>
    </row>
    <row r="114" spans="13:25" x14ac:dyDescent="0.35">
      <c r="M114" s="6" t="s">
        <v>361</v>
      </c>
      <c r="N114" s="12"/>
      <c r="O114" s="12" t="e">
        <v>#VALUE!</v>
      </c>
      <c r="P114" s="12" t="e">
        <v>#VALUE!</v>
      </c>
      <c r="Q114" s="12"/>
      <c r="R114" s="12">
        <v>0</v>
      </c>
      <c r="S114" s="12">
        <v>0</v>
      </c>
      <c r="T114" s="12" t="e">
        <v>#VALUE!</v>
      </c>
      <c r="U114" s="12"/>
      <c r="V114" s="12" t="e">
        <v>#VALUE!</v>
      </c>
      <c r="W114" s="12" t="e">
        <v>#VALUE!</v>
      </c>
      <c r="X114" s="12"/>
      <c r="Y114" s="12" t="e">
        <v>#VALUE!</v>
      </c>
    </row>
    <row r="115" spans="13:25" x14ac:dyDescent="0.35">
      <c r="M115" s="6" t="s">
        <v>360</v>
      </c>
      <c r="N115" s="12"/>
      <c r="O115" s="12">
        <v>0</v>
      </c>
      <c r="P115" s="12">
        <v>0</v>
      </c>
      <c r="Q115" s="12"/>
      <c r="R115" s="12">
        <v>0</v>
      </c>
      <c r="S115" s="12">
        <v>0</v>
      </c>
      <c r="T115" s="12">
        <v>0</v>
      </c>
      <c r="U115" s="12"/>
      <c r="V115" s="12">
        <v>0</v>
      </c>
      <c r="W115" s="12">
        <v>0</v>
      </c>
      <c r="X115" s="12"/>
      <c r="Y115" s="12">
        <v>0</v>
      </c>
    </row>
    <row r="116" spans="13:25" x14ac:dyDescent="0.35">
      <c r="M116" s="6" t="s">
        <v>359</v>
      </c>
      <c r="N116" s="12"/>
      <c r="O116" s="12">
        <v>0</v>
      </c>
      <c r="P116" s="12">
        <v>0</v>
      </c>
      <c r="Q116" s="12"/>
      <c r="R116" s="12">
        <v>0</v>
      </c>
      <c r="S116" s="12">
        <v>0</v>
      </c>
      <c r="T116" s="12">
        <v>0</v>
      </c>
      <c r="U116" s="12"/>
      <c r="V116" s="12">
        <v>0</v>
      </c>
      <c r="W116" s="12">
        <v>0</v>
      </c>
      <c r="X116" s="12"/>
      <c r="Y116" s="12">
        <v>0</v>
      </c>
    </row>
    <row r="117" spans="13:25" x14ac:dyDescent="0.35">
      <c r="M117" s="6" t="s">
        <v>358</v>
      </c>
      <c r="N117" s="12"/>
      <c r="O117" s="12">
        <v>0</v>
      </c>
      <c r="P117" s="12">
        <v>0</v>
      </c>
      <c r="Q117" s="12"/>
      <c r="R117" s="12">
        <v>0</v>
      </c>
      <c r="S117" s="12">
        <v>0</v>
      </c>
      <c r="T117" s="12">
        <v>0</v>
      </c>
      <c r="U117" s="12"/>
      <c r="V117" s="12">
        <v>0</v>
      </c>
      <c r="W117" s="12">
        <v>0</v>
      </c>
      <c r="X117" s="12"/>
      <c r="Y117" s="12">
        <v>0</v>
      </c>
    </row>
    <row r="118" spans="13:25" x14ac:dyDescent="0.35">
      <c r="M118" s="6" t="s">
        <v>357</v>
      </c>
      <c r="N118" s="12"/>
      <c r="O118" s="12" t="e">
        <v>#VALUE!</v>
      </c>
      <c r="P118" s="12" t="e">
        <v>#VALUE!</v>
      </c>
      <c r="Q118" s="12"/>
      <c r="R118" s="12">
        <v>0</v>
      </c>
      <c r="S118" s="12">
        <v>0</v>
      </c>
      <c r="T118" s="12" t="e">
        <v>#VALUE!</v>
      </c>
      <c r="U118" s="12"/>
      <c r="V118" s="12" t="e">
        <v>#VALUE!</v>
      </c>
      <c r="W118" s="12" t="e">
        <v>#VALUE!</v>
      </c>
      <c r="X118" s="12"/>
      <c r="Y118" s="12" t="e">
        <v>#VALUE!</v>
      </c>
    </row>
    <row r="119" spans="13:25" x14ac:dyDescent="0.35">
      <c r="M119" s="6" t="s">
        <v>356</v>
      </c>
      <c r="N119" s="12"/>
      <c r="O119" s="12">
        <v>0</v>
      </c>
      <c r="P119" s="12">
        <v>0</v>
      </c>
      <c r="Q119" s="12"/>
      <c r="R119" s="12">
        <v>0</v>
      </c>
      <c r="S119" s="12">
        <v>0</v>
      </c>
      <c r="T119" s="12">
        <v>0</v>
      </c>
      <c r="U119" s="12"/>
      <c r="V119" s="12">
        <v>0</v>
      </c>
      <c r="W119" s="12">
        <v>0</v>
      </c>
      <c r="X119" s="12"/>
      <c r="Y119" s="12">
        <v>0</v>
      </c>
    </row>
    <row r="120" spans="13:25" x14ac:dyDescent="0.35">
      <c r="M120" s="6" t="s">
        <v>355</v>
      </c>
      <c r="N120" s="12"/>
      <c r="O120" s="12">
        <v>0</v>
      </c>
      <c r="P120" s="12">
        <v>0</v>
      </c>
      <c r="Q120" s="12"/>
      <c r="R120" s="12">
        <v>0</v>
      </c>
      <c r="S120" s="12">
        <v>0</v>
      </c>
      <c r="T120" s="12">
        <v>0</v>
      </c>
      <c r="U120" s="12"/>
      <c r="V120" s="12">
        <v>0</v>
      </c>
      <c r="W120" s="12">
        <v>0</v>
      </c>
      <c r="X120" s="12"/>
      <c r="Y120" s="12">
        <v>0</v>
      </c>
    </row>
    <row r="121" spans="13:25" x14ac:dyDescent="0.35">
      <c r="M121" s="6" t="s">
        <v>354</v>
      </c>
      <c r="N121" s="12"/>
      <c r="O121" s="12" t="e">
        <v>#VALUE!</v>
      </c>
      <c r="P121" s="12" t="e">
        <v>#VALUE!</v>
      </c>
      <c r="Q121" s="12"/>
      <c r="R121" s="12">
        <v>0</v>
      </c>
      <c r="S121" s="12">
        <v>0</v>
      </c>
      <c r="T121" s="12" t="e">
        <v>#VALUE!</v>
      </c>
      <c r="U121" s="12"/>
      <c r="V121" s="12" t="e">
        <v>#VALUE!</v>
      </c>
      <c r="W121" s="12" t="e">
        <v>#VALUE!</v>
      </c>
      <c r="X121" s="12"/>
      <c r="Y121" s="12" t="e">
        <v>#VALUE!</v>
      </c>
    </row>
    <row r="122" spans="13:25" x14ac:dyDescent="0.35">
      <c r="M122" s="6" t="s">
        <v>192</v>
      </c>
      <c r="N122" s="12"/>
      <c r="O122" s="12" t="e">
        <v>#VALUE!</v>
      </c>
      <c r="P122" s="12" t="e">
        <v>#VALUE!</v>
      </c>
      <c r="Q122" s="12"/>
      <c r="R122" s="12">
        <v>0</v>
      </c>
      <c r="S122" s="12">
        <v>0</v>
      </c>
      <c r="T122" s="12" t="e">
        <v>#VALUE!</v>
      </c>
      <c r="U122" s="12"/>
      <c r="V122" s="12" t="e">
        <v>#VALUE!</v>
      </c>
      <c r="W122" s="12" t="e">
        <v>#VALUE!</v>
      </c>
      <c r="X122" s="12"/>
      <c r="Y122" s="12" t="e">
        <v>#VALUE!</v>
      </c>
    </row>
    <row r="123" spans="13:25" x14ac:dyDescent="0.35">
      <c r="M123" s="6" t="s">
        <v>353</v>
      </c>
      <c r="N123" s="12"/>
      <c r="O123" s="12" t="e">
        <v>#VALUE!</v>
      </c>
      <c r="P123" s="12" t="e">
        <v>#VALUE!</v>
      </c>
      <c r="Q123" s="12"/>
      <c r="R123" s="12">
        <v>0</v>
      </c>
      <c r="S123" s="12">
        <v>0</v>
      </c>
      <c r="T123" s="12" t="e">
        <v>#VALUE!</v>
      </c>
      <c r="U123" s="12"/>
      <c r="V123" s="12" t="e">
        <v>#VALUE!</v>
      </c>
      <c r="W123" s="12" t="e">
        <v>#VALUE!</v>
      </c>
      <c r="X123" s="12"/>
      <c r="Y123" s="12" t="e">
        <v>#VALUE!</v>
      </c>
    </row>
    <row r="124" spans="13:25" x14ac:dyDescent="0.35">
      <c r="M124" s="6" t="s">
        <v>352</v>
      </c>
      <c r="N124" s="12"/>
      <c r="O124" s="12" t="e">
        <v>#VALUE!</v>
      </c>
      <c r="P124" s="12" t="e">
        <v>#VALUE!</v>
      </c>
      <c r="Q124" s="12"/>
      <c r="R124" s="12">
        <v>0</v>
      </c>
      <c r="S124" s="12">
        <v>0</v>
      </c>
      <c r="T124" s="12" t="e">
        <v>#VALUE!</v>
      </c>
      <c r="U124" s="12"/>
      <c r="V124" s="12" t="e">
        <v>#VALUE!</v>
      </c>
      <c r="W124" s="12" t="e">
        <v>#VALUE!</v>
      </c>
      <c r="X124" s="12"/>
      <c r="Y124" s="12" t="e">
        <v>#VALUE!</v>
      </c>
    </row>
    <row r="125" spans="13:25" x14ac:dyDescent="0.35">
      <c r="M125" s="6" t="s">
        <v>351</v>
      </c>
      <c r="N125" s="12"/>
      <c r="O125" s="12" t="e">
        <v>#VALUE!</v>
      </c>
      <c r="P125" s="12" t="e">
        <v>#VALUE!</v>
      </c>
      <c r="Q125" s="12"/>
      <c r="R125" s="12">
        <v>0</v>
      </c>
      <c r="S125" s="12">
        <v>0</v>
      </c>
      <c r="T125" s="12" t="e">
        <v>#VALUE!</v>
      </c>
      <c r="U125" s="12"/>
      <c r="V125" s="12" t="e">
        <v>#VALUE!</v>
      </c>
      <c r="W125" s="12" t="e">
        <v>#VALUE!</v>
      </c>
      <c r="X125" s="12"/>
      <c r="Y125" s="12" t="e">
        <v>#VALUE!</v>
      </c>
    </row>
    <row r="126" spans="13:25" x14ac:dyDescent="0.35">
      <c r="M126" s="6" t="s">
        <v>350</v>
      </c>
      <c r="N126" s="12"/>
      <c r="O126" s="12" t="e">
        <v>#VALUE!</v>
      </c>
      <c r="P126" s="12" t="e">
        <v>#VALUE!</v>
      </c>
      <c r="Q126" s="12"/>
      <c r="R126" s="12">
        <v>0</v>
      </c>
      <c r="S126" s="12" t="e">
        <v>#VALUE!</v>
      </c>
      <c r="T126" s="12" t="e">
        <v>#VALUE!</v>
      </c>
      <c r="U126" s="12"/>
      <c r="V126" s="12" t="e">
        <v>#VALUE!</v>
      </c>
      <c r="W126" s="12" t="e">
        <v>#VALUE!</v>
      </c>
      <c r="X126" s="12"/>
      <c r="Y126" s="12">
        <v>0</v>
      </c>
    </row>
    <row r="127" spans="13:25" x14ac:dyDescent="0.35">
      <c r="M127" s="6" t="s">
        <v>349</v>
      </c>
      <c r="N127" s="12"/>
      <c r="O127" s="12" t="e">
        <v>#VALUE!</v>
      </c>
      <c r="P127" s="12" t="e">
        <v>#VALUE!</v>
      </c>
      <c r="Q127" s="12"/>
      <c r="R127" s="12">
        <v>0</v>
      </c>
      <c r="S127" s="12">
        <v>0</v>
      </c>
      <c r="T127" s="12" t="e">
        <v>#VALUE!</v>
      </c>
      <c r="U127" s="12"/>
      <c r="V127" s="12" t="e">
        <v>#VALUE!</v>
      </c>
      <c r="W127" s="12" t="e">
        <v>#VALUE!</v>
      </c>
      <c r="X127" s="12"/>
      <c r="Y127" s="12" t="e">
        <v>#VALUE!</v>
      </c>
    </row>
    <row r="128" spans="13:25" x14ac:dyDescent="0.35">
      <c r="M128" s="6" t="s">
        <v>348</v>
      </c>
      <c r="N128" s="12"/>
      <c r="O128" s="12" t="e">
        <v>#VALUE!</v>
      </c>
      <c r="P128" s="12" t="e">
        <v>#VALUE!</v>
      </c>
      <c r="Q128" s="12"/>
      <c r="R128" s="12">
        <v>0</v>
      </c>
      <c r="S128" s="12">
        <v>0</v>
      </c>
      <c r="T128" s="12" t="e">
        <v>#VALUE!</v>
      </c>
      <c r="U128" s="12"/>
      <c r="V128" s="12" t="e">
        <v>#VALUE!</v>
      </c>
      <c r="W128" s="12" t="e">
        <v>#VALUE!</v>
      </c>
      <c r="X128" s="12"/>
      <c r="Y128" s="12" t="e">
        <v>#VALUE!</v>
      </c>
    </row>
    <row r="129" spans="13:25" x14ac:dyDescent="0.35">
      <c r="M129" s="6" t="s">
        <v>347</v>
      </c>
      <c r="N129" s="12"/>
      <c r="O129" s="12" t="e">
        <v>#VALUE!</v>
      </c>
      <c r="P129" s="12" t="e">
        <v>#VALUE!</v>
      </c>
      <c r="Q129" s="12"/>
      <c r="R129" s="12">
        <v>0</v>
      </c>
      <c r="S129" s="12">
        <v>0</v>
      </c>
      <c r="T129" s="12" t="e">
        <v>#VALUE!</v>
      </c>
      <c r="U129" s="12"/>
      <c r="V129" s="12" t="e">
        <v>#VALUE!</v>
      </c>
      <c r="W129" s="12" t="e">
        <v>#VALUE!</v>
      </c>
      <c r="X129" s="12"/>
      <c r="Y129" s="12" t="e">
        <v>#VALUE!</v>
      </c>
    </row>
    <row r="130" spans="13:25" x14ac:dyDescent="0.35">
      <c r="M130" s="6" t="s">
        <v>346</v>
      </c>
      <c r="N130" s="12"/>
      <c r="O130" s="12" t="e">
        <v>#VALUE!</v>
      </c>
      <c r="P130" s="12" t="e">
        <v>#VALUE!</v>
      </c>
      <c r="Q130" s="12"/>
      <c r="R130" s="12">
        <v>0</v>
      </c>
      <c r="S130" s="12">
        <v>0</v>
      </c>
      <c r="T130" s="12" t="e">
        <v>#VALUE!</v>
      </c>
      <c r="U130" s="12"/>
      <c r="V130" s="12" t="e">
        <v>#VALUE!</v>
      </c>
      <c r="W130" s="12" t="e">
        <v>#VALUE!</v>
      </c>
      <c r="X130" s="12"/>
      <c r="Y130" s="12" t="e">
        <v>#VALUE!</v>
      </c>
    </row>
    <row r="131" spans="13:25" x14ac:dyDescent="0.35">
      <c r="M131" s="6" t="s">
        <v>345</v>
      </c>
      <c r="N131" s="12"/>
      <c r="O131" s="12" t="e">
        <v>#VALUE!</v>
      </c>
      <c r="P131" s="12" t="e">
        <v>#VALUE!</v>
      </c>
      <c r="Q131" s="12"/>
      <c r="R131" s="12">
        <v>0</v>
      </c>
      <c r="S131" s="12">
        <v>0</v>
      </c>
      <c r="T131" s="12" t="e">
        <v>#VALUE!</v>
      </c>
      <c r="U131" s="12"/>
      <c r="V131" s="12" t="e">
        <v>#VALUE!</v>
      </c>
      <c r="W131" s="12" t="e">
        <v>#VALUE!</v>
      </c>
      <c r="X131" s="12"/>
      <c r="Y131" s="12" t="e">
        <v>#VALUE!</v>
      </c>
    </row>
    <row r="132" spans="13:25" x14ac:dyDescent="0.35">
      <c r="M132" s="6" t="s">
        <v>344</v>
      </c>
      <c r="N132" s="12"/>
      <c r="O132" s="12" t="e">
        <v>#VALUE!</v>
      </c>
      <c r="P132" s="12" t="e">
        <v>#VALUE!</v>
      </c>
      <c r="Q132" s="12"/>
      <c r="R132" s="12">
        <v>0</v>
      </c>
      <c r="S132" s="12">
        <v>0</v>
      </c>
      <c r="T132" s="12" t="e">
        <v>#VALUE!</v>
      </c>
      <c r="U132" s="12"/>
      <c r="V132" s="12" t="e">
        <v>#VALUE!</v>
      </c>
      <c r="W132" s="12" t="e">
        <v>#VALUE!</v>
      </c>
      <c r="X132" s="12"/>
      <c r="Y132" s="12" t="e">
        <v>#VALUE!</v>
      </c>
    </row>
    <row r="133" spans="13:25" x14ac:dyDescent="0.35">
      <c r="M133" s="6" t="s">
        <v>343</v>
      </c>
      <c r="N133" s="12"/>
      <c r="O133" s="12" t="e">
        <v>#VALUE!</v>
      </c>
      <c r="P133" s="12" t="e">
        <v>#VALUE!</v>
      </c>
      <c r="Q133" s="12"/>
      <c r="R133" s="12">
        <v>0</v>
      </c>
      <c r="S133" s="12">
        <v>0</v>
      </c>
      <c r="T133" s="12" t="e">
        <v>#VALUE!</v>
      </c>
      <c r="U133" s="12"/>
      <c r="V133" s="12" t="e">
        <v>#VALUE!</v>
      </c>
      <c r="W133" s="12" t="e">
        <v>#VALUE!</v>
      </c>
      <c r="X133" s="12"/>
      <c r="Y133" s="12" t="e">
        <v>#VALUE!</v>
      </c>
    </row>
    <row r="134" spans="13:25" x14ac:dyDescent="0.35">
      <c r="M134" s="6" t="s">
        <v>342</v>
      </c>
      <c r="N134" s="12"/>
      <c r="O134" s="12">
        <v>0</v>
      </c>
      <c r="P134" s="12">
        <v>0</v>
      </c>
      <c r="Q134" s="12"/>
      <c r="R134" s="12">
        <v>0</v>
      </c>
      <c r="S134" s="12">
        <v>0</v>
      </c>
      <c r="T134" s="12">
        <v>0</v>
      </c>
      <c r="U134" s="12"/>
      <c r="V134" s="12">
        <v>0</v>
      </c>
      <c r="W134" s="12">
        <v>0</v>
      </c>
      <c r="X134" s="12"/>
      <c r="Y134" s="12">
        <v>0</v>
      </c>
    </row>
    <row r="135" spans="13:25" x14ac:dyDescent="0.35">
      <c r="M135" s="6" t="s">
        <v>341</v>
      </c>
      <c r="N135" s="12"/>
      <c r="O135" s="12">
        <v>0</v>
      </c>
      <c r="P135" s="12">
        <v>0</v>
      </c>
      <c r="Q135" s="12"/>
      <c r="R135" s="12">
        <v>0</v>
      </c>
      <c r="S135" s="12">
        <v>0</v>
      </c>
      <c r="T135" s="12">
        <v>0</v>
      </c>
      <c r="U135" s="12"/>
      <c r="V135" s="12">
        <v>0</v>
      </c>
      <c r="W135" s="12">
        <v>0</v>
      </c>
      <c r="X135" s="12"/>
      <c r="Y135" s="12">
        <v>0</v>
      </c>
    </row>
    <row r="136" spans="13:25" x14ac:dyDescent="0.35">
      <c r="M136" s="6" t="s">
        <v>340</v>
      </c>
      <c r="N136" s="12"/>
      <c r="O136" s="12" t="e">
        <v>#VALUE!</v>
      </c>
      <c r="P136" s="12" t="e">
        <v>#VALUE!</v>
      </c>
      <c r="Q136" s="12"/>
      <c r="R136" s="12">
        <v>0</v>
      </c>
      <c r="S136" s="12">
        <v>0</v>
      </c>
      <c r="T136" s="12" t="e">
        <v>#VALUE!</v>
      </c>
      <c r="U136" s="12"/>
      <c r="V136" s="12" t="e">
        <v>#VALUE!</v>
      </c>
      <c r="W136" s="12" t="e">
        <v>#VALUE!</v>
      </c>
      <c r="X136" s="12"/>
      <c r="Y136" s="12" t="e">
        <v>#VALUE!</v>
      </c>
    </row>
    <row r="137" spans="13:25" x14ac:dyDescent="0.35">
      <c r="M137" s="6" t="s">
        <v>339</v>
      </c>
      <c r="N137" s="12"/>
      <c r="O137" s="12" t="e">
        <v>#VALUE!</v>
      </c>
      <c r="P137" s="12" t="e">
        <v>#VALUE!</v>
      </c>
      <c r="Q137" s="12"/>
      <c r="R137" s="12">
        <v>0</v>
      </c>
      <c r="S137" s="12">
        <v>0</v>
      </c>
      <c r="T137" s="12" t="e">
        <v>#VALUE!</v>
      </c>
      <c r="U137" s="12"/>
      <c r="V137" s="12" t="e">
        <v>#VALUE!</v>
      </c>
      <c r="W137" s="12" t="e">
        <v>#VALUE!</v>
      </c>
      <c r="X137" s="12"/>
      <c r="Y137" s="12" t="e">
        <v>#VALUE!</v>
      </c>
    </row>
    <row r="138" spans="13:25" x14ac:dyDescent="0.35">
      <c r="M138" s="6" t="s">
        <v>338</v>
      </c>
      <c r="N138" s="12"/>
      <c r="O138" s="12" t="e">
        <v>#VALUE!</v>
      </c>
      <c r="P138" s="12" t="e">
        <v>#VALUE!</v>
      </c>
      <c r="Q138" s="12"/>
      <c r="R138" s="12">
        <v>0</v>
      </c>
      <c r="S138" s="12">
        <v>0</v>
      </c>
      <c r="T138" s="12" t="e">
        <v>#VALUE!</v>
      </c>
      <c r="U138" s="12"/>
      <c r="V138" s="12" t="e">
        <v>#VALUE!</v>
      </c>
      <c r="W138" s="12" t="e">
        <v>#VALUE!</v>
      </c>
      <c r="X138" s="12"/>
      <c r="Y138" s="12" t="e">
        <v>#VALUE!</v>
      </c>
    </row>
    <row r="139" spans="13:25" x14ac:dyDescent="0.35">
      <c r="M139" s="6" t="s">
        <v>337</v>
      </c>
      <c r="N139" s="12"/>
      <c r="O139" s="12" t="e">
        <v>#VALUE!</v>
      </c>
      <c r="P139" s="12" t="e">
        <v>#VALUE!</v>
      </c>
      <c r="Q139" s="12"/>
      <c r="R139" s="12">
        <v>0</v>
      </c>
      <c r="S139" s="12">
        <v>0</v>
      </c>
      <c r="T139" s="12" t="e">
        <v>#VALUE!</v>
      </c>
      <c r="U139" s="12"/>
      <c r="V139" s="12" t="e">
        <v>#VALUE!</v>
      </c>
      <c r="W139" s="12" t="e">
        <v>#VALUE!</v>
      </c>
      <c r="X139" s="12"/>
      <c r="Y139" s="12" t="e">
        <v>#VALUE!</v>
      </c>
    </row>
    <row r="140" spans="13:25" x14ac:dyDescent="0.35">
      <c r="M140" s="6" t="s">
        <v>336</v>
      </c>
      <c r="N140" s="12"/>
      <c r="O140" s="12" t="e">
        <v>#VALUE!</v>
      </c>
      <c r="P140" s="12" t="e">
        <v>#VALUE!</v>
      </c>
      <c r="Q140" s="12"/>
      <c r="R140" s="12">
        <v>0</v>
      </c>
      <c r="S140" s="12">
        <v>0</v>
      </c>
      <c r="T140" s="12" t="e">
        <v>#VALUE!</v>
      </c>
      <c r="U140" s="12"/>
      <c r="V140" s="12" t="e">
        <v>#VALUE!</v>
      </c>
      <c r="W140" s="12" t="e">
        <v>#VALUE!</v>
      </c>
      <c r="X140" s="12"/>
      <c r="Y140" s="12">
        <v>0</v>
      </c>
    </row>
    <row r="141" spans="13:25" x14ac:dyDescent="0.35">
      <c r="M141" s="6" t="s">
        <v>335</v>
      </c>
      <c r="N141" s="12"/>
      <c r="O141" s="12" t="e">
        <v>#VALUE!</v>
      </c>
      <c r="P141" s="12" t="e">
        <v>#VALUE!</v>
      </c>
      <c r="Q141" s="12"/>
      <c r="R141" s="12">
        <v>0</v>
      </c>
      <c r="S141" s="12">
        <v>0</v>
      </c>
      <c r="T141" s="12" t="e">
        <v>#VALUE!</v>
      </c>
      <c r="U141" s="12"/>
      <c r="V141" s="12" t="e">
        <v>#VALUE!</v>
      </c>
      <c r="W141" s="12" t="e">
        <v>#VALUE!</v>
      </c>
      <c r="X141" s="12"/>
      <c r="Y141" s="12">
        <v>0</v>
      </c>
    </row>
    <row r="142" spans="13:25" x14ac:dyDescent="0.35">
      <c r="M142" s="6" t="s">
        <v>334</v>
      </c>
      <c r="N142" s="12"/>
      <c r="O142" s="12" t="e">
        <v>#VALUE!</v>
      </c>
      <c r="P142" s="12" t="e">
        <v>#VALUE!</v>
      </c>
      <c r="Q142" s="12"/>
      <c r="R142" s="12">
        <v>0</v>
      </c>
      <c r="S142" s="12">
        <v>0</v>
      </c>
      <c r="T142" s="12" t="e">
        <v>#VALUE!</v>
      </c>
      <c r="U142" s="12"/>
      <c r="V142" s="12" t="e">
        <v>#VALUE!</v>
      </c>
      <c r="W142" s="12" t="e">
        <v>#VALUE!</v>
      </c>
      <c r="X142" s="12"/>
      <c r="Y142" s="12" t="e">
        <v>#VALUE!</v>
      </c>
    </row>
    <row r="143" spans="13:25" x14ac:dyDescent="0.35">
      <c r="M143" s="6" t="s">
        <v>333</v>
      </c>
      <c r="N143" s="12"/>
      <c r="O143" s="12" t="e">
        <v>#VALUE!</v>
      </c>
      <c r="P143" s="12" t="e">
        <v>#VALUE!</v>
      </c>
      <c r="Q143" s="12"/>
      <c r="R143" s="12">
        <v>0</v>
      </c>
      <c r="S143" s="12">
        <v>0</v>
      </c>
      <c r="T143" s="12" t="e">
        <v>#VALUE!</v>
      </c>
      <c r="U143" s="12"/>
      <c r="V143" s="12" t="e">
        <v>#VALUE!</v>
      </c>
      <c r="W143" s="12" t="e">
        <v>#VALUE!</v>
      </c>
      <c r="X143" s="12"/>
      <c r="Y143" s="12" t="e">
        <v>#VALUE!</v>
      </c>
    </row>
    <row r="144" spans="13:25" x14ac:dyDescent="0.35">
      <c r="M144" s="6" t="s">
        <v>332</v>
      </c>
      <c r="N144" s="12"/>
      <c r="O144" s="12" t="e">
        <v>#VALUE!</v>
      </c>
      <c r="P144" s="12" t="e">
        <v>#VALUE!</v>
      </c>
      <c r="Q144" s="12"/>
      <c r="R144" s="12">
        <v>0</v>
      </c>
      <c r="S144" s="12">
        <v>0</v>
      </c>
      <c r="T144" s="12" t="e">
        <v>#VALUE!</v>
      </c>
      <c r="U144" s="12"/>
      <c r="V144" s="12" t="e">
        <v>#VALUE!</v>
      </c>
      <c r="W144" s="12" t="e">
        <v>#VALUE!</v>
      </c>
      <c r="X144" s="12"/>
      <c r="Y144" s="12" t="e">
        <v>#VALUE!</v>
      </c>
    </row>
    <row r="145" spans="13:25" x14ac:dyDescent="0.35">
      <c r="M145" s="6" t="s">
        <v>331</v>
      </c>
      <c r="N145" s="12"/>
      <c r="O145" s="12" t="e">
        <v>#VALUE!</v>
      </c>
      <c r="P145" s="12" t="e">
        <v>#VALUE!</v>
      </c>
      <c r="Q145" s="12"/>
      <c r="R145" s="12">
        <v>0</v>
      </c>
      <c r="S145" s="12">
        <v>0</v>
      </c>
      <c r="T145" s="12" t="e">
        <v>#VALUE!</v>
      </c>
      <c r="U145" s="12"/>
      <c r="V145" s="12" t="e">
        <v>#VALUE!</v>
      </c>
      <c r="W145" s="12" t="e">
        <v>#VALUE!</v>
      </c>
      <c r="X145" s="12"/>
      <c r="Y145" s="12" t="e">
        <v>#VALUE!</v>
      </c>
    </row>
    <row r="146" spans="13:25" x14ac:dyDescent="0.35">
      <c r="M146" s="6" t="s">
        <v>330</v>
      </c>
      <c r="N146" s="12"/>
      <c r="O146" s="12" t="e">
        <v>#VALUE!</v>
      </c>
      <c r="P146" s="12" t="e">
        <v>#VALUE!</v>
      </c>
      <c r="Q146" s="12"/>
      <c r="R146" s="12">
        <v>0</v>
      </c>
      <c r="S146" s="12">
        <v>0</v>
      </c>
      <c r="T146" s="12" t="e">
        <v>#VALUE!</v>
      </c>
      <c r="U146" s="12"/>
      <c r="V146" s="12" t="e">
        <v>#VALUE!</v>
      </c>
      <c r="W146" s="12" t="e">
        <v>#VALUE!</v>
      </c>
      <c r="X146" s="12"/>
      <c r="Y146" s="12" t="e">
        <v>#VALUE!</v>
      </c>
    </row>
    <row r="147" spans="13:25" x14ac:dyDescent="0.35">
      <c r="M147" s="6" t="s">
        <v>329</v>
      </c>
      <c r="N147" s="12"/>
      <c r="O147" s="12" t="e">
        <v>#VALUE!</v>
      </c>
      <c r="P147" s="12" t="e">
        <v>#VALUE!</v>
      </c>
      <c r="Q147" s="12"/>
      <c r="R147" s="12">
        <v>0</v>
      </c>
      <c r="S147" s="12">
        <v>0</v>
      </c>
      <c r="T147" s="12" t="e">
        <v>#VALUE!</v>
      </c>
      <c r="U147" s="12"/>
      <c r="V147" s="12" t="e">
        <v>#VALUE!</v>
      </c>
      <c r="W147" s="12" t="e">
        <v>#VALUE!</v>
      </c>
      <c r="X147" s="12"/>
      <c r="Y147" s="12" t="e">
        <v>#VALUE!</v>
      </c>
    </row>
    <row r="148" spans="13:25" x14ac:dyDescent="0.35">
      <c r="M148" s="6" t="s">
        <v>328</v>
      </c>
      <c r="N148" s="12"/>
      <c r="O148" s="12" t="e">
        <v>#VALUE!</v>
      </c>
      <c r="P148" s="12" t="e">
        <v>#VALUE!</v>
      </c>
      <c r="Q148" s="12"/>
      <c r="R148" s="12">
        <v>0</v>
      </c>
      <c r="S148" s="12">
        <v>0</v>
      </c>
      <c r="T148" s="12" t="e">
        <v>#VALUE!</v>
      </c>
      <c r="U148" s="12"/>
      <c r="V148" s="12" t="e">
        <v>#VALUE!</v>
      </c>
      <c r="W148" s="12" t="e">
        <v>#VALUE!</v>
      </c>
      <c r="X148" s="12"/>
      <c r="Y148" s="12">
        <v>0</v>
      </c>
    </row>
    <row r="149" spans="13:25" x14ac:dyDescent="0.35">
      <c r="M149" s="6" t="s">
        <v>327</v>
      </c>
      <c r="N149" s="12"/>
      <c r="O149" s="12">
        <v>0</v>
      </c>
      <c r="P149" s="12">
        <v>0</v>
      </c>
      <c r="Q149" s="12"/>
      <c r="R149" s="12">
        <v>0</v>
      </c>
      <c r="S149" s="12">
        <v>0</v>
      </c>
      <c r="T149" s="12">
        <v>0</v>
      </c>
      <c r="U149" s="12"/>
      <c r="V149" s="12">
        <v>0</v>
      </c>
      <c r="W149" s="12">
        <v>0</v>
      </c>
      <c r="X149" s="12"/>
      <c r="Y149" s="12">
        <v>0</v>
      </c>
    </row>
    <row r="150" spans="13:25" x14ac:dyDescent="0.35">
      <c r="M150" s="6" t="s">
        <v>326</v>
      </c>
      <c r="N150" s="12"/>
      <c r="O150" s="12" t="e">
        <v>#VALUE!</v>
      </c>
      <c r="P150" s="12" t="e">
        <v>#VALUE!</v>
      </c>
      <c r="Q150" s="12"/>
      <c r="R150" s="12">
        <v>0</v>
      </c>
      <c r="S150" s="12">
        <v>0</v>
      </c>
      <c r="T150" s="12" t="e">
        <v>#VALUE!</v>
      </c>
      <c r="U150" s="12"/>
      <c r="V150" s="12" t="e">
        <v>#VALUE!</v>
      </c>
      <c r="W150" s="12" t="e">
        <v>#VALUE!</v>
      </c>
      <c r="X150" s="12"/>
      <c r="Y150" s="12">
        <v>0</v>
      </c>
    </row>
    <row r="151" spans="13:25" x14ac:dyDescent="0.35">
      <c r="M151" s="6" t="s">
        <v>325</v>
      </c>
      <c r="N151" s="12"/>
      <c r="O151" s="12" t="e">
        <v>#VALUE!</v>
      </c>
      <c r="P151" s="12" t="e">
        <v>#VALUE!</v>
      </c>
      <c r="Q151" s="12"/>
      <c r="R151" s="12">
        <v>0</v>
      </c>
      <c r="S151" s="12">
        <v>0</v>
      </c>
      <c r="T151" s="12" t="e">
        <v>#VALUE!</v>
      </c>
      <c r="U151" s="12"/>
      <c r="V151" s="12" t="e">
        <v>#VALUE!</v>
      </c>
      <c r="W151" s="12" t="e">
        <v>#VALUE!</v>
      </c>
      <c r="X151" s="12"/>
      <c r="Y151" s="12" t="e">
        <v>#VALUE!</v>
      </c>
    </row>
    <row r="152" spans="13:25" x14ac:dyDescent="0.35">
      <c r="M152" s="6" t="s">
        <v>324</v>
      </c>
      <c r="N152" s="12"/>
      <c r="O152" s="12" t="e">
        <v>#VALUE!</v>
      </c>
      <c r="P152" s="12" t="e">
        <v>#VALUE!</v>
      </c>
      <c r="Q152" s="12"/>
      <c r="R152" s="12">
        <v>0</v>
      </c>
      <c r="S152" s="12">
        <v>0</v>
      </c>
      <c r="T152" s="12" t="e">
        <v>#VALUE!</v>
      </c>
      <c r="U152" s="12"/>
      <c r="V152" s="12" t="e">
        <v>#VALUE!</v>
      </c>
      <c r="W152" s="12" t="e">
        <v>#VALUE!</v>
      </c>
      <c r="X152" s="12"/>
      <c r="Y152" s="12" t="e">
        <v>#VALUE!</v>
      </c>
    </row>
    <row r="153" spans="13:25" x14ac:dyDescent="0.35">
      <c r="M153" s="6" t="s">
        <v>323</v>
      </c>
      <c r="N153" s="12"/>
      <c r="O153" s="12" t="e">
        <v>#VALUE!</v>
      </c>
      <c r="P153" s="12" t="e">
        <v>#VALUE!</v>
      </c>
      <c r="Q153" s="12"/>
      <c r="R153" s="12">
        <v>0</v>
      </c>
      <c r="S153" s="12">
        <v>0</v>
      </c>
      <c r="T153" s="12" t="e">
        <v>#VALUE!</v>
      </c>
      <c r="U153" s="12"/>
      <c r="V153" s="12" t="e">
        <v>#VALUE!</v>
      </c>
      <c r="W153" s="12" t="e">
        <v>#VALUE!</v>
      </c>
      <c r="X153" s="12"/>
      <c r="Y153" s="12">
        <v>0</v>
      </c>
    </row>
    <row r="154" spans="13:25" x14ac:dyDescent="0.35">
      <c r="M154" s="6" t="s">
        <v>322</v>
      </c>
      <c r="N154" s="12"/>
      <c r="O154" s="12" t="e">
        <v>#VALUE!</v>
      </c>
      <c r="P154" s="12" t="e">
        <v>#VALUE!</v>
      </c>
      <c r="Q154" s="12"/>
      <c r="R154" s="12">
        <v>0</v>
      </c>
      <c r="S154" s="12">
        <v>0</v>
      </c>
      <c r="T154" s="12" t="e">
        <v>#VALUE!</v>
      </c>
      <c r="U154" s="12"/>
      <c r="V154" s="12" t="e">
        <v>#VALUE!</v>
      </c>
      <c r="W154" s="12" t="e">
        <v>#VALUE!</v>
      </c>
      <c r="X154" s="12"/>
      <c r="Y154" s="12" t="e">
        <v>#VALUE!</v>
      </c>
    </row>
    <row r="155" spans="13:25" x14ac:dyDescent="0.35">
      <c r="M155" s="6" t="s">
        <v>321</v>
      </c>
      <c r="N155" s="12"/>
      <c r="O155" s="12" t="e">
        <v>#VALUE!</v>
      </c>
      <c r="P155" s="12" t="e">
        <v>#VALUE!</v>
      </c>
      <c r="Q155" s="12"/>
      <c r="R155" s="12">
        <v>0</v>
      </c>
      <c r="S155" s="12">
        <v>0</v>
      </c>
      <c r="T155" s="12" t="e">
        <v>#VALUE!</v>
      </c>
      <c r="U155" s="12"/>
      <c r="V155" s="12" t="e">
        <v>#VALUE!</v>
      </c>
      <c r="W155" s="12" t="e">
        <v>#VALUE!</v>
      </c>
      <c r="X155" s="12"/>
      <c r="Y155" s="12">
        <v>0</v>
      </c>
    </row>
    <row r="156" spans="13:25" x14ac:dyDescent="0.35">
      <c r="M156" s="6" t="s">
        <v>61</v>
      </c>
      <c r="N156" s="12"/>
      <c r="O156" s="12">
        <v>0</v>
      </c>
      <c r="P156" s="12">
        <v>0</v>
      </c>
      <c r="Q156" s="12"/>
      <c r="R156" s="12">
        <v>0</v>
      </c>
      <c r="S156" s="12">
        <v>0</v>
      </c>
      <c r="T156" s="12">
        <v>0</v>
      </c>
      <c r="U156" s="12"/>
      <c r="V156" s="12">
        <v>0</v>
      </c>
      <c r="W156" s="12">
        <v>0</v>
      </c>
      <c r="X156" s="12"/>
      <c r="Y156" s="12">
        <v>0</v>
      </c>
    </row>
    <row r="157" spans="13:25" x14ac:dyDescent="0.35">
      <c r="M157" s="6" t="s">
        <v>73</v>
      </c>
      <c r="N157" s="12"/>
      <c r="O157" s="12">
        <v>0</v>
      </c>
      <c r="P157" s="12">
        <v>0</v>
      </c>
      <c r="Q157" s="12"/>
      <c r="R157" s="12">
        <v>0</v>
      </c>
      <c r="S157" s="12">
        <v>0</v>
      </c>
      <c r="T157" s="12">
        <v>0</v>
      </c>
      <c r="U157" s="12"/>
      <c r="V157" s="12">
        <v>0</v>
      </c>
      <c r="W157" s="12">
        <v>0</v>
      </c>
      <c r="X157" s="12"/>
      <c r="Y157" s="12">
        <v>0</v>
      </c>
    </row>
    <row r="158" spans="13:25" x14ac:dyDescent="0.35">
      <c r="M158" s="6" t="s">
        <v>90</v>
      </c>
      <c r="N158" s="12"/>
      <c r="O158" s="12">
        <v>0</v>
      </c>
      <c r="P158" s="12">
        <v>0</v>
      </c>
      <c r="Q158" s="12"/>
      <c r="R158" s="12">
        <v>0</v>
      </c>
      <c r="S158" s="12">
        <v>0</v>
      </c>
      <c r="T158" s="12">
        <v>0</v>
      </c>
      <c r="U158" s="12"/>
      <c r="V158" s="12">
        <v>0</v>
      </c>
      <c r="W158" s="12">
        <v>0</v>
      </c>
      <c r="X158" s="12"/>
      <c r="Y158" s="12">
        <v>0</v>
      </c>
    </row>
    <row r="159" spans="13:25" x14ac:dyDescent="0.35">
      <c r="M159" s="6" t="s">
        <v>41</v>
      </c>
      <c r="N159" s="12"/>
      <c r="O159" s="12">
        <v>0</v>
      </c>
      <c r="P159" s="12">
        <v>0</v>
      </c>
      <c r="Q159" s="12"/>
      <c r="R159" s="12">
        <v>0</v>
      </c>
      <c r="S159" s="12">
        <v>0</v>
      </c>
      <c r="T159" s="12">
        <v>0</v>
      </c>
      <c r="U159" s="12"/>
      <c r="V159" s="12">
        <v>0</v>
      </c>
      <c r="W159" s="12">
        <v>0</v>
      </c>
      <c r="X159" s="12"/>
      <c r="Y159" s="12">
        <v>0</v>
      </c>
    </row>
    <row r="160" spans="13:25" x14ac:dyDescent="0.35">
      <c r="M160" s="6" t="s">
        <v>551</v>
      </c>
      <c r="N160" s="12"/>
      <c r="O160" s="12">
        <v>0</v>
      </c>
      <c r="P160" s="12">
        <v>0</v>
      </c>
      <c r="Q160" s="12"/>
      <c r="R160" s="12">
        <v>0</v>
      </c>
      <c r="S160" s="12">
        <v>0</v>
      </c>
      <c r="T160" s="12">
        <v>0</v>
      </c>
      <c r="U160" s="12"/>
      <c r="V160" s="12">
        <v>0</v>
      </c>
      <c r="W160" s="12">
        <v>0</v>
      </c>
      <c r="X160" s="12"/>
      <c r="Y160" s="12">
        <v>0</v>
      </c>
    </row>
    <row r="161" spans="13:25" x14ac:dyDescent="0.35">
      <c r="M161" s="6" t="s">
        <v>57</v>
      </c>
      <c r="N161" s="12"/>
      <c r="O161" s="12" t="e">
        <v>#VALUE!</v>
      </c>
      <c r="P161" s="12" t="e">
        <v>#VALUE!</v>
      </c>
      <c r="Q161" s="12"/>
      <c r="R161" s="12">
        <v>0</v>
      </c>
      <c r="S161" s="12">
        <v>0</v>
      </c>
      <c r="T161" s="12" t="e">
        <v>#VALUE!</v>
      </c>
      <c r="U161" s="12"/>
      <c r="V161" s="12" t="e">
        <v>#VALUE!</v>
      </c>
      <c r="W161" s="12" t="e">
        <v>#VALUE!</v>
      </c>
      <c r="X161" s="12"/>
      <c r="Y161" s="12">
        <v>0</v>
      </c>
    </row>
    <row r="162" spans="13:25" x14ac:dyDescent="0.35">
      <c r="M162" s="6" t="s">
        <v>56</v>
      </c>
      <c r="N162" s="12"/>
      <c r="O162" s="12" t="e">
        <v>#VALUE!</v>
      </c>
      <c r="P162" s="12" t="e">
        <v>#VALUE!</v>
      </c>
      <c r="Q162" s="12"/>
      <c r="R162" s="12">
        <v>0</v>
      </c>
      <c r="S162" s="12">
        <v>0</v>
      </c>
      <c r="T162" s="12" t="e">
        <v>#VALUE!</v>
      </c>
      <c r="U162" s="12"/>
      <c r="V162" s="12" t="e">
        <v>#VALUE!</v>
      </c>
      <c r="W162" s="12" t="e">
        <v>#VALUE!</v>
      </c>
      <c r="X162" s="12"/>
      <c r="Y162" s="12">
        <v>0</v>
      </c>
    </row>
    <row r="163" spans="13:25" x14ac:dyDescent="0.35">
      <c r="M163" s="6" t="s">
        <v>55</v>
      </c>
      <c r="N163" s="12"/>
      <c r="O163" s="12" t="e">
        <v>#VALUE!</v>
      </c>
      <c r="P163" s="12" t="e">
        <v>#VALUE!</v>
      </c>
      <c r="Q163" s="12"/>
      <c r="R163" s="12">
        <v>0</v>
      </c>
      <c r="S163" s="12">
        <v>0</v>
      </c>
      <c r="T163" s="12" t="e">
        <v>#VALUE!</v>
      </c>
      <c r="U163" s="12"/>
      <c r="V163" s="12" t="e">
        <v>#VALUE!</v>
      </c>
      <c r="W163" s="12" t="e">
        <v>#VALUE!</v>
      </c>
      <c r="X163" s="12"/>
      <c r="Y163" s="12">
        <v>0</v>
      </c>
    </row>
    <row r="164" spans="13:25" x14ac:dyDescent="0.35">
      <c r="M164" s="6" t="s">
        <v>54</v>
      </c>
      <c r="N164" s="12"/>
      <c r="O164" s="12" t="e">
        <v>#VALUE!</v>
      </c>
      <c r="P164" s="12" t="e">
        <v>#VALUE!</v>
      </c>
      <c r="Q164" s="12"/>
      <c r="R164" s="12">
        <v>0</v>
      </c>
      <c r="S164" s="12">
        <v>0</v>
      </c>
      <c r="T164" s="12" t="e">
        <v>#VALUE!</v>
      </c>
      <c r="U164" s="12"/>
      <c r="V164" s="12" t="e">
        <v>#VALUE!</v>
      </c>
      <c r="W164" s="12" t="e">
        <v>#VALUE!</v>
      </c>
      <c r="X164" s="12"/>
      <c r="Y164" s="12">
        <v>0</v>
      </c>
    </row>
    <row r="165" spans="13:25" x14ac:dyDescent="0.35">
      <c r="M165" s="6" t="s">
        <v>63</v>
      </c>
      <c r="N165" s="12"/>
      <c r="O165" s="12" t="e">
        <v>#VALUE!</v>
      </c>
      <c r="P165" s="12" t="e">
        <v>#VALUE!</v>
      </c>
      <c r="Q165" s="12"/>
      <c r="R165" s="12">
        <v>0</v>
      </c>
      <c r="S165" s="12">
        <v>0</v>
      </c>
      <c r="T165" s="12" t="e">
        <v>#VALUE!</v>
      </c>
      <c r="U165" s="12"/>
      <c r="V165" s="12" t="e">
        <v>#VALUE!</v>
      </c>
      <c r="W165" s="12" t="e">
        <v>#VALUE!</v>
      </c>
      <c r="X165" s="12"/>
      <c r="Y165" s="12">
        <v>0</v>
      </c>
    </row>
    <row r="166" spans="13:25" x14ac:dyDescent="0.35">
      <c r="M166" s="6" t="s">
        <v>53</v>
      </c>
      <c r="N166" s="12"/>
      <c r="O166" s="12" t="e">
        <v>#VALUE!</v>
      </c>
      <c r="P166" s="12" t="e">
        <v>#VALUE!</v>
      </c>
      <c r="Q166" s="12"/>
      <c r="R166" s="12">
        <v>0</v>
      </c>
      <c r="S166" s="12">
        <v>0</v>
      </c>
      <c r="T166" s="12" t="e">
        <v>#VALUE!</v>
      </c>
      <c r="U166" s="12"/>
      <c r="V166" s="12" t="e">
        <v>#VALUE!</v>
      </c>
      <c r="W166" s="12" t="e">
        <v>#VALUE!</v>
      </c>
      <c r="X166" s="12"/>
      <c r="Y166" s="12">
        <v>0</v>
      </c>
    </row>
    <row r="167" spans="13:25" x14ac:dyDescent="0.35">
      <c r="M167" s="6" t="s">
        <v>46</v>
      </c>
      <c r="N167" s="12"/>
      <c r="O167" s="12" t="e">
        <v>#VALUE!</v>
      </c>
      <c r="P167" s="12" t="e">
        <v>#VALUE!</v>
      </c>
      <c r="Q167" s="12"/>
      <c r="R167" s="12">
        <v>0</v>
      </c>
      <c r="S167" s="12">
        <v>0</v>
      </c>
      <c r="T167" s="12" t="e">
        <v>#VALUE!</v>
      </c>
      <c r="U167" s="12"/>
      <c r="V167" s="12" t="e">
        <v>#VALUE!</v>
      </c>
      <c r="W167" s="12" t="e">
        <v>#VALUE!</v>
      </c>
      <c r="X167" s="12"/>
      <c r="Y167" s="12" t="e">
        <v>#VALUE!</v>
      </c>
    </row>
    <row r="168" spans="13:25" x14ac:dyDescent="0.35">
      <c r="M168" s="6" t="s">
        <v>47</v>
      </c>
      <c r="N168" s="12"/>
      <c r="O168" s="12" t="e">
        <v>#VALUE!</v>
      </c>
      <c r="P168" s="12" t="e">
        <v>#VALUE!</v>
      </c>
      <c r="Q168" s="12"/>
      <c r="R168" s="12">
        <v>0</v>
      </c>
      <c r="S168" s="12">
        <v>0</v>
      </c>
      <c r="T168" s="12" t="e">
        <v>#VALUE!</v>
      </c>
      <c r="U168" s="12"/>
      <c r="V168" s="12" t="e">
        <v>#VALUE!</v>
      </c>
      <c r="W168" s="12" t="e">
        <v>#VALUE!</v>
      </c>
      <c r="X168" s="12"/>
      <c r="Y168" s="12" t="e">
        <v>#VALUE!</v>
      </c>
    </row>
    <row r="169" spans="13:25" x14ac:dyDescent="0.35">
      <c r="M169" s="6" t="s">
        <v>52</v>
      </c>
      <c r="N169" s="12"/>
      <c r="O169" s="12" t="e">
        <v>#VALUE!</v>
      </c>
      <c r="P169" s="12" t="e">
        <v>#VALUE!</v>
      </c>
      <c r="Q169" s="12"/>
      <c r="R169" s="12">
        <v>0</v>
      </c>
      <c r="S169" s="12">
        <v>0</v>
      </c>
      <c r="T169" s="12" t="e">
        <v>#VALUE!</v>
      </c>
      <c r="U169" s="12"/>
      <c r="V169" s="12" t="e">
        <v>#VALUE!</v>
      </c>
      <c r="W169" s="12" t="e">
        <v>#VALUE!</v>
      </c>
      <c r="X169" s="12"/>
      <c r="Y169" s="12">
        <v>0</v>
      </c>
    </row>
    <row r="170" spans="13:25" x14ac:dyDescent="0.35">
      <c r="M170" s="6" t="s">
        <v>51</v>
      </c>
      <c r="N170" s="12"/>
      <c r="O170" s="12" t="e">
        <v>#VALUE!</v>
      </c>
      <c r="P170" s="12" t="e">
        <v>#VALUE!</v>
      </c>
      <c r="Q170" s="12"/>
      <c r="R170" s="12">
        <v>0</v>
      </c>
      <c r="S170" s="12">
        <v>0</v>
      </c>
      <c r="T170" s="12" t="e">
        <v>#VALUE!</v>
      </c>
      <c r="U170" s="12"/>
      <c r="V170" s="12" t="e">
        <v>#VALUE!</v>
      </c>
      <c r="W170" s="12" t="e">
        <v>#VALUE!</v>
      </c>
      <c r="X170" s="12"/>
      <c r="Y170" s="12" t="e">
        <v>#VALUE!</v>
      </c>
    </row>
    <row r="171" spans="13:25" x14ac:dyDescent="0.35">
      <c r="M171" s="6" t="s">
        <v>48</v>
      </c>
      <c r="N171" s="12"/>
      <c r="O171" s="12" t="e">
        <v>#VALUE!</v>
      </c>
      <c r="P171" s="12" t="e">
        <v>#VALUE!</v>
      </c>
      <c r="Q171" s="12"/>
      <c r="R171" s="12">
        <v>0</v>
      </c>
      <c r="S171" s="12">
        <v>0</v>
      </c>
      <c r="T171" s="12" t="e">
        <v>#VALUE!</v>
      </c>
      <c r="U171" s="12"/>
      <c r="V171" s="12" t="e">
        <v>#VALUE!</v>
      </c>
      <c r="W171" s="12" t="e">
        <v>#VALUE!</v>
      </c>
      <c r="X171" s="12"/>
      <c r="Y171" s="12" t="e">
        <v>#VALUE!</v>
      </c>
    </row>
    <row r="172" spans="13:25" x14ac:dyDescent="0.35">
      <c r="M172" s="6" t="s">
        <v>50</v>
      </c>
      <c r="N172" s="12"/>
      <c r="O172" s="12" t="e">
        <v>#VALUE!</v>
      </c>
      <c r="P172" s="12" t="e">
        <v>#VALUE!</v>
      </c>
      <c r="Q172" s="12"/>
      <c r="R172" s="12">
        <v>0</v>
      </c>
      <c r="S172" s="12">
        <v>0</v>
      </c>
      <c r="T172" s="12" t="e">
        <v>#VALUE!</v>
      </c>
      <c r="U172" s="12"/>
      <c r="V172" s="12" t="e">
        <v>#VALUE!</v>
      </c>
      <c r="W172" s="12" t="e">
        <v>#VALUE!</v>
      </c>
      <c r="X172" s="12"/>
      <c r="Y172" s="12" t="e">
        <v>#VALUE!</v>
      </c>
    </row>
    <row r="173" spans="13:25" x14ac:dyDescent="0.35">
      <c r="M173" s="6" t="s">
        <v>49</v>
      </c>
      <c r="N173" s="12"/>
      <c r="O173" s="12" t="e">
        <v>#VALUE!</v>
      </c>
      <c r="P173" s="12" t="e">
        <v>#VALUE!</v>
      </c>
      <c r="Q173" s="12"/>
      <c r="R173" s="12">
        <v>0</v>
      </c>
      <c r="S173" s="12">
        <v>0</v>
      </c>
      <c r="T173" s="12" t="e">
        <v>#VALUE!</v>
      </c>
      <c r="U173" s="12"/>
      <c r="V173" s="12" t="e">
        <v>#VALUE!</v>
      </c>
      <c r="W173" s="12" t="e">
        <v>#VALUE!</v>
      </c>
      <c r="X173" s="12"/>
      <c r="Y173" s="12" t="e">
        <v>#VALUE!</v>
      </c>
    </row>
    <row r="174" spans="13:25" x14ac:dyDescent="0.35">
      <c r="M174" s="6" t="s">
        <v>64</v>
      </c>
      <c r="N174" s="12"/>
      <c r="O174" s="12" t="e">
        <v>#VALUE!</v>
      </c>
      <c r="P174" s="12" t="e">
        <v>#VALUE!</v>
      </c>
      <c r="Q174" s="12"/>
      <c r="R174" s="12">
        <v>0</v>
      </c>
      <c r="S174" s="12">
        <v>0</v>
      </c>
      <c r="T174" s="12" t="e">
        <v>#VALUE!</v>
      </c>
      <c r="U174" s="12"/>
      <c r="V174" s="12" t="e">
        <v>#VALUE!</v>
      </c>
      <c r="W174" s="12" t="e">
        <v>#VALUE!</v>
      </c>
      <c r="X174" s="12"/>
      <c r="Y174" s="12">
        <v>0</v>
      </c>
    </row>
    <row r="175" spans="13:25" x14ac:dyDescent="0.35">
      <c r="M175" s="6" t="s">
        <v>190</v>
      </c>
      <c r="N175" s="12"/>
      <c r="O175" s="12">
        <v>0</v>
      </c>
      <c r="P175" s="12">
        <v>0</v>
      </c>
      <c r="Q175" s="12"/>
      <c r="R175" s="12">
        <v>0</v>
      </c>
      <c r="S175" s="12">
        <v>0</v>
      </c>
      <c r="T175" s="12">
        <v>0</v>
      </c>
      <c r="U175" s="12"/>
      <c r="V175" s="12">
        <v>0</v>
      </c>
      <c r="W175" s="12">
        <v>0</v>
      </c>
      <c r="X175" s="12"/>
      <c r="Y175" s="12">
        <v>0</v>
      </c>
    </row>
    <row r="176" spans="13:25" x14ac:dyDescent="0.35">
      <c r="M176" s="6" t="s">
        <v>189</v>
      </c>
      <c r="N176" s="12"/>
      <c r="O176" s="12">
        <v>0</v>
      </c>
      <c r="P176" s="12">
        <v>0</v>
      </c>
      <c r="Q176" s="12"/>
      <c r="R176" s="12">
        <v>0</v>
      </c>
      <c r="S176" s="12">
        <v>0</v>
      </c>
      <c r="T176" s="12">
        <v>0</v>
      </c>
      <c r="U176" s="12"/>
      <c r="V176" s="12">
        <v>0</v>
      </c>
      <c r="W176" s="12">
        <v>0</v>
      </c>
      <c r="X176" s="12"/>
      <c r="Y176" s="12">
        <v>0</v>
      </c>
    </row>
    <row r="177" spans="13:25" x14ac:dyDescent="0.35">
      <c r="M177" s="6" t="s">
        <v>188</v>
      </c>
      <c r="N177" s="12"/>
      <c r="O177" s="12" t="e">
        <v>#VALUE!</v>
      </c>
      <c r="P177" s="12" t="e">
        <v>#VALUE!</v>
      </c>
      <c r="Q177" s="12"/>
      <c r="R177" s="12">
        <v>0</v>
      </c>
      <c r="S177" s="12">
        <v>0</v>
      </c>
      <c r="T177" s="12" t="e">
        <v>#VALUE!</v>
      </c>
      <c r="U177" s="12"/>
      <c r="V177" s="12" t="e">
        <v>#VALUE!</v>
      </c>
      <c r="W177" s="12" t="e">
        <v>#VALUE!</v>
      </c>
      <c r="X177" s="12"/>
      <c r="Y177" s="12">
        <v>0</v>
      </c>
    </row>
    <row r="178" spans="13:25" x14ac:dyDescent="0.35">
      <c r="M178" s="6" t="s">
        <v>187</v>
      </c>
      <c r="N178" s="12"/>
      <c r="O178" s="12" t="e">
        <v>#VALUE!</v>
      </c>
      <c r="P178" s="12" t="e">
        <v>#VALUE!</v>
      </c>
      <c r="Q178" s="12"/>
      <c r="R178" s="12">
        <v>0</v>
      </c>
      <c r="S178" s="12">
        <v>0</v>
      </c>
      <c r="T178" s="12" t="e">
        <v>#VALUE!</v>
      </c>
      <c r="U178" s="12"/>
      <c r="V178" s="12">
        <v>0</v>
      </c>
      <c r="W178" s="12">
        <v>0</v>
      </c>
      <c r="X178" s="12"/>
      <c r="Y178" s="12">
        <v>0</v>
      </c>
    </row>
    <row r="179" spans="13:25" x14ac:dyDescent="0.35">
      <c r="M179" s="6" t="s">
        <v>186</v>
      </c>
      <c r="N179" s="12"/>
      <c r="O179" s="12" t="e">
        <v>#VALUE!</v>
      </c>
      <c r="P179" s="12" t="e">
        <v>#VALUE!</v>
      </c>
      <c r="Q179" s="12"/>
      <c r="R179" s="12">
        <v>0</v>
      </c>
      <c r="S179" s="12">
        <v>0</v>
      </c>
      <c r="T179" s="12" t="e">
        <v>#VALUE!</v>
      </c>
      <c r="U179" s="12"/>
      <c r="V179" s="12" t="e">
        <v>#VALUE!</v>
      </c>
      <c r="W179" s="12" t="e">
        <v>#VALUE!</v>
      </c>
      <c r="X179" s="12"/>
      <c r="Y179" s="12" t="e">
        <v>#VALUE!</v>
      </c>
    </row>
    <row r="180" spans="13:25" x14ac:dyDescent="0.35">
      <c r="M180" s="6" t="s">
        <v>460</v>
      </c>
      <c r="N180" s="12"/>
      <c r="O180" s="12" t="e">
        <v>#VALUE!</v>
      </c>
      <c r="P180" s="12" t="e">
        <v>#VALUE!</v>
      </c>
      <c r="Q180" s="12"/>
      <c r="R180" s="12">
        <v>0</v>
      </c>
      <c r="S180" s="12" t="e">
        <v>#VALUE!</v>
      </c>
      <c r="T180" s="12">
        <v>0</v>
      </c>
      <c r="U180" s="12"/>
      <c r="V180" s="12">
        <v>0</v>
      </c>
      <c r="W180" s="12">
        <v>0</v>
      </c>
      <c r="X180" s="12"/>
      <c r="Y180" s="12">
        <v>0</v>
      </c>
    </row>
    <row r="181" spans="13:25" x14ac:dyDescent="0.35">
      <c r="M181" s="6" t="s">
        <v>185</v>
      </c>
      <c r="N181" s="12"/>
      <c r="O181" s="12">
        <v>0</v>
      </c>
      <c r="P181" s="12">
        <v>0</v>
      </c>
      <c r="Q181" s="12"/>
      <c r="R181" s="12">
        <v>0</v>
      </c>
      <c r="S181" s="12">
        <v>0</v>
      </c>
      <c r="T181" s="12">
        <v>0</v>
      </c>
      <c r="U181" s="12"/>
      <c r="V181" s="12">
        <v>0</v>
      </c>
      <c r="W181" s="12">
        <v>0</v>
      </c>
      <c r="X181" s="12"/>
      <c r="Y181" s="12">
        <v>0</v>
      </c>
    </row>
    <row r="182" spans="13:25" x14ac:dyDescent="0.35">
      <c r="M182" s="6" t="s">
        <v>184</v>
      </c>
      <c r="N182" s="12"/>
      <c r="O182" s="12">
        <v>0</v>
      </c>
      <c r="P182" s="12">
        <v>0</v>
      </c>
      <c r="Q182" s="12"/>
      <c r="R182" s="12">
        <v>0</v>
      </c>
      <c r="S182" s="12">
        <v>0</v>
      </c>
      <c r="T182" s="12">
        <v>0</v>
      </c>
      <c r="U182" s="12"/>
      <c r="V182" s="12">
        <v>0</v>
      </c>
      <c r="W182" s="12">
        <v>0</v>
      </c>
      <c r="X182" s="12"/>
      <c r="Y182" s="12">
        <v>0</v>
      </c>
    </row>
    <row r="183" spans="13:25" x14ac:dyDescent="0.35">
      <c r="M183" s="6" t="s">
        <v>183</v>
      </c>
      <c r="N183" s="12"/>
      <c r="O183" s="12">
        <v>0</v>
      </c>
      <c r="P183" s="12">
        <v>0</v>
      </c>
      <c r="Q183" s="12"/>
      <c r="R183" s="12">
        <v>0</v>
      </c>
      <c r="S183" s="12">
        <v>0</v>
      </c>
      <c r="T183" s="12">
        <v>0</v>
      </c>
      <c r="U183" s="12"/>
      <c r="V183" s="12">
        <v>0</v>
      </c>
      <c r="W183" s="12">
        <v>0</v>
      </c>
      <c r="X183" s="12"/>
      <c r="Y183" s="12">
        <v>0</v>
      </c>
    </row>
    <row r="184" spans="13:25" x14ac:dyDescent="0.35">
      <c r="M184" s="6" t="s">
        <v>182</v>
      </c>
      <c r="N184" s="12"/>
      <c r="O184" s="12">
        <v>0</v>
      </c>
      <c r="P184" s="12">
        <v>0</v>
      </c>
      <c r="Q184" s="12"/>
      <c r="R184" s="12">
        <v>0</v>
      </c>
      <c r="S184" s="12">
        <v>0</v>
      </c>
      <c r="T184" s="12">
        <v>0</v>
      </c>
      <c r="U184" s="12"/>
      <c r="V184" s="12">
        <v>0</v>
      </c>
      <c r="W184" s="12">
        <v>0</v>
      </c>
      <c r="X184" s="12"/>
      <c r="Y184" s="12">
        <v>0</v>
      </c>
    </row>
    <row r="185" spans="13:25" x14ac:dyDescent="0.35">
      <c r="M185" s="6" t="s">
        <v>191</v>
      </c>
      <c r="N185" s="12"/>
      <c r="O185" s="12">
        <v>0</v>
      </c>
      <c r="P185" s="12">
        <v>0</v>
      </c>
      <c r="Q185" s="12"/>
      <c r="R185" s="12">
        <v>0</v>
      </c>
      <c r="S185" s="12">
        <v>0</v>
      </c>
      <c r="T185" s="12">
        <v>0</v>
      </c>
      <c r="U185" s="12"/>
      <c r="V185" s="12">
        <v>0</v>
      </c>
      <c r="W185" s="12">
        <v>0</v>
      </c>
      <c r="X185" s="12"/>
      <c r="Y185" s="12">
        <v>0</v>
      </c>
    </row>
    <row r="186" spans="13:25" x14ac:dyDescent="0.35">
      <c r="M186" s="6" t="s">
        <v>195</v>
      </c>
      <c r="N186" s="12"/>
      <c r="O186" s="12" t="e">
        <v>#VALUE!</v>
      </c>
      <c r="P186" s="12" t="e">
        <v>#VALUE!</v>
      </c>
      <c r="Q186" s="12"/>
      <c r="R186" s="12">
        <v>0</v>
      </c>
      <c r="S186" s="12">
        <v>0</v>
      </c>
      <c r="T186" s="12" t="e">
        <v>#VALUE!</v>
      </c>
      <c r="U186" s="12"/>
      <c r="V186" s="12" t="e">
        <v>#VALUE!</v>
      </c>
      <c r="W186" s="12" t="e">
        <v>#VALUE!</v>
      </c>
      <c r="X186" s="12"/>
      <c r="Y186" s="12" t="e">
        <v>#VALUE!</v>
      </c>
    </row>
    <row r="187" spans="13:25" x14ac:dyDescent="0.35">
      <c r="M187" s="6" t="s">
        <v>461</v>
      </c>
      <c r="N187" s="12"/>
      <c r="O187" s="12" t="e">
        <v>#VALUE!</v>
      </c>
      <c r="P187" s="12" t="e">
        <v>#VALUE!</v>
      </c>
      <c r="Q187" s="12"/>
      <c r="R187" s="12">
        <v>0</v>
      </c>
      <c r="S187" s="12" t="e">
        <v>#VALUE!</v>
      </c>
      <c r="T187" s="12">
        <v>0</v>
      </c>
      <c r="U187" s="12"/>
      <c r="V187" s="12">
        <v>0</v>
      </c>
      <c r="W187" s="12">
        <v>0</v>
      </c>
      <c r="X187" s="12"/>
      <c r="Y187" s="12">
        <v>0</v>
      </c>
    </row>
    <row r="188" spans="13:25" x14ac:dyDescent="0.35">
      <c r="M188" s="6" t="s">
        <v>196</v>
      </c>
      <c r="N188" s="12"/>
      <c r="O188" s="12" t="e">
        <v>#VALUE!</v>
      </c>
      <c r="P188" s="12" t="e">
        <v>#VALUE!</v>
      </c>
      <c r="Q188" s="12"/>
      <c r="R188" s="12">
        <v>0</v>
      </c>
      <c r="S188" s="12">
        <v>0</v>
      </c>
      <c r="T188" s="12" t="e">
        <v>#VALUE!</v>
      </c>
      <c r="U188" s="12"/>
      <c r="V188" s="12" t="e">
        <v>#VALUE!</v>
      </c>
      <c r="W188" s="12" t="e">
        <v>#VALUE!</v>
      </c>
      <c r="X188" s="12"/>
      <c r="Y188" s="12" t="e">
        <v>#VALUE!</v>
      </c>
    </row>
    <row r="189" spans="13:25" x14ac:dyDescent="0.35">
      <c r="M189" s="6" t="s">
        <v>199</v>
      </c>
      <c r="N189" s="12"/>
      <c r="O189" s="12" t="e">
        <v>#VALUE!</v>
      </c>
      <c r="P189" s="12" t="e">
        <v>#VALUE!</v>
      </c>
      <c r="Q189" s="12"/>
      <c r="R189" s="12">
        <v>0</v>
      </c>
      <c r="S189" s="12">
        <v>0</v>
      </c>
      <c r="T189" s="12" t="e">
        <v>#VALUE!</v>
      </c>
      <c r="U189" s="12"/>
      <c r="V189" s="12" t="e">
        <v>#VALUE!</v>
      </c>
      <c r="W189" s="12" t="e">
        <v>#VALUE!</v>
      </c>
      <c r="X189" s="12"/>
      <c r="Y189" s="12" t="e">
        <v>#VALUE!</v>
      </c>
    </row>
    <row r="190" spans="13:25" x14ac:dyDescent="0.35">
      <c r="M190" s="6" t="s">
        <v>200</v>
      </c>
      <c r="N190" s="12"/>
      <c r="O190" s="12">
        <v>0</v>
      </c>
      <c r="P190" s="12">
        <v>0</v>
      </c>
      <c r="Q190" s="12"/>
      <c r="R190" s="12">
        <v>0</v>
      </c>
      <c r="S190" s="12">
        <v>0</v>
      </c>
      <c r="T190" s="12">
        <v>0</v>
      </c>
      <c r="U190" s="12"/>
      <c r="V190" s="12">
        <v>0</v>
      </c>
      <c r="W190" s="12">
        <v>0</v>
      </c>
      <c r="X190" s="12"/>
      <c r="Y190" s="12">
        <v>0</v>
      </c>
    </row>
    <row r="191" spans="13:25" x14ac:dyDescent="0.35">
      <c r="M191" s="6" t="s">
        <v>201</v>
      </c>
      <c r="N191" s="12"/>
      <c r="O191" s="12" t="e">
        <v>#VALUE!</v>
      </c>
      <c r="P191" s="12" t="e">
        <v>#VALUE!</v>
      </c>
      <c r="Q191" s="12"/>
      <c r="R191" s="12">
        <v>0</v>
      </c>
      <c r="S191" s="12">
        <v>0</v>
      </c>
      <c r="T191" s="12" t="e">
        <v>#VALUE!</v>
      </c>
      <c r="U191" s="12"/>
      <c r="V191" s="12" t="e">
        <v>#VALUE!</v>
      </c>
      <c r="W191" s="12" t="e">
        <v>#VALUE!</v>
      </c>
      <c r="X191" s="12"/>
      <c r="Y191" s="12">
        <v>0</v>
      </c>
    </row>
    <row r="192" spans="13:25" x14ac:dyDescent="0.35">
      <c r="M192" s="6" t="s">
        <v>202</v>
      </c>
      <c r="N192" s="12"/>
      <c r="O192" s="12">
        <v>0</v>
      </c>
      <c r="P192" s="12">
        <v>0</v>
      </c>
      <c r="Q192" s="12"/>
      <c r="R192" s="12">
        <v>0</v>
      </c>
      <c r="S192" s="12">
        <v>0</v>
      </c>
      <c r="T192" s="12">
        <v>0</v>
      </c>
      <c r="U192" s="12"/>
      <c r="V192" s="12">
        <v>0</v>
      </c>
      <c r="W192" s="12">
        <v>0</v>
      </c>
      <c r="X192" s="12"/>
      <c r="Y192" s="12">
        <v>0</v>
      </c>
    </row>
    <row r="193" spans="13:25" x14ac:dyDescent="0.35">
      <c r="M193" s="6" t="s">
        <v>203</v>
      </c>
      <c r="N193" s="12"/>
      <c r="O193" s="12">
        <v>0</v>
      </c>
      <c r="P193" s="12">
        <v>0</v>
      </c>
      <c r="Q193" s="12"/>
      <c r="R193" s="12">
        <v>0</v>
      </c>
      <c r="S193" s="12">
        <v>0</v>
      </c>
      <c r="T193" s="12">
        <v>0</v>
      </c>
      <c r="U193" s="12"/>
      <c r="V193" s="12">
        <v>0</v>
      </c>
      <c r="W193" s="12">
        <v>0</v>
      </c>
      <c r="X193" s="12"/>
      <c r="Y193" s="12">
        <v>0</v>
      </c>
    </row>
    <row r="194" spans="13:25" x14ac:dyDescent="0.35">
      <c r="M194" s="6" t="s">
        <v>459</v>
      </c>
      <c r="N194" s="12"/>
      <c r="O194" s="12" t="e">
        <v>#VALUE!</v>
      </c>
      <c r="P194" s="12" t="e">
        <v>#VALUE!</v>
      </c>
      <c r="Q194" s="12"/>
      <c r="R194" s="12" t="e">
        <v>#VALUE!</v>
      </c>
      <c r="S194" s="12" t="e">
        <v>#VALUE!</v>
      </c>
      <c r="T194" s="12">
        <v>0</v>
      </c>
      <c r="U194" s="12"/>
      <c r="V194" s="12">
        <v>0</v>
      </c>
      <c r="W194" s="12">
        <v>0</v>
      </c>
      <c r="X194" s="12"/>
      <c r="Y194" s="12">
        <v>0</v>
      </c>
    </row>
    <row r="195" spans="13:25" x14ac:dyDescent="0.35">
      <c r="M195" s="6" t="s">
        <v>404</v>
      </c>
      <c r="N195" s="12"/>
      <c r="O195" s="12">
        <v>0</v>
      </c>
      <c r="P195" s="12">
        <v>0</v>
      </c>
      <c r="Q195" s="12"/>
      <c r="R195" s="12">
        <v>0</v>
      </c>
      <c r="S195" s="12">
        <v>0</v>
      </c>
      <c r="T195" s="12">
        <v>0</v>
      </c>
      <c r="U195" s="12"/>
      <c r="V195" s="12">
        <v>0</v>
      </c>
      <c r="W195" s="12">
        <v>0</v>
      </c>
      <c r="X195" s="12"/>
      <c r="Y195" s="12">
        <v>0</v>
      </c>
    </row>
    <row r="196" spans="13:25" x14ac:dyDescent="0.35">
      <c r="M196" s="6" t="s">
        <v>403</v>
      </c>
      <c r="N196" s="12"/>
      <c r="O196" s="12" t="e">
        <v>#VALUE!</v>
      </c>
      <c r="P196" s="12" t="e">
        <v>#VALUE!</v>
      </c>
      <c r="Q196" s="12"/>
      <c r="R196" s="12">
        <v>0</v>
      </c>
      <c r="S196" s="12">
        <v>0</v>
      </c>
      <c r="T196" s="12" t="e">
        <v>#VALUE!</v>
      </c>
      <c r="U196" s="12"/>
      <c r="V196" s="12" t="e">
        <v>#VALUE!</v>
      </c>
      <c r="W196" s="12" t="e">
        <v>#VALUE!</v>
      </c>
      <c r="X196" s="12"/>
      <c r="Y196" s="12" t="e">
        <v>#VALUE!</v>
      </c>
    </row>
    <row r="197" spans="13:25" x14ac:dyDescent="0.35">
      <c r="M197" s="6" t="s">
        <v>402</v>
      </c>
      <c r="N197" s="12"/>
      <c r="O197" s="12" t="e">
        <v>#VALUE!</v>
      </c>
      <c r="P197" s="12" t="e">
        <v>#VALUE!</v>
      </c>
      <c r="Q197" s="12"/>
      <c r="R197" s="12">
        <v>0</v>
      </c>
      <c r="S197" s="12" t="e">
        <v>#VALUE!</v>
      </c>
      <c r="T197" s="12" t="e">
        <v>#VALUE!</v>
      </c>
      <c r="U197" s="12"/>
      <c r="V197" s="12" t="e">
        <v>#VALUE!</v>
      </c>
      <c r="W197" s="12" t="e">
        <v>#VALUE!</v>
      </c>
      <c r="X197" s="12"/>
      <c r="Y197" s="12">
        <v>0</v>
      </c>
    </row>
    <row r="198" spans="13:25" x14ac:dyDescent="0.35">
      <c r="M198" s="6" t="s">
        <v>401</v>
      </c>
      <c r="N198" s="12"/>
      <c r="O198" s="12" t="e">
        <v>#VALUE!</v>
      </c>
      <c r="P198" s="12" t="e">
        <v>#VALUE!</v>
      </c>
      <c r="Q198" s="12"/>
      <c r="R198" s="12">
        <v>0</v>
      </c>
      <c r="S198" s="12">
        <v>0</v>
      </c>
      <c r="T198" s="12" t="e">
        <v>#VALUE!</v>
      </c>
      <c r="U198" s="12"/>
      <c r="V198" s="12" t="e">
        <v>#VALUE!</v>
      </c>
      <c r="W198" s="12" t="e">
        <v>#VALUE!</v>
      </c>
      <c r="X198" s="12"/>
      <c r="Y198" s="12" t="e">
        <v>#VALUE!</v>
      </c>
    </row>
    <row r="199" spans="13:25" x14ac:dyDescent="0.35">
      <c r="M199" s="6" t="s">
        <v>204</v>
      </c>
      <c r="N199" s="12"/>
      <c r="O199" s="12" t="e">
        <v>#VALUE!</v>
      </c>
      <c r="P199" s="12" t="e">
        <v>#VALUE!</v>
      </c>
      <c r="Q199" s="12"/>
      <c r="R199" s="12">
        <v>0</v>
      </c>
      <c r="S199" s="12">
        <v>0</v>
      </c>
      <c r="T199" s="12" t="e">
        <v>#VALUE!</v>
      </c>
      <c r="U199" s="12"/>
      <c r="V199" s="12" t="e">
        <v>#VALUE!</v>
      </c>
      <c r="W199" s="12" t="e">
        <v>#VALUE!</v>
      </c>
      <c r="X199" s="12"/>
      <c r="Y199" s="12" t="e">
        <v>#VALUE!</v>
      </c>
    </row>
    <row r="200" spans="13:25" x14ac:dyDescent="0.35">
      <c r="M200" s="6" t="s">
        <v>399</v>
      </c>
      <c r="N200" s="12"/>
      <c r="O200" s="12" t="e">
        <v>#VALUE!</v>
      </c>
      <c r="P200" s="12" t="e">
        <v>#VALUE!</v>
      </c>
      <c r="Q200" s="12"/>
      <c r="R200" s="12">
        <v>0</v>
      </c>
      <c r="S200" s="12">
        <v>0</v>
      </c>
      <c r="T200" s="12" t="e">
        <v>#VALUE!</v>
      </c>
      <c r="U200" s="12"/>
      <c r="V200" s="12" t="e">
        <v>#VALUE!</v>
      </c>
      <c r="W200" s="12" t="e">
        <v>#VALUE!</v>
      </c>
      <c r="X200" s="12"/>
      <c r="Y200" s="12" t="e">
        <v>#VALUE!</v>
      </c>
    </row>
    <row r="201" spans="13:25" x14ac:dyDescent="0.35">
      <c r="M201" s="6" t="s">
        <v>456</v>
      </c>
      <c r="N201" s="12"/>
      <c r="O201" s="12" t="e">
        <v>#VALUE!</v>
      </c>
      <c r="P201" s="12" t="e">
        <v>#VALUE!</v>
      </c>
      <c r="Q201" s="12"/>
      <c r="R201" s="12">
        <v>0</v>
      </c>
      <c r="S201" s="12" t="e">
        <v>#VALUE!</v>
      </c>
      <c r="T201" s="12">
        <v>0</v>
      </c>
      <c r="U201" s="12"/>
      <c r="V201" s="12">
        <v>0</v>
      </c>
      <c r="W201" s="12">
        <v>0</v>
      </c>
      <c r="X201" s="12"/>
      <c r="Y201" s="12">
        <v>0</v>
      </c>
    </row>
    <row r="202" spans="13:25" x14ac:dyDescent="0.35">
      <c r="M202" s="6" t="s">
        <v>398</v>
      </c>
      <c r="N202" s="12"/>
      <c r="O202" s="12" t="e">
        <v>#VALUE!</v>
      </c>
      <c r="P202" s="12" t="e">
        <v>#VALUE!</v>
      </c>
      <c r="Q202" s="12"/>
      <c r="R202" s="12">
        <v>0</v>
      </c>
      <c r="S202" s="12">
        <v>0</v>
      </c>
      <c r="T202" s="12" t="e">
        <v>#VALUE!</v>
      </c>
      <c r="U202" s="12"/>
      <c r="V202" s="12" t="e">
        <v>#VALUE!</v>
      </c>
      <c r="W202" s="12" t="e">
        <v>#VALUE!</v>
      </c>
      <c r="X202" s="12"/>
      <c r="Y202" s="12" t="e">
        <v>#VALUE!</v>
      </c>
    </row>
    <row r="203" spans="13:25" x14ac:dyDescent="0.35">
      <c r="M203" s="6" t="s">
        <v>205</v>
      </c>
      <c r="N203" s="12"/>
      <c r="O203" s="12" t="e">
        <v>#VALUE!</v>
      </c>
      <c r="P203" s="12" t="e">
        <v>#VALUE!</v>
      </c>
      <c r="Q203" s="12"/>
      <c r="R203" s="12">
        <v>0</v>
      </c>
      <c r="S203" s="12">
        <v>0</v>
      </c>
      <c r="T203" s="12" t="e">
        <v>#VALUE!</v>
      </c>
      <c r="U203" s="12"/>
      <c r="V203" s="12" t="e">
        <v>#VALUE!</v>
      </c>
      <c r="W203" s="12" t="e">
        <v>#VALUE!</v>
      </c>
      <c r="X203" s="12"/>
      <c r="Y203" s="12" t="e">
        <v>#VALUE!</v>
      </c>
    </row>
    <row r="204" spans="13:25" x14ac:dyDescent="0.35">
      <c r="M204" s="6" t="s">
        <v>396</v>
      </c>
      <c r="N204" s="12"/>
      <c r="O204" s="12" t="e">
        <v>#VALUE!</v>
      </c>
      <c r="P204" s="12" t="e">
        <v>#VALUE!</v>
      </c>
      <c r="Q204" s="12"/>
      <c r="R204" s="12">
        <v>0</v>
      </c>
      <c r="S204" s="12">
        <v>0</v>
      </c>
      <c r="T204" s="12" t="e">
        <v>#VALUE!</v>
      </c>
      <c r="U204" s="12"/>
      <c r="V204" s="12" t="e">
        <v>#VALUE!</v>
      </c>
      <c r="W204" s="12" t="e">
        <v>#VALUE!</v>
      </c>
      <c r="X204" s="12"/>
      <c r="Y204" s="12" t="e">
        <v>#VALUE!</v>
      </c>
    </row>
    <row r="205" spans="13:25" x14ac:dyDescent="0.35">
      <c r="M205" s="6" t="s">
        <v>206</v>
      </c>
      <c r="N205" s="12"/>
      <c r="O205" s="12" t="e">
        <v>#VALUE!</v>
      </c>
      <c r="P205" s="12" t="e">
        <v>#VALUE!</v>
      </c>
      <c r="Q205" s="12"/>
      <c r="R205" s="12">
        <v>0</v>
      </c>
      <c r="S205" s="12">
        <v>0</v>
      </c>
      <c r="T205" s="12" t="e">
        <v>#VALUE!</v>
      </c>
      <c r="U205" s="12"/>
      <c r="V205" s="12" t="e">
        <v>#VALUE!</v>
      </c>
      <c r="W205" s="12" t="e">
        <v>#VALUE!</v>
      </c>
      <c r="X205" s="12"/>
      <c r="Y205" s="12">
        <v>0</v>
      </c>
    </row>
    <row r="206" spans="13:25" x14ac:dyDescent="0.35">
      <c r="M206" s="6" t="s">
        <v>395</v>
      </c>
      <c r="N206" s="12"/>
      <c r="O206" s="12" t="e">
        <v>#VALUE!</v>
      </c>
      <c r="P206" s="12" t="e">
        <v>#VALUE!</v>
      </c>
      <c r="Q206" s="12"/>
      <c r="R206" s="12">
        <v>0</v>
      </c>
      <c r="S206" s="12">
        <v>0</v>
      </c>
      <c r="T206" s="12" t="e">
        <v>#VALUE!</v>
      </c>
      <c r="U206" s="12"/>
      <c r="V206" s="12" t="e">
        <v>#VALUE!</v>
      </c>
      <c r="W206" s="12" t="e">
        <v>#VALUE!</v>
      </c>
      <c r="X206" s="12"/>
      <c r="Y206" s="12" t="e">
        <v>#VALUE!</v>
      </c>
    </row>
    <row r="207" spans="13:25" x14ac:dyDescent="0.35">
      <c r="M207" s="6" t="s">
        <v>393</v>
      </c>
      <c r="N207" s="12"/>
      <c r="O207" s="12" t="e">
        <v>#VALUE!</v>
      </c>
      <c r="P207" s="12" t="e">
        <v>#VALUE!</v>
      </c>
      <c r="Q207" s="12"/>
      <c r="R207" s="12">
        <v>0</v>
      </c>
      <c r="S207" s="12">
        <v>0</v>
      </c>
      <c r="T207" s="12" t="e">
        <v>#VALUE!</v>
      </c>
      <c r="U207" s="12"/>
      <c r="V207" s="12" t="e">
        <v>#VALUE!</v>
      </c>
      <c r="W207" s="12" t="e">
        <v>#VALUE!</v>
      </c>
      <c r="X207" s="12"/>
      <c r="Y207" s="12" t="e">
        <v>#VALUE!</v>
      </c>
    </row>
    <row r="208" spans="13:25" x14ac:dyDescent="0.35">
      <c r="M208" s="6" t="s">
        <v>391</v>
      </c>
      <c r="N208" s="12"/>
      <c r="O208" s="12">
        <v>0</v>
      </c>
      <c r="P208" s="12">
        <v>0</v>
      </c>
      <c r="Q208" s="12"/>
      <c r="R208" s="12">
        <v>0</v>
      </c>
      <c r="S208" s="12">
        <v>0</v>
      </c>
      <c r="T208" s="12">
        <v>0</v>
      </c>
      <c r="U208" s="12"/>
      <c r="V208" s="12">
        <v>0</v>
      </c>
      <c r="W208" s="12">
        <v>0</v>
      </c>
      <c r="X208" s="12"/>
      <c r="Y208" s="12">
        <v>0</v>
      </c>
    </row>
    <row r="209" spans="13:25" x14ac:dyDescent="0.35">
      <c r="M209" s="6" t="s">
        <v>72</v>
      </c>
      <c r="N209" s="12"/>
      <c r="O209" s="12">
        <v>0</v>
      </c>
      <c r="P209" s="12">
        <v>0</v>
      </c>
      <c r="Q209" s="12"/>
      <c r="R209" s="12">
        <v>0</v>
      </c>
      <c r="S209" s="12">
        <v>0</v>
      </c>
      <c r="T209" s="12">
        <v>0</v>
      </c>
      <c r="U209" s="12"/>
      <c r="V209" s="12">
        <v>0</v>
      </c>
      <c r="W209" s="12">
        <v>0</v>
      </c>
      <c r="X209" s="12"/>
      <c r="Y209" s="12">
        <v>0</v>
      </c>
    </row>
    <row r="210" spans="13:25" x14ac:dyDescent="0.35">
      <c r="M210" s="6" t="s">
        <v>151</v>
      </c>
      <c r="N210" s="12"/>
      <c r="O210" s="12">
        <v>0</v>
      </c>
      <c r="P210" s="12">
        <v>0</v>
      </c>
      <c r="Q210" s="12"/>
      <c r="R210" s="12">
        <v>0</v>
      </c>
      <c r="S210" s="12">
        <v>0</v>
      </c>
      <c r="T210" s="12">
        <v>0</v>
      </c>
      <c r="U210" s="12"/>
      <c r="V210" s="12">
        <v>0</v>
      </c>
      <c r="W210" s="12">
        <v>0</v>
      </c>
      <c r="X210" s="12"/>
      <c r="Y210" s="12">
        <v>0</v>
      </c>
    </row>
    <row r="211" spans="13:25" x14ac:dyDescent="0.35">
      <c r="M211" s="6" t="s">
        <v>550</v>
      </c>
      <c r="N211" s="12"/>
      <c r="O211" s="12">
        <v>0</v>
      </c>
      <c r="P211" s="12">
        <v>0</v>
      </c>
      <c r="Q211" s="12"/>
      <c r="R211" s="12">
        <v>0</v>
      </c>
      <c r="S211" s="12">
        <v>0</v>
      </c>
      <c r="T211" s="12">
        <v>0</v>
      </c>
      <c r="U211" s="12"/>
      <c r="V211" s="12">
        <v>0</v>
      </c>
      <c r="W211" s="12">
        <v>0</v>
      </c>
      <c r="X211" s="12"/>
      <c r="Y211" s="12">
        <v>0</v>
      </c>
    </row>
    <row r="212" spans="13:25" x14ac:dyDescent="0.35">
      <c r="M212" s="6" t="s">
        <v>549</v>
      </c>
      <c r="N212" s="12"/>
      <c r="O212" s="12">
        <v>0</v>
      </c>
      <c r="P212" s="12">
        <v>0</v>
      </c>
      <c r="Q212" s="12"/>
      <c r="R212" s="12">
        <v>0</v>
      </c>
      <c r="S212" s="12">
        <v>0</v>
      </c>
      <c r="T212" s="12">
        <v>0</v>
      </c>
      <c r="U212" s="12"/>
      <c r="V212" s="12">
        <v>0</v>
      </c>
      <c r="W212" s="12">
        <v>0</v>
      </c>
      <c r="X212" s="12"/>
      <c r="Y212" s="12">
        <v>0</v>
      </c>
    </row>
    <row r="213" spans="13:25" x14ac:dyDescent="0.35">
      <c r="M213" s="6" t="s">
        <v>110</v>
      </c>
      <c r="N213" s="12"/>
      <c r="O213" s="12">
        <v>0</v>
      </c>
      <c r="P213" s="12">
        <v>0</v>
      </c>
      <c r="Q213" s="12"/>
      <c r="R213" s="12">
        <v>0</v>
      </c>
      <c r="S213" s="12">
        <v>0</v>
      </c>
      <c r="T213" s="12">
        <v>0</v>
      </c>
      <c r="U213" s="12"/>
      <c r="V213" s="12">
        <v>0</v>
      </c>
      <c r="W213" s="12">
        <v>0</v>
      </c>
      <c r="X213" s="12"/>
      <c r="Y213" s="12">
        <v>0</v>
      </c>
    </row>
    <row r="214" spans="13:25" x14ac:dyDescent="0.35">
      <c r="M214" s="6" t="s">
        <v>105</v>
      </c>
      <c r="N214" s="12"/>
      <c r="O214" s="12">
        <v>0</v>
      </c>
      <c r="P214" s="12">
        <v>0</v>
      </c>
      <c r="Q214" s="12"/>
      <c r="R214" s="12">
        <v>0</v>
      </c>
      <c r="S214" s="12">
        <v>0</v>
      </c>
      <c r="T214" s="12">
        <v>0</v>
      </c>
      <c r="U214" s="12"/>
      <c r="V214" s="12">
        <v>0</v>
      </c>
      <c r="W214" s="12">
        <v>0</v>
      </c>
      <c r="X214" s="12"/>
      <c r="Y214" s="12">
        <v>0</v>
      </c>
    </row>
    <row r="215" spans="13:25" x14ac:dyDescent="0.35">
      <c r="M215" s="6" t="s">
        <v>116</v>
      </c>
      <c r="N215" s="12"/>
      <c r="O215" s="12">
        <v>0</v>
      </c>
      <c r="P215" s="12">
        <v>0</v>
      </c>
      <c r="Q215" s="12"/>
      <c r="R215" s="12">
        <v>0</v>
      </c>
      <c r="S215" s="12">
        <v>0</v>
      </c>
      <c r="T215" s="12">
        <v>0</v>
      </c>
      <c r="U215" s="12"/>
      <c r="V215" s="12">
        <v>0</v>
      </c>
      <c r="W215" s="12">
        <v>0</v>
      </c>
      <c r="X215" s="12"/>
      <c r="Y215" s="12">
        <v>0</v>
      </c>
    </row>
    <row r="216" spans="13:25" x14ac:dyDescent="0.35">
      <c r="M216" s="6" t="s">
        <v>548</v>
      </c>
      <c r="N216" s="12"/>
      <c r="O216" s="12">
        <v>0</v>
      </c>
      <c r="P216" s="12">
        <v>0</v>
      </c>
      <c r="Q216" s="12"/>
      <c r="R216" s="12">
        <v>0</v>
      </c>
      <c r="S216" s="12">
        <v>0</v>
      </c>
      <c r="T216" s="12">
        <v>0</v>
      </c>
      <c r="U216" s="12"/>
      <c r="V216" s="12">
        <v>0</v>
      </c>
      <c r="W216" s="12">
        <v>0</v>
      </c>
      <c r="X216" s="12"/>
      <c r="Y216" s="12">
        <v>0</v>
      </c>
    </row>
    <row r="217" spans="13:25" x14ac:dyDescent="0.35">
      <c r="M217" s="6" t="s">
        <v>547</v>
      </c>
      <c r="N217" s="12"/>
      <c r="O217" s="12">
        <v>0</v>
      </c>
      <c r="P217" s="12">
        <v>0</v>
      </c>
      <c r="Q217" s="12"/>
      <c r="R217" s="12">
        <v>0</v>
      </c>
      <c r="S217" s="12">
        <v>0</v>
      </c>
      <c r="T217" s="12">
        <v>0</v>
      </c>
      <c r="U217" s="12"/>
      <c r="V217" s="12">
        <v>0</v>
      </c>
      <c r="W217" s="12">
        <v>0</v>
      </c>
      <c r="X217" s="12"/>
      <c r="Y217" s="12">
        <v>0</v>
      </c>
    </row>
    <row r="218" spans="13:25" x14ac:dyDescent="0.35">
      <c r="M218" s="6" t="s">
        <v>228</v>
      </c>
      <c r="N218" s="12"/>
      <c r="O218" s="12">
        <v>0</v>
      </c>
      <c r="P218" s="12">
        <v>0</v>
      </c>
      <c r="Q218" s="12"/>
      <c r="R218" s="12">
        <v>0</v>
      </c>
      <c r="S218" s="12">
        <v>0</v>
      </c>
      <c r="T218" s="12">
        <v>0</v>
      </c>
      <c r="U218" s="12"/>
      <c r="V218" s="12">
        <v>0</v>
      </c>
      <c r="W218" s="12">
        <v>0</v>
      </c>
      <c r="X218" s="12"/>
      <c r="Y218" s="12">
        <v>0</v>
      </c>
    </row>
    <row r="219" spans="13:25" x14ac:dyDescent="0.35">
      <c r="M219" s="6" t="s">
        <v>247</v>
      </c>
      <c r="N219" s="12"/>
      <c r="O219" s="12">
        <v>0</v>
      </c>
      <c r="P219" s="12">
        <v>0</v>
      </c>
      <c r="Q219" s="12"/>
      <c r="R219" s="12">
        <v>0</v>
      </c>
      <c r="S219" s="12">
        <v>0</v>
      </c>
      <c r="T219" s="12">
        <v>0</v>
      </c>
      <c r="U219" s="12"/>
      <c r="V219" s="12">
        <v>0</v>
      </c>
      <c r="W219" s="12">
        <v>0</v>
      </c>
      <c r="X219" s="12"/>
      <c r="Y219" s="12">
        <v>0</v>
      </c>
    </row>
    <row r="220" spans="13:25" x14ac:dyDescent="0.35">
      <c r="M220" s="6" t="s">
        <v>444</v>
      </c>
      <c r="N220" s="12"/>
      <c r="O220" s="12" t="e">
        <v>#VALUE!</v>
      </c>
      <c r="P220" s="12" t="e">
        <v>#VALUE!</v>
      </c>
      <c r="Q220" s="12"/>
      <c r="R220" s="12">
        <v>0</v>
      </c>
      <c r="S220" s="12">
        <v>0</v>
      </c>
      <c r="T220" s="12" t="e">
        <v>#VALUE!</v>
      </c>
      <c r="U220" s="12"/>
      <c r="V220" s="12">
        <v>0</v>
      </c>
      <c r="W220" s="12">
        <v>0</v>
      </c>
      <c r="X220" s="12"/>
      <c r="Y220" s="12">
        <v>0</v>
      </c>
    </row>
    <row r="221" spans="13:25" x14ac:dyDescent="0.35">
      <c r="M221" s="6" t="s">
        <v>445</v>
      </c>
      <c r="N221" s="12"/>
      <c r="O221" s="12" t="e">
        <v>#VALUE!</v>
      </c>
      <c r="P221" s="12" t="e">
        <v>#VALUE!</v>
      </c>
      <c r="Q221" s="12"/>
      <c r="R221" s="12">
        <v>0</v>
      </c>
      <c r="S221" s="12" t="e">
        <v>#VALUE!</v>
      </c>
      <c r="T221" s="12">
        <v>0</v>
      </c>
      <c r="U221" s="12"/>
      <c r="V221" s="12">
        <v>0</v>
      </c>
      <c r="W221" s="12">
        <v>0</v>
      </c>
      <c r="X221" s="12"/>
      <c r="Y221" s="12">
        <v>0</v>
      </c>
    </row>
    <row r="222" spans="13:25" x14ac:dyDescent="0.35">
      <c r="M222" s="6" t="s">
        <v>447</v>
      </c>
      <c r="N222" s="12"/>
      <c r="O222" s="12" t="e">
        <v>#VALUE!</v>
      </c>
      <c r="P222" s="12" t="e">
        <v>#VALUE!</v>
      </c>
      <c r="Q222" s="12"/>
      <c r="R222" s="12">
        <v>0</v>
      </c>
      <c r="S222" s="12" t="e">
        <v>#VALUE!</v>
      </c>
      <c r="T222" s="12" t="e">
        <v>#VALUE!</v>
      </c>
      <c r="U222" s="12"/>
      <c r="V222" s="12">
        <v>0</v>
      </c>
      <c r="W222" s="12">
        <v>0</v>
      </c>
      <c r="X222" s="12"/>
      <c r="Y222" s="12">
        <v>0</v>
      </c>
    </row>
    <row r="223" spans="13:25" x14ac:dyDescent="0.35">
      <c r="M223" s="6" t="s">
        <v>448</v>
      </c>
      <c r="N223" s="12"/>
      <c r="O223" s="12" t="e">
        <v>#VALUE!</v>
      </c>
      <c r="P223" s="12" t="e">
        <v>#VALUE!</v>
      </c>
      <c r="Q223" s="12"/>
      <c r="R223" s="12">
        <v>0</v>
      </c>
      <c r="S223" s="12" t="e">
        <v>#VALUE!</v>
      </c>
      <c r="T223" s="12">
        <v>0</v>
      </c>
      <c r="U223" s="12"/>
      <c r="V223" s="12">
        <v>0</v>
      </c>
      <c r="W223" s="12">
        <v>0</v>
      </c>
      <c r="X223" s="12"/>
      <c r="Y223" s="12">
        <v>0</v>
      </c>
    </row>
    <row r="224" spans="13:25" x14ac:dyDescent="0.35">
      <c r="M224" s="6" t="s">
        <v>446</v>
      </c>
      <c r="N224" s="12"/>
      <c r="O224" s="12">
        <v>0</v>
      </c>
      <c r="P224" s="12">
        <v>0</v>
      </c>
      <c r="Q224" s="12"/>
      <c r="R224" s="12">
        <v>0</v>
      </c>
      <c r="S224" s="12">
        <v>0</v>
      </c>
      <c r="T224" s="12">
        <v>0</v>
      </c>
      <c r="U224" s="12"/>
      <c r="V224" s="12" t="e">
        <v>#VALUE!</v>
      </c>
      <c r="W224" s="12" t="e">
        <v>#VALUE!</v>
      </c>
      <c r="X224" s="12"/>
      <c r="Y224" s="12">
        <v>0</v>
      </c>
    </row>
    <row r="225" spans="13:25" x14ac:dyDescent="0.35">
      <c r="M225" s="6" t="s">
        <v>428</v>
      </c>
      <c r="N225" s="12"/>
      <c r="O225" s="12">
        <v>0</v>
      </c>
      <c r="P225" s="12">
        <v>0</v>
      </c>
      <c r="Q225" s="12"/>
      <c r="R225" s="12">
        <v>0</v>
      </c>
      <c r="S225" s="12">
        <v>0</v>
      </c>
      <c r="T225" s="12">
        <v>0</v>
      </c>
      <c r="U225" s="12"/>
      <c r="V225" s="12">
        <v>0</v>
      </c>
      <c r="W225" s="12">
        <v>0</v>
      </c>
      <c r="X225" s="12"/>
      <c r="Y225" s="12">
        <v>0</v>
      </c>
    </row>
    <row r="226" spans="13:25" x14ac:dyDescent="0.35">
      <c r="M226" s="6" t="s">
        <v>427</v>
      </c>
      <c r="N226" s="12"/>
      <c r="O226" s="12">
        <v>0</v>
      </c>
      <c r="P226" s="12">
        <v>0</v>
      </c>
      <c r="Q226" s="12"/>
      <c r="R226" s="12">
        <v>0</v>
      </c>
      <c r="S226" s="12">
        <v>0</v>
      </c>
      <c r="T226" s="12">
        <v>0</v>
      </c>
      <c r="U226" s="12"/>
      <c r="V226" s="12">
        <v>0</v>
      </c>
      <c r="W226" s="12">
        <v>0</v>
      </c>
      <c r="X226" s="12"/>
      <c r="Y226" s="12">
        <v>0</v>
      </c>
    </row>
    <row r="227" spans="13:25" x14ac:dyDescent="0.35">
      <c r="M227" s="6" t="s">
        <v>423</v>
      </c>
      <c r="N227" s="12"/>
      <c r="O227" s="12">
        <v>0</v>
      </c>
      <c r="P227" s="12">
        <v>0</v>
      </c>
      <c r="Q227" s="12"/>
      <c r="R227" s="12">
        <v>0</v>
      </c>
      <c r="S227" s="12">
        <v>0</v>
      </c>
      <c r="T227" s="12">
        <v>0</v>
      </c>
      <c r="U227" s="12"/>
      <c r="V227" s="12">
        <v>0</v>
      </c>
      <c r="W227" s="12">
        <v>0</v>
      </c>
      <c r="X227" s="12"/>
      <c r="Y227" s="12">
        <v>0</v>
      </c>
    </row>
    <row r="228" spans="13:25" x14ac:dyDescent="0.35">
      <c r="M228" s="6" t="s">
        <v>440</v>
      </c>
      <c r="N228" s="12"/>
      <c r="O228" s="12">
        <v>0</v>
      </c>
      <c r="P228" s="12">
        <v>0</v>
      </c>
      <c r="Q228" s="12"/>
      <c r="R228" s="12">
        <v>0</v>
      </c>
      <c r="S228" s="12">
        <v>0</v>
      </c>
      <c r="T228" s="12">
        <v>0</v>
      </c>
      <c r="U228" s="12"/>
      <c r="V228" s="12">
        <v>0</v>
      </c>
      <c r="W228" s="12">
        <v>0</v>
      </c>
      <c r="X228" s="12"/>
      <c r="Y228" s="12">
        <v>0</v>
      </c>
    </row>
    <row r="229" spans="13:25" x14ac:dyDescent="0.35">
      <c r="M229" s="6" t="s">
        <v>425</v>
      </c>
      <c r="N229" s="12"/>
      <c r="O229" s="12">
        <v>0</v>
      </c>
      <c r="P229" s="12">
        <v>0</v>
      </c>
      <c r="Q229" s="12"/>
      <c r="R229" s="12">
        <v>0</v>
      </c>
      <c r="S229" s="12">
        <v>0</v>
      </c>
      <c r="T229" s="12">
        <v>0</v>
      </c>
      <c r="U229" s="12"/>
      <c r="V229" s="12">
        <v>0</v>
      </c>
      <c r="W229" s="12">
        <v>0</v>
      </c>
      <c r="X229" s="12"/>
      <c r="Y229" s="12">
        <v>0</v>
      </c>
    </row>
    <row r="230" spans="13:25" x14ac:dyDescent="0.35">
      <c r="M230" s="6" t="s">
        <v>436</v>
      </c>
      <c r="N230" s="12"/>
      <c r="O230" s="12">
        <v>0</v>
      </c>
      <c r="P230" s="12">
        <v>0</v>
      </c>
      <c r="Q230" s="12"/>
      <c r="R230" s="12">
        <v>0</v>
      </c>
      <c r="S230" s="12">
        <v>0</v>
      </c>
      <c r="T230" s="12">
        <v>0</v>
      </c>
      <c r="U230" s="12"/>
      <c r="V230" s="12">
        <v>0</v>
      </c>
      <c r="W230" s="12">
        <v>0</v>
      </c>
      <c r="X230" s="12"/>
      <c r="Y230" s="12">
        <v>0</v>
      </c>
    </row>
    <row r="231" spans="13:25" x14ac:dyDescent="0.35">
      <c r="M231" s="6" t="s">
        <v>429</v>
      </c>
      <c r="N231" s="12"/>
      <c r="O231" s="12">
        <v>0</v>
      </c>
      <c r="P231" s="12">
        <v>0</v>
      </c>
      <c r="Q231" s="12"/>
      <c r="R231" s="12">
        <v>0</v>
      </c>
      <c r="S231" s="12">
        <v>0</v>
      </c>
      <c r="T231" s="12">
        <v>0</v>
      </c>
      <c r="U231" s="12"/>
      <c r="V231" s="12">
        <v>0</v>
      </c>
      <c r="W231" s="12">
        <v>0</v>
      </c>
      <c r="X231" s="12"/>
      <c r="Y231" s="12">
        <v>0</v>
      </c>
    </row>
    <row r="232" spans="13:25" x14ac:dyDescent="0.35">
      <c r="M232" s="6" t="s">
        <v>432</v>
      </c>
      <c r="N232" s="12"/>
      <c r="O232" s="12">
        <v>0</v>
      </c>
      <c r="P232" s="12">
        <v>0</v>
      </c>
      <c r="Q232" s="12"/>
      <c r="R232" s="12">
        <v>0</v>
      </c>
      <c r="S232" s="12">
        <v>0</v>
      </c>
      <c r="T232" s="12">
        <v>0</v>
      </c>
      <c r="U232" s="12"/>
      <c r="V232" s="12">
        <v>0</v>
      </c>
      <c r="W232" s="12">
        <v>0</v>
      </c>
      <c r="X232" s="12"/>
      <c r="Y232" s="12">
        <v>0</v>
      </c>
    </row>
    <row r="233" spans="13:25" x14ac:dyDescent="0.35">
      <c r="M233" s="6" t="s">
        <v>434</v>
      </c>
      <c r="N233" s="12"/>
      <c r="O233" s="12">
        <v>0</v>
      </c>
      <c r="P233" s="12">
        <v>0</v>
      </c>
      <c r="Q233" s="12"/>
      <c r="R233" s="12">
        <v>0</v>
      </c>
      <c r="S233" s="12">
        <v>0</v>
      </c>
      <c r="T233" s="12">
        <v>0</v>
      </c>
      <c r="U233" s="12"/>
      <c r="V233" s="12">
        <v>0</v>
      </c>
      <c r="W233" s="12">
        <v>0</v>
      </c>
      <c r="X233" s="12"/>
      <c r="Y233" s="12">
        <v>0</v>
      </c>
    </row>
    <row r="234" spans="13:25" x14ac:dyDescent="0.35">
      <c r="M234" s="6" t="s">
        <v>424</v>
      </c>
      <c r="N234" s="12"/>
      <c r="O234" s="12">
        <v>0</v>
      </c>
      <c r="P234" s="12">
        <v>0</v>
      </c>
      <c r="Q234" s="12"/>
      <c r="R234" s="12">
        <v>0</v>
      </c>
      <c r="S234" s="12">
        <v>0</v>
      </c>
      <c r="T234" s="12">
        <v>0</v>
      </c>
      <c r="U234" s="12"/>
      <c r="V234" s="12">
        <v>0</v>
      </c>
      <c r="W234" s="12">
        <v>0</v>
      </c>
      <c r="X234" s="12"/>
      <c r="Y234" s="12">
        <v>0</v>
      </c>
    </row>
    <row r="235" spans="13:25" x14ac:dyDescent="0.35">
      <c r="M235" s="6" t="s">
        <v>426</v>
      </c>
      <c r="N235" s="12"/>
      <c r="O235" s="12">
        <v>0</v>
      </c>
      <c r="P235" s="12">
        <v>0</v>
      </c>
      <c r="Q235" s="12"/>
      <c r="R235" s="12">
        <v>0</v>
      </c>
      <c r="S235" s="12">
        <v>0</v>
      </c>
      <c r="T235" s="12">
        <v>0</v>
      </c>
      <c r="U235" s="12"/>
      <c r="V235" s="12">
        <v>0</v>
      </c>
      <c r="W235" s="12">
        <v>0</v>
      </c>
      <c r="X235" s="12"/>
      <c r="Y235" s="12">
        <v>0</v>
      </c>
    </row>
    <row r="236" spans="13:25" x14ac:dyDescent="0.35">
      <c r="M236" s="6" t="s">
        <v>431</v>
      </c>
      <c r="N236" s="12"/>
      <c r="O236" s="12">
        <v>0</v>
      </c>
      <c r="P236" s="12">
        <v>0</v>
      </c>
      <c r="Q236" s="12"/>
      <c r="R236" s="12">
        <v>0</v>
      </c>
      <c r="S236" s="12">
        <v>0</v>
      </c>
      <c r="T236" s="12">
        <v>0</v>
      </c>
      <c r="U236" s="12"/>
      <c r="V236" s="12">
        <v>0</v>
      </c>
      <c r="W236" s="12">
        <v>0</v>
      </c>
      <c r="X236" s="12"/>
      <c r="Y236" s="12">
        <v>0</v>
      </c>
    </row>
    <row r="237" spans="13:25" x14ac:dyDescent="0.35">
      <c r="M237" s="6" t="s">
        <v>430</v>
      </c>
      <c r="N237" s="12"/>
      <c r="O237" s="12">
        <v>0</v>
      </c>
      <c r="P237" s="12">
        <v>0</v>
      </c>
      <c r="Q237" s="12"/>
      <c r="R237" s="12">
        <v>0</v>
      </c>
      <c r="S237" s="12">
        <v>0</v>
      </c>
      <c r="T237" s="12">
        <v>0</v>
      </c>
      <c r="U237" s="12"/>
      <c r="V237" s="12">
        <v>0</v>
      </c>
      <c r="W237" s="12">
        <v>0</v>
      </c>
      <c r="X237" s="12"/>
      <c r="Y237" s="12">
        <v>0</v>
      </c>
    </row>
    <row r="238" spans="13:25" x14ac:dyDescent="0.35">
      <c r="M238" s="6" t="s">
        <v>437</v>
      </c>
      <c r="N238" s="12"/>
      <c r="O238" s="12">
        <v>0</v>
      </c>
      <c r="P238" s="12">
        <v>0</v>
      </c>
      <c r="Q238" s="12"/>
      <c r="R238" s="12">
        <v>0</v>
      </c>
      <c r="S238" s="12">
        <v>0</v>
      </c>
      <c r="T238" s="12">
        <v>0</v>
      </c>
      <c r="U238" s="12"/>
      <c r="V238" s="12">
        <v>0</v>
      </c>
      <c r="W238" s="12">
        <v>0</v>
      </c>
      <c r="X238" s="12"/>
      <c r="Y238" s="12">
        <v>0</v>
      </c>
    </row>
    <row r="239" spans="13:25" x14ac:dyDescent="0.35">
      <c r="M239" s="6" t="s">
        <v>442</v>
      </c>
      <c r="N239" s="12"/>
      <c r="O239" s="12">
        <v>0</v>
      </c>
      <c r="P239" s="12">
        <v>0</v>
      </c>
      <c r="Q239" s="12"/>
      <c r="R239" s="12">
        <v>0</v>
      </c>
      <c r="S239" s="12">
        <v>0</v>
      </c>
      <c r="T239" s="12">
        <v>0</v>
      </c>
      <c r="U239" s="12"/>
      <c r="V239" s="12">
        <v>0</v>
      </c>
      <c r="W239" s="12">
        <v>0</v>
      </c>
      <c r="X239" s="12"/>
      <c r="Y239" s="12">
        <v>0</v>
      </c>
    </row>
    <row r="240" spans="13:25" x14ac:dyDescent="0.35">
      <c r="M240" s="6" t="s">
        <v>443</v>
      </c>
      <c r="N240" s="12"/>
      <c r="O240" s="12">
        <v>0</v>
      </c>
      <c r="P240" s="12">
        <v>0</v>
      </c>
      <c r="Q240" s="12"/>
      <c r="R240" s="12">
        <v>0</v>
      </c>
      <c r="S240" s="12">
        <v>0</v>
      </c>
      <c r="T240" s="12">
        <v>0</v>
      </c>
      <c r="U240" s="12"/>
      <c r="V240" s="12">
        <v>0</v>
      </c>
      <c r="W240" s="12">
        <v>0</v>
      </c>
      <c r="X240" s="12"/>
      <c r="Y240" s="12">
        <v>0</v>
      </c>
    </row>
    <row r="241" spans="13:25" x14ac:dyDescent="0.35">
      <c r="M241" s="6" t="s">
        <v>441</v>
      </c>
      <c r="N241" s="12"/>
      <c r="O241" s="12">
        <v>0</v>
      </c>
      <c r="P241" s="12">
        <v>0</v>
      </c>
      <c r="Q241" s="12"/>
      <c r="R241" s="12">
        <v>0</v>
      </c>
      <c r="S241" s="12">
        <v>0</v>
      </c>
      <c r="T241" s="12">
        <v>0</v>
      </c>
      <c r="U241" s="12"/>
      <c r="V241" s="12">
        <v>0</v>
      </c>
      <c r="W241" s="12">
        <v>0</v>
      </c>
      <c r="X241" s="12"/>
      <c r="Y241" s="12">
        <v>0</v>
      </c>
    </row>
    <row r="242" spans="13:25" x14ac:dyDescent="0.35">
      <c r="M242" s="6" t="s">
        <v>439</v>
      </c>
      <c r="N242" s="12"/>
      <c r="O242" s="12">
        <v>0</v>
      </c>
      <c r="P242" s="12">
        <v>0</v>
      </c>
      <c r="Q242" s="12"/>
      <c r="R242" s="12">
        <v>0</v>
      </c>
      <c r="S242" s="12">
        <v>0</v>
      </c>
      <c r="T242" s="12">
        <v>0</v>
      </c>
      <c r="U242" s="12"/>
      <c r="V242" s="12">
        <v>0</v>
      </c>
      <c r="W242" s="12">
        <v>0</v>
      </c>
      <c r="X242" s="12"/>
      <c r="Y242" s="12">
        <v>0</v>
      </c>
    </row>
    <row r="243" spans="13:25" x14ac:dyDescent="0.35">
      <c r="M243" s="6" t="s">
        <v>433</v>
      </c>
      <c r="N243" s="12"/>
      <c r="O243" s="12">
        <v>0</v>
      </c>
      <c r="P243" s="12">
        <v>0</v>
      </c>
      <c r="Q243" s="12"/>
      <c r="R243" s="12">
        <v>0</v>
      </c>
      <c r="S243" s="12">
        <v>0</v>
      </c>
      <c r="T243" s="12">
        <v>0</v>
      </c>
      <c r="U243" s="12"/>
      <c r="V243" s="12">
        <v>0</v>
      </c>
      <c r="W243" s="12">
        <v>0</v>
      </c>
      <c r="X243" s="12"/>
      <c r="Y243" s="12">
        <v>0</v>
      </c>
    </row>
    <row r="244" spans="13:25" x14ac:dyDescent="0.35">
      <c r="M244" s="6" t="s">
        <v>435</v>
      </c>
      <c r="N244" s="12"/>
      <c r="O244" s="12">
        <v>0</v>
      </c>
      <c r="P244" s="12">
        <v>0</v>
      </c>
      <c r="Q244" s="12"/>
      <c r="R244" s="12">
        <v>0</v>
      </c>
      <c r="S244" s="12">
        <v>0</v>
      </c>
      <c r="T244" s="12">
        <v>0</v>
      </c>
      <c r="U244" s="12"/>
      <c r="V244" s="12">
        <v>0</v>
      </c>
      <c r="W244" s="12">
        <v>0</v>
      </c>
      <c r="X244" s="12"/>
      <c r="Y244" s="12">
        <v>0</v>
      </c>
    </row>
    <row r="245" spans="13:25" x14ac:dyDescent="0.35">
      <c r="M245" s="6" t="s">
        <v>438</v>
      </c>
      <c r="N245" s="12"/>
      <c r="O245" s="12">
        <v>0</v>
      </c>
      <c r="P245" s="12">
        <v>0</v>
      </c>
      <c r="Q245" s="12"/>
      <c r="R245" s="12">
        <v>0</v>
      </c>
      <c r="S245" s="12">
        <v>0</v>
      </c>
      <c r="T245" s="12">
        <v>0</v>
      </c>
      <c r="U245" s="12"/>
      <c r="V245" s="12">
        <v>0</v>
      </c>
      <c r="W245" s="12">
        <v>0</v>
      </c>
      <c r="X245" s="12"/>
      <c r="Y245" s="12">
        <v>0</v>
      </c>
    </row>
    <row r="246" spans="13:25" x14ac:dyDescent="0.35">
      <c r="M246" s="6" t="s">
        <v>156</v>
      </c>
      <c r="N246" s="12"/>
      <c r="O246" s="12">
        <v>0</v>
      </c>
      <c r="P246" s="12">
        <v>0</v>
      </c>
      <c r="Q246" s="12"/>
      <c r="R246" s="12">
        <v>0</v>
      </c>
      <c r="S246" s="12">
        <v>0</v>
      </c>
      <c r="T246" s="12">
        <v>0</v>
      </c>
      <c r="U246" s="12"/>
      <c r="V246" s="12">
        <v>0</v>
      </c>
      <c r="W246" s="12">
        <v>0</v>
      </c>
      <c r="X246" s="12"/>
      <c r="Y246" s="12">
        <v>0</v>
      </c>
    </row>
    <row r="247" spans="13:25" x14ac:dyDescent="0.35">
      <c r="M247" s="6" t="s">
        <v>175</v>
      </c>
      <c r="N247" s="12"/>
      <c r="O247" s="12">
        <v>0</v>
      </c>
      <c r="P247" s="12">
        <v>0</v>
      </c>
      <c r="Q247" s="12"/>
      <c r="R247" s="12">
        <v>0</v>
      </c>
      <c r="S247" s="12">
        <v>0</v>
      </c>
      <c r="T247" s="12">
        <v>0</v>
      </c>
      <c r="U247" s="12"/>
      <c r="V247" s="12">
        <v>0</v>
      </c>
      <c r="W247" s="12">
        <v>0</v>
      </c>
      <c r="X247" s="12"/>
      <c r="Y247" s="12">
        <v>0</v>
      </c>
    </row>
    <row r="248" spans="13:25" x14ac:dyDescent="0.35">
      <c r="M248" s="6" t="s">
        <v>155</v>
      </c>
      <c r="N248" s="12"/>
      <c r="O248" s="12">
        <v>0</v>
      </c>
      <c r="P248" s="12">
        <v>0</v>
      </c>
      <c r="Q248" s="12"/>
      <c r="R248" s="12">
        <v>0</v>
      </c>
      <c r="S248" s="12">
        <v>0</v>
      </c>
      <c r="T248" s="12">
        <v>0</v>
      </c>
      <c r="U248" s="12"/>
      <c r="V248" s="12">
        <v>0</v>
      </c>
      <c r="W248" s="12">
        <v>0</v>
      </c>
      <c r="X248" s="12"/>
      <c r="Y248" s="12">
        <v>0</v>
      </c>
    </row>
    <row r="249" spans="13:25" x14ac:dyDescent="0.35">
      <c r="M249" s="6" t="s">
        <v>142</v>
      </c>
      <c r="N249" s="12"/>
      <c r="O249" s="12">
        <v>0</v>
      </c>
      <c r="P249" s="12">
        <v>0</v>
      </c>
      <c r="Q249" s="12"/>
      <c r="R249" s="12">
        <v>0</v>
      </c>
      <c r="S249" s="12">
        <v>0</v>
      </c>
      <c r="T249" s="12">
        <v>0</v>
      </c>
      <c r="U249" s="12"/>
      <c r="V249" s="12">
        <v>0</v>
      </c>
      <c r="W249" s="12">
        <v>0</v>
      </c>
      <c r="X249" s="12"/>
      <c r="Y249" s="12">
        <v>0</v>
      </c>
    </row>
    <row r="250" spans="13:25" x14ac:dyDescent="0.35">
      <c r="M250" s="6" t="s">
        <v>414</v>
      </c>
      <c r="N250" s="12"/>
      <c r="O250" s="12" t="e">
        <v>#VALUE!</v>
      </c>
      <c r="P250" s="12" t="e">
        <v>#VALUE!</v>
      </c>
      <c r="Q250" s="12"/>
      <c r="R250" s="12">
        <v>0</v>
      </c>
      <c r="S250" s="12" t="e">
        <v>#VALUE!</v>
      </c>
      <c r="T250" s="12" t="e">
        <v>#VALUE!</v>
      </c>
      <c r="U250" s="12"/>
      <c r="V250" s="12">
        <v>0</v>
      </c>
      <c r="W250" s="12">
        <v>0</v>
      </c>
      <c r="X250" s="12"/>
      <c r="Y250" s="12">
        <v>0</v>
      </c>
    </row>
    <row r="251" spans="13:25" x14ac:dyDescent="0.35">
      <c r="M251" s="6" t="s">
        <v>254</v>
      </c>
      <c r="N251" s="12"/>
      <c r="O251" s="12">
        <v>0</v>
      </c>
      <c r="P251" s="12">
        <v>0</v>
      </c>
      <c r="Q251" s="12"/>
      <c r="R251" s="12">
        <v>0</v>
      </c>
      <c r="S251" s="12">
        <v>0</v>
      </c>
      <c r="T251" s="12">
        <v>0</v>
      </c>
      <c r="U251" s="12"/>
      <c r="V251" s="12">
        <v>0</v>
      </c>
      <c r="W251" s="12">
        <v>0</v>
      </c>
      <c r="X251" s="12"/>
      <c r="Y251" s="12">
        <v>0</v>
      </c>
    </row>
    <row r="252" spans="13:25" x14ac:dyDescent="0.35">
      <c r="M252" s="6" t="s">
        <v>217</v>
      </c>
      <c r="N252" s="12"/>
      <c r="O252" s="12">
        <v>0</v>
      </c>
      <c r="P252" s="12">
        <v>0</v>
      </c>
      <c r="Q252" s="12"/>
      <c r="R252" s="12">
        <v>0</v>
      </c>
      <c r="S252" s="12">
        <v>0</v>
      </c>
      <c r="T252" s="12">
        <v>0</v>
      </c>
      <c r="U252" s="12"/>
      <c r="V252" s="12">
        <v>0</v>
      </c>
      <c r="W252" s="12">
        <v>0</v>
      </c>
      <c r="X252" s="12"/>
      <c r="Y252" s="12">
        <v>0</v>
      </c>
    </row>
    <row r="253" spans="13:25" x14ac:dyDescent="0.35">
      <c r="M253" s="6" t="s">
        <v>125</v>
      </c>
      <c r="N253" s="12"/>
      <c r="O253" s="12">
        <v>0</v>
      </c>
      <c r="P253" s="12">
        <v>0</v>
      </c>
      <c r="Q253" s="12"/>
      <c r="R253" s="12">
        <v>0</v>
      </c>
      <c r="S253" s="12">
        <v>0</v>
      </c>
      <c r="T253" s="12">
        <v>0</v>
      </c>
      <c r="U253" s="12"/>
      <c r="V253" s="12">
        <v>0</v>
      </c>
      <c r="W253" s="12">
        <v>0</v>
      </c>
      <c r="X253" s="12"/>
      <c r="Y253" s="12">
        <v>0</v>
      </c>
    </row>
    <row r="254" spans="13:25" x14ac:dyDescent="0.35">
      <c r="M254" s="6" t="s">
        <v>103</v>
      </c>
      <c r="N254" s="12"/>
      <c r="O254" s="12">
        <v>0</v>
      </c>
      <c r="P254" s="12">
        <v>0</v>
      </c>
      <c r="Q254" s="12"/>
      <c r="R254" s="12">
        <v>0</v>
      </c>
      <c r="S254" s="12">
        <v>0</v>
      </c>
      <c r="T254" s="12">
        <v>0</v>
      </c>
      <c r="U254" s="12"/>
      <c r="V254" s="12">
        <v>0</v>
      </c>
      <c r="W254" s="12">
        <v>0</v>
      </c>
      <c r="X254" s="12"/>
      <c r="Y254" s="12">
        <v>0</v>
      </c>
    </row>
    <row r="255" spans="13:25" x14ac:dyDescent="0.35">
      <c r="M255" s="6" t="s">
        <v>86</v>
      </c>
      <c r="N255" s="12"/>
      <c r="O255" s="12">
        <v>0</v>
      </c>
      <c r="P255" s="12">
        <v>0</v>
      </c>
      <c r="Q255" s="12"/>
      <c r="R255" s="12">
        <v>0</v>
      </c>
      <c r="S255" s="12">
        <v>0</v>
      </c>
      <c r="T255" s="12">
        <v>0</v>
      </c>
      <c r="U255" s="12"/>
      <c r="V255" s="12">
        <v>0</v>
      </c>
      <c r="W255" s="12">
        <v>0</v>
      </c>
      <c r="X255" s="12"/>
      <c r="Y255" s="12">
        <v>0</v>
      </c>
    </row>
    <row r="256" spans="13:25" x14ac:dyDescent="0.35">
      <c r="M256" s="6" t="s">
        <v>545</v>
      </c>
      <c r="N256" s="12"/>
      <c r="O256" s="12">
        <v>0</v>
      </c>
      <c r="P256" s="12">
        <v>0</v>
      </c>
      <c r="Q256" s="12"/>
      <c r="R256" s="12">
        <v>0</v>
      </c>
      <c r="S256" s="12">
        <v>0</v>
      </c>
      <c r="T256" s="12">
        <v>0</v>
      </c>
      <c r="U256" s="12"/>
      <c r="V256" s="12">
        <v>0</v>
      </c>
      <c r="W256" s="12">
        <v>0</v>
      </c>
      <c r="X256" s="12"/>
      <c r="Y256" s="12">
        <v>0</v>
      </c>
    </row>
    <row r="257" spans="13:25" x14ac:dyDescent="0.35">
      <c r="M257" s="6" t="s">
        <v>84</v>
      </c>
      <c r="N257" s="12"/>
      <c r="O257" s="12">
        <v>0</v>
      </c>
      <c r="P257" s="12">
        <v>0</v>
      </c>
      <c r="Q257" s="12"/>
      <c r="R257" s="12">
        <v>0</v>
      </c>
      <c r="S257" s="12">
        <v>0</v>
      </c>
      <c r="T257" s="12">
        <v>0</v>
      </c>
      <c r="U257" s="12"/>
      <c r="V257" s="12">
        <v>0</v>
      </c>
      <c r="W257" s="12">
        <v>0</v>
      </c>
      <c r="X257" s="12"/>
      <c r="Y257" s="12">
        <v>0</v>
      </c>
    </row>
    <row r="258" spans="13:25" x14ac:dyDescent="0.35">
      <c r="M258" s="6" t="s">
        <v>552</v>
      </c>
      <c r="N258" s="12"/>
      <c r="O258" s="12" t="e">
        <v>#VALUE!</v>
      </c>
      <c r="P258" s="12" t="e">
        <v>#VALUE!</v>
      </c>
      <c r="Q258" s="12"/>
      <c r="R258" s="12">
        <v>0</v>
      </c>
      <c r="S258" s="12" t="e">
        <v>#VALUE!</v>
      </c>
      <c r="T258" s="12" t="e">
        <v>#VALUE!</v>
      </c>
      <c r="U258" s="12"/>
      <c r="V258" s="12" t="e">
        <v>#VALUE!</v>
      </c>
      <c r="W258" s="12" t="e">
        <v>#VALUE!</v>
      </c>
      <c r="X258" s="12"/>
      <c r="Y258" s="12">
        <v>0</v>
      </c>
    </row>
    <row r="259" spans="13:25" x14ac:dyDescent="0.35">
      <c r="M259" s="6" t="s">
        <v>413</v>
      </c>
      <c r="N259" s="12"/>
      <c r="O259" s="12" t="e">
        <v>#VALUE!</v>
      </c>
      <c r="P259" s="12" t="e">
        <v>#VALUE!</v>
      </c>
      <c r="Q259" s="12"/>
      <c r="R259" s="12">
        <v>0</v>
      </c>
      <c r="S259" s="12" t="e">
        <v>#VALUE!</v>
      </c>
      <c r="T259" s="12" t="e">
        <v>#VALUE!</v>
      </c>
      <c r="U259" s="12"/>
      <c r="V259" s="12">
        <v>0</v>
      </c>
      <c r="W259" s="12">
        <v>0</v>
      </c>
      <c r="X259" s="12"/>
      <c r="Y259" s="12">
        <v>0</v>
      </c>
    </row>
    <row r="260" spans="13:25" x14ac:dyDescent="0.35">
      <c r="M260" s="6" t="s">
        <v>79</v>
      </c>
      <c r="N260" s="12"/>
      <c r="O260" s="12">
        <v>0</v>
      </c>
      <c r="P260" s="12">
        <v>0</v>
      </c>
      <c r="Q260" s="12"/>
      <c r="R260" s="12">
        <v>0</v>
      </c>
      <c r="S260" s="12">
        <v>0</v>
      </c>
      <c r="T260" s="12">
        <v>0</v>
      </c>
      <c r="U260" s="12"/>
      <c r="V260" s="12">
        <v>0</v>
      </c>
      <c r="W260" s="12">
        <v>0</v>
      </c>
      <c r="X260" s="12"/>
      <c r="Y260" s="12">
        <v>0</v>
      </c>
    </row>
    <row r="261" spans="13:25" x14ac:dyDescent="0.35">
      <c r="M261" s="6" t="s">
        <v>88</v>
      </c>
      <c r="N261" s="12"/>
      <c r="O261" s="12">
        <v>0</v>
      </c>
      <c r="P261" s="12">
        <v>0</v>
      </c>
      <c r="Q261" s="12"/>
      <c r="R261" s="12">
        <v>0</v>
      </c>
      <c r="S261" s="12">
        <v>0</v>
      </c>
      <c r="T261" s="12">
        <v>0</v>
      </c>
      <c r="U261" s="12"/>
      <c r="V261" s="12">
        <v>0</v>
      </c>
      <c r="W261" s="12">
        <v>0</v>
      </c>
      <c r="X261" s="12"/>
      <c r="Y261" s="12">
        <v>0</v>
      </c>
    </row>
    <row r="262" spans="13:25" x14ac:dyDescent="0.35">
      <c r="M262" s="6" t="s">
        <v>83</v>
      </c>
      <c r="N262" s="12"/>
      <c r="O262" s="12">
        <v>0</v>
      </c>
      <c r="P262" s="12">
        <v>0</v>
      </c>
      <c r="Q262" s="12"/>
      <c r="R262" s="12">
        <v>0</v>
      </c>
      <c r="S262" s="12">
        <v>0</v>
      </c>
      <c r="T262" s="12">
        <v>0</v>
      </c>
      <c r="U262" s="12"/>
      <c r="V262" s="12">
        <v>0</v>
      </c>
      <c r="W262" s="12">
        <v>0</v>
      </c>
      <c r="X262" s="12"/>
      <c r="Y262" s="12">
        <v>0</v>
      </c>
    </row>
    <row r="263" spans="13:25" x14ac:dyDescent="0.35">
      <c r="M263" s="6" t="s">
        <v>131</v>
      </c>
      <c r="N263" s="12"/>
      <c r="O263" s="12">
        <v>0</v>
      </c>
      <c r="P263" s="12">
        <v>0</v>
      </c>
      <c r="Q263" s="12"/>
      <c r="R263" s="12">
        <v>0</v>
      </c>
      <c r="S263" s="12">
        <v>0</v>
      </c>
      <c r="T263" s="12">
        <v>0</v>
      </c>
      <c r="U263" s="12"/>
      <c r="V263" s="12">
        <v>0</v>
      </c>
      <c r="W263" s="12">
        <v>0</v>
      </c>
      <c r="X263" s="12"/>
      <c r="Y263" s="12">
        <v>0</v>
      </c>
    </row>
    <row r="264" spans="13:25" x14ac:dyDescent="0.35">
      <c r="M264" s="6" t="s">
        <v>82</v>
      </c>
      <c r="N264" s="12"/>
      <c r="O264" s="12">
        <v>0</v>
      </c>
      <c r="P264" s="12">
        <v>0</v>
      </c>
      <c r="Q264" s="12"/>
      <c r="R264" s="12">
        <v>0</v>
      </c>
      <c r="S264" s="12">
        <v>0</v>
      </c>
      <c r="T264" s="12">
        <v>0</v>
      </c>
      <c r="U264" s="12"/>
      <c r="V264" s="12">
        <v>0</v>
      </c>
      <c r="W264" s="12">
        <v>0</v>
      </c>
      <c r="X264" s="12"/>
      <c r="Y264" s="12">
        <v>0</v>
      </c>
    </row>
    <row r="265" spans="13:25" x14ac:dyDescent="0.35">
      <c r="M265" s="6" t="s">
        <v>62</v>
      </c>
      <c r="N265" s="12"/>
      <c r="O265" s="12">
        <v>0</v>
      </c>
      <c r="P265" s="12">
        <v>0</v>
      </c>
      <c r="Q265" s="12"/>
      <c r="R265" s="12">
        <v>0</v>
      </c>
      <c r="S265" s="12">
        <v>0</v>
      </c>
      <c r="T265" s="12">
        <v>0</v>
      </c>
      <c r="U265" s="12"/>
      <c r="V265" s="12">
        <v>0</v>
      </c>
      <c r="W265" s="12">
        <v>0</v>
      </c>
      <c r="X265" s="12"/>
      <c r="Y265" s="12">
        <v>0</v>
      </c>
    </row>
    <row r="266" spans="13:25" x14ac:dyDescent="0.35">
      <c r="M266" s="6" t="s">
        <v>167</v>
      </c>
      <c r="N266" s="12"/>
      <c r="O266" s="12">
        <v>0</v>
      </c>
      <c r="P266" s="12">
        <v>0</v>
      </c>
      <c r="Q266" s="12"/>
      <c r="R266" s="12">
        <v>0</v>
      </c>
      <c r="S266" s="12">
        <v>0</v>
      </c>
      <c r="T266" s="12">
        <v>0</v>
      </c>
      <c r="U266" s="12"/>
      <c r="V266" s="12">
        <v>0</v>
      </c>
      <c r="W266" s="12">
        <v>0</v>
      </c>
      <c r="X266" s="12"/>
      <c r="Y266" s="12">
        <v>0</v>
      </c>
    </row>
    <row r="267" spans="13:25" x14ac:dyDescent="0.35">
      <c r="M267" s="6" t="s">
        <v>113</v>
      </c>
      <c r="N267" s="12"/>
      <c r="O267" s="12">
        <v>0</v>
      </c>
      <c r="P267" s="12">
        <v>0</v>
      </c>
      <c r="Q267" s="12"/>
      <c r="R267" s="12">
        <v>0</v>
      </c>
      <c r="S267" s="12">
        <v>0</v>
      </c>
      <c r="T267" s="12">
        <v>0</v>
      </c>
      <c r="U267" s="12"/>
      <c r="V267" s="12">
        <v>0</v>
      </c>
      <c r="W267" s="12">
        <v>0</v>
      </c>
      <c r="X267" s="12"/>
      <c r="Y267" s="12">
        <v>0</v>
      </c>
    </row>
    <row r="268" spans="13:25" x14ac:dyDescent="0.35">
      <c r="M268" s="6" t="s">
        <v>102</v>
      </c>
      <c r="N268" s="12"/>
      <c r="O268" s="12">
        <v>0</v>
      </c>
      <c r="P268" s="12">
        <v>0</v>
      </c>
      <c r="Q268" s="12"/>
      <c r="R268" s="12">
        <v>0</v>
      </c>
      <c r="S268" s="12">
        <v>0</v>
      </c>
      <c r="T268" s="12">
        <v>0</v>
      </c>
      <c r="U268" s="12"/>
      <c r="V268" s="12">
        <v>0</v>
      </c>
      <c r="W268" s="12">
        <v>0</v>
      </c>
      <c r="X268" s="12"/>
      <c r="Y268" s="12">
        <v>0</v>
      </c>
    </row>
    <row r="269" spans="13:25" x14ac:dyDescent="0.35">
      <c r="M269" s="6" t="s">
        <v>42</v>
      </c>
      <c r="N269" s="12"/>
      <c r="O269" s="12">
        <v>0</v>
      </c>
      <c r="P269" s="12">
        <v>0</v>
      </c>
      <c r="Q269" s="12"/>
      <c r="R269" s="12">
        <v>0</v>
      </c>
      <c r="S269" s="12">
        <v>0</v>
      </c>
      <c r="T269" s="12">
        <v>0</v>
      </c>
      <c r="U269" s="12"/>
      <c r="V269" s="12">
        <v>0</v>
      </c>
      <c r="W269" s="12">
        <v>0</v>
      </c>
      <c r="X269" s="12"/>
      <c r="Y269" s="12">
        <v>0</v>
      </c>
    </row>
    <row r="270" spans="13:25" x14ac:dyDescent="0.35">
      <c r="M270" s="6" t="s">
        <v>44</v>
      </c>
      <c r="N270" s="12"/>
      <c r="O270" s="12">
        <v>0</v>
      </c>
      <c r="P270" s="12">
        <v>0</v>
      </c>
      <c r="Q270" s="12"/>
      <c r="R270" s="12">
        <v>0</v>
      </c>
      <c r="S270" s="12" t="e">
        <v>#VALUE!</v>
      </c>
      <c r="T270" s="12" t="e">
        <v>#VALUE!</v>
      </c>
      <c r="U270" s="12"/>
      <c r="V270" s="12" t="e">
        <v>#VALUE!</v>
      </c>
      <c r="W270" s="12" t="e">
        <v>#VALUE!</v>
      </c>
      <c r="X270" s="12"/>
      <c r="Y270" s="12">
        <v>0</v>
      </c>
    </row>
    <row r="271" spans="13:25" x14ac:dyDescent="0.35">
      <c r="M271" s="6" t="s">
        <v>544</v>
      </c>
      <c r="N271" s="12"/>
      <c r="O271" s="12">
        <v>0</v>
      </c>
      <c r="P271" s="12">
        <v>0</v>
      </c>
      <c r="Q271" s="12"/>
      <c r="R271" s="12">
        <v>0</v>
      </c>
      <c r="S271" s="12">
        <v>0</v>
      </c>
      <c r="T271" s="12">
        <v>0</v>
      </c>
      <c r="U271" s="12"/>
      <c r="V271" s="12">
        <v>0</v>
      </c>
      <c r="W271" s="12">
        <v>0</v>
      </c>
      <c r="X271" s="12"/>
      <c r="Y271" s="12">
        <v>0</v>
      </c>
    </row>
    <row r="272" spans="13:25" x14ac:dyDescent="0.35">
      <c r="M272" s="6" t="s">
        <v>457</v>
      </c>
      <c r="N272" s="12"/>
      <c r="O272" s="12" t="e">
        <v>#VALUE!</v>
      </c>
      <c r="P272" s="12" t="e">
        <v>#VALUE!</v>
      </c>
      <c r="Q272" s="12"/>
      <c r="R272" s="12" t="e">
        <v>#VALUE!</v>
      </c>
      <c r="S272" s="12">
        <v>0</v>
      </c>
      <c r="T272" s="12">
        <v>0</v>
      </c>
      <c r="U272" s="12"/>
      <c r="V272" s="12">
        <v>0</v>
      </c>
      <c r="W272" s="12">
        <v>0</v>
      </c>
      <c r="X272" s="12"/>
      <c r="Y272" s="12">
        <v>0</v>
      </c>
    </row>
    <row r="273" spans="13:25" x14ac:dyDescent="0.35">
      <c r="M273" s="6" t="s">
        <v>389</v>
      </c>
      <c r="N273" s="12"/>
      <c r="O273" s="12">
        <v>0</v>
      </c>
      <c r="P273" s="12">
        <v>0</v>
      </c>
      <c r="Q273" s="12"/>
      <c r="R273" s="12">
        <v>0</v>
      </c>
      <c r="S273" s="12">
        <v>0</v>
      </c>
      <c r="T273" s="12">
        <v>0</v>
      </c>
      <c r="U273" s="12"/>
      <c r="V273" s="12">
        <v>0</v>
      </c>
      <c r="W273" s="12">
        <v>0</v>
      </c>
      <c r="X273" s="12"/>
      <c r="Y273" s="12">
        <v>0</v>
      </c>
    </row>
    <row r="274" spans="13:25" x14ac:dyDescent="0.35">
      <c r="M274" s="6" t="s">
        <v>388</v>
      </c>
      <c r="N274" s="12"/>
      <c r="O274" s="12">
        <v>0</v>
      </c>
      <c r="P274" s="12">
        <v>0</v>
      </c>
      <c r="Q274" s="12"/>
      <c r="R274" s="12">
        <v>0</v>
      </c>
      <c r="S274" s="12">
        <v>0</v>
      </c>
      <c r="T274" s="12">
        <v>0</v>
      </c>
      <c r="U274" s="12"/>
      <c r="V274" s="12">
        <v>0</v>
      </c>
      <c r="W274" s="12">
        <v>0</v>
      </c>
      <c r="X274" s="12"/>
      <c r="Y274" s="12">
        <v>0</v>
      </c>
    </row>
    <row r="275" spans="13:25" x14ac:dyDescent="0.35">
      <c r="M275" s="6" t="s">
        <v>207</v>
      </c>
      <c r="N275" s="12"/>
      <c r="O275" s="12">
        <v>0</v>
      </c>
      <c r="P275" s="12">
        <v>0</v>
      </c>
      <c r="Q275" s="12"/>
      <c r="R275" s="12">
        <v>0</v>
      </c>
      <c r="S275" s="12">
        <v>0</v>
      </c>
      <c r="T275" s="12">
        <v>0</v>
      </c>
      <c r="U275" s="12"/>
      <c r="V275" s="12">
        <v>0</v>
      </c>
      <c r="W275" s="12">
        <v>0</v>
      </c>
      <c r="X275" s="12"/>
      <c r="Y275" s="12">
        <v>0</v>
      </c>
    </row>
    <row r="276" spans="13:25" x14ac:dyDescent="0.35">
      <c r="M276" s="6" t="s">
        <v>59</v>
      </c>
      <c r="N276" s="12"/>
      <c r="O276" s="12">
        <v>0</v>
      </c>
      <c r="P276" s="12">
        <v>0</v>
      </c>
      <c r="Q276" s="12"/>
      <c r="R276" s="12">
        <v>0</v>
      </c>
      <c r="S276" s="12">
        <v>0</v>
      </c>
      <c r="T276" s="12">
        <v>0</v>
      </c>
      <c r="U276" s="12"/>
      <c r="V276" s="12">
        <v>0</v>
      </c>
      <c r="W276" s="12">
        <v>0</v>
      </c>
      <c r="X276" s="12"/>
      <c r="Y276" s="12">
        <v>0</v>
      </c>
    </row>
    <row r="277" spans="13:25" x14ac:dyDescent="0.35">
      <c r="M277" s="6" t="s">
        <v>141</v>
      </c>
      <c r="N277" s="12"/>
      <c r="O277" s="12">
        <v>0</v>
      </c>
      <c r="P277" s="12">
        <v>0</v>
      </c>
      <c r="Q277" s="12"/>
      <c r="R277" s="12">
        <v>0</v>
      </c>
      <c r="S277" s="12">
        <v>0</v>
      </c>
      <c r="T277" s="12">
        <v>0</v>
      </c>
      <c r="U277" s="12"/>
      <c r="V277" s="12">
        <v>0</v>
      </c>
      <c r="W277" s="12">
        <v>0</v>
      </c>
      <c r="X277" s="12"/>
      <c r="Y277" s="12">
        <v>0</v>
      </c>
    </row>
    <row r="278" spans="13:25" x14ac:dyDescent="0.35">
      <c r="M278" s="6" t="s">
        <v>453</v>
      </c>
      <c r="N278" s="12"/>
      <c r="O278" s="12">
        <v>0</v>
      </c>
      <c r="P278" s="12">
        <v>0</v>
      </c>
      <c r="Q278" s="12"/>
      <c r="R278" s="12">
        <v>0</v>
      </c>
      <c r="S278" s="12">
        <v>0</v>
      </c>
      <c r="T278" s="12">
        <v>0</v>
      </c>
      <c r="U278" s="12"/>
      <c r="V278" s="12">
        <v>0</v>
      </c>
      <c r="W278" s="12">
        <v>0</v>
      </c>
      <c r="X278" s="12"/>
      <c r="Y278" s="12">
        <v>0</v>
      </c>
    </row>
    <row r="279" spans="13:25" x14ac:dyDescent="0.35">
      <c r="M279" s="6" t="s">
        <v>111</v>
      </c>
      <c r="N279" s="12"/>
      <c r="O279" s="12">
        <v>0</v>
      </c>
      <c r="P279" s="12">
        <v>0</v>
      </c>
      <c r="Q279" s="12"/>
      <c r="R279" s="12">
        <v>0</v>
      </c>
      <c r="S279" s="12">
        <v>0</v>
      </c>
      <c r="T279" s="12">
        <v>0</v>
      </c>
      <c r="U279" s="12"/>
      <c r="V279" s="12">
        <v>0</v>
      </c>
      <c r="W279" s="12">
        <v>0</v>
      </c>
      <c r="X279" s="12"/>
      <c r="Y279" s="12">
        <v>0</v>
      </c>
    </row>
    <row r="280" spans="13:25" x14ac:dyDescent="0.35">
      <c r="M280" s="6" t="s">
        <v>60</v>
      </c>
      <c r="N280" s="12"/>
      <c r="O280" s="12">
        <v>0</v>
      </c>
      <c r="P280" s="12">
        <v>0</v>
      </c>
      <c r="Q280" s="12"/>
      <c r="R280" s="12">
        <v>0</v>
      </c>
      <c r="S280" s="12">
        <v>0</v>
      </c>
      <c r="T280" s="12">
        <v>0</v>
      </c>
      <c r="U280" s="12"/>
      <c r="V280" s="12">
        <v>0</v>
      </c>
      <c r="W280" s="12">
        <v>0</v>
      </c>
      <c r="X280" s="12"/>
      <c r="Y280" s="12">
        <v>0</v>
      </c>
    </row>
    <row r="281" spans="13:25" x14ac:dyDescent="0.35">
      <c r="M281" s="6" t="s">
        <v>39</v>
      </c>
      <c r="N281" s="12"/>
      <c r="O281" s="12">
        <v>0</v>
      </c>
      <c r="P281" s="12">
        <v>0</v>
      </c>
      <c r="Q281" s="12"/>
      <c r="R281" s="12">
        <v>0</v>
      </c>
      <c r="S281" s="12">
        <v>0</v>
      </c>
      <c r="T281" s="12">
        <v>0</v>
      </c>
      <c r="U281" s="12"/>
      <c r="V281" s="12">
        <v>0</v>
      </c>
      <c r="W281" s="12">
        <v>0</v>
      </c>
      <c r="X281" s="12"/>
      <c r="Y281" s="12">
        <v>0</v>
      </c>
    </row>
    <row r="282" spans="13:25" x14ac:dyDescent="0.35">
      <c r="M282" s="6" t="s">
        <v>449</v>
      </c>
      <c r="N282" s="12"/>
      <c r="O282" s="12" t="e">
        <v>#VALUE!</v>
      </c>
      <c r="P282" s="12" t="e">
        <v>#VALUE!</v>
      </c>
      <c r="Q282" s="12"/>
      <c r="R282" s="12">
        <v>0</v>
      </c>
      <c r="S282" s="12" t="e">
        <v>#VALUE!</v>
      </c>
      <c r="T282" s="12">
        <v>0</v>
      </c>
      <c r="U282" s="12"/>
      <c r="V282" s="12" t="e">
        <v>#VALUE!</v>
      </c>
      <c r="W282" s="12" t="e">
        <v>#VALUE!</v>
      </c>
      <c r="X282" s="12"/>
      <c r="Y282" s="12">
        <v>0</v>
      </c>
    </row>
    <row r="283" spans="13:25" x14ac:dyDescent="0.35">
      <c r="M283" s="6" t="s">
        <v>531</v>
      </c>
      <c r="N283" s="12"/>
      <c r="O283" s="12">
        <v>0</v>
      </c>
      <c r="P283" s="12">
        <v>0</v>
      </c>
      <c r="Q283" s="12"/>
      <c r="R283" s="12">
        <v>0</v>
      </c>
      <c r="S283" s="12">
        <v>0</v>
      </c>
      <c r="T283" s="12">
        <v>0</v>
      </c>
      <c r="U283" s="12"/>
      <c r="V283" s="12">
        <v>0</v>
      </c>
      <c r="W283" s="12">
        <v>0</v>
      </c>
      <c r="X283" s="12"/>
      <c r="Y283" s="12">
        <v>0</v>
      </c>
    </row>
    <row r="284" spans="13:25" x14ac:dyDescent="0.35">
      <c r="M284" s="6" t="s">
        <v>543</v>
      </c>
      <c r="N284" s="12"/>
      <c r="O284" s="12">
        <v>0</v>
      </c>
      <c r="P284" s="12">
        <v>0</v>
      </c>
      <c r="Q284" s="12"/>
      <c r="R284" s="12">
        <v>0</v>
      </c>
      <c r="S284" s="12">
        <v>0</v>
      </c>
      <c r="T284" s="12">
        <v>0</v>
      </c>
      <c r="U284" s="12"/>
      <c r="V284" s="12">
        <v>0</v>
      </c>
      <c r="W284" s="12">
        <v>0</v>
      </c>
      <c r="X284" s="12"/>
      <c r="Y284" s="12">
        <v>0</v>
      </c>
    </row>
    <row r="285" spans="13:25" x14ac:dyDescent="0.35">
      <c r="M285" s="6" t="s">
        <v>542</v>
      </c>
      <c r="N285" s="12"/>
      <c r="O285" s="12">
        <v>0</v>
      </c>
      <c r="P285" s="12">
        <v>0</v>
      </c>
      <c r="Q285" s="12"/>
      <c r="R285" s="12">
        <v>0</v>
      </c>
      <c r="S285" s="12">
        <v>0</v>
      </c>
      <c r="T285" s="12">
        <v>0</v>
      </c>
      <c r="U285" s="12"/>
      <c r="V285" s="12">
        <v>0</v>
      </c>
      <c r="W285" s="12">
        <v>0</v>
      </c>
      <c r="X285" s="12"/>
      <c r="Y285" s="12">
        <v>0</v>
      </c>
    </row>
    <row r="286" spans="13:25" x14ac:dyDescent="0.35">
      <c r="M286" s="6" t="s">
        <v>421</v>
      </c>
      <c r="N286" s="12"/>
      <c r="O286" s="12">
        <v>0</v>
      </c>
      <c r="P286" s="12">
        <v>0</v>
      </c>
      <c r="Q286" s="12"/>
      <c r="R286" s="12">
        <v>0</v>
      </c>
      <c r="S286" s="12">
        <v>0</v>
      </c>
      <c r="T286" s="12" t="e">
        <v>#VALUE!</v>
      </c>
      <c r="U286" s="12"/>
      <c r="V286" s="12">
        <v>0</v>
      </c>
      <c r="W286" s="12">
        <v>0</v>
      </c>
      <c r="X286" s="12"/>
      <c r="Y286" s="12">
        <v>0</v>
      </c>
    </row>
    <row r="287" spans="13:25" x14ac:dyDescent="0.35">
      <c r="M287" s="6" t="s">
        <v>130</v>
      </c>
      <c r="N287" s="12"/>
      <c r="O287" s="12">
        <v>0</v>
      </c>
      <c r="P287" s="12">
        <v>0</v>
      </c>
      <c r="Q287" s="12"/>
      <c r="R287" s="12">
        <v>0</v>
      </c>
      <c r="S287" s="12">
        <v>0</v>
      </c>
      <c r="T287" s="12">
        <v>0</v>
      </c>
      <c r="U287" s="12"/>
      <c r="V287" s="12">
        <v>0</v>
      </c>
      <c r="W287" s="12">
        <v>0</v>
      </c>
      <c r="X287" s="12"/>
      <c r="Y287" s="12">
        <v>0</v>
      </c>
    </row>
    <row r="288" spans="13:25" x14ac:dyDescent="0.35">
      <c r="M288" s="6" t="s">
        <v>129</v>
      </c>
      <c r="N288" s="12"/>
      <c r="O288" s="12">
        <v>0</v>
      </c>
      <c r="P288" s="12">
        <v>0</v>
      </c>
      <c r="Q288" s="12"/>
      <c r="R288" s="12">
        <v>0</v>
      </c>
      <c r="S288" s="12">
        <v>0</v>
      </c>
      <c r="T288" s="12">
        <v>0</v>
      </c>
      <c r="U288" s="12"/>
      <c r="V288" s="12">
        <v>0</v>
      </c>
      <c r="W288" s="12">
        <v>0</v>
      </c>
      <c r="X288" s="12"/>
      <c r="Y288" s="12">
        <v>0</v>
      </c>
    </row>
    <row r="289" spans="13:25" x14ac:dyDescent="0.35">
      <c r="M289" s="6" t="s">
        <v>558</v>
      </c>
      <c r="N289" s="12"/>
      <c r="O289" s="12" t="e">
        <v>#VALUE!</v>
      </c>
      <c r="P289" s="12" t="e">
        <v>#VALUE!</v>
      </c>
      <c r="Q289" s="12"/>
      <c r="R289" s="12">
        <v>0</v>
      </c>
      <c r="S289" s="12" t="e">
        <v>#VALUE!</v>
      </c>
      <c r="T289" s="12" t="e">
        <v>#VALUE!</v>
      </c>
      <c r="U289" s="12"/>
      <c r="V289" s="12" t="e">
        <v>#VALUE!</v>
      </c>
      <c r="W289" s="12" t="e">
        <v>#VALUE!</v>
      </c>
      <c r="X289" s="12"/>
      <c r="Y289" s="12">
        <v>0</v>
      </c>
    </row>
    <row r="290" spans="13:25" x14ac:dyDescent="0.35">
      <c r="M290" s="6" t="s">
        <v>559</v>
      </c>
      <c r="N290" s="12"/>
      <c r="O290" s="12" t="e">
        <v>#VALUE!</v>
      </c>
      <c r="P290" s="12" t="e">
        <v>#VALUE!</v>
      </c>
      <c r="Q290" s="12"/>
      <c r="R290" s="12">
        <v>0</v>
      </c>
      <c r="S290" s="12" t="e">
        <v>#VALUE!</v>
      </c>
      <c r="T290" s="12">
        <v>0</v>
      </c>
      <c r="U290" s="12"/>
      <c r="V290" s="12">
        <v>0</v>
      </c>
      <c r="W290" s="12">
        <v>0</v>
      </c>
      <c r="X290" s="12"/>
      <c r="Y290" s="12">
        <v>0</v>
      </c>
    </row>
    <row r="291" spans="13:25" x14ac:dyDescent="0.35">
      <c r="M291" s="6" t="s">
        <v>556</v>
      </c>
      <c r="N291" s="12"/>
      <c r="O291" s="12" t="e">
        <v>#VALUE!</v>
      </c>
      <c r="P291" s="12" t="e">
        <v>#VALUE!</v>
      </c>
      <c r="Q291" s="12"/>
      <c r="R291" s="12">
        <v>0</v>
      </c>
      <c r="S291" s="12" t="e">
        <v>#VALUE!</v>
      </c>
      <c r="T291" s="12" t="e">
        <v>#VALUE!</v>
      </c>
      <c r="U291" s="12"/>
      <c r="V291" s="12" t="e">
        <v>#VALUE!</v>
      </c>
      <c r="W291" s="12" t="e">
        <v>#VALUE!</v>
      </c>
      <c r="X291" s="12"/>
      <c r="Y291" s="12">
        <v>0</v>
      </c>
    </row>
    <row r="292" spans="13:25" x14ac:dyDescent="0.35">
      <c r="M292" s="6" t="s">
        <v>517</v>
      </c>
      <c r="N292" s="12"/>
      <c r="O292" s="12" t="e">
        <v>#VALUE!</v>
      </c>
      <c r="P292" s="12" t="e">
        <v>#VALUE!</v>
      </c>
      <c r="Q292" s="12"/>
      <c r="R292" s="12">
        <v>0</v>
      </c>
      <c r="S292" s="12" t="e">
        <v>#VALUE!</v>
      </c>
      <c r="T292" s="12" t="e">
        <v>#VALUE!</v>
      </c>
      <c r="U292" s="12"/>
      <c r="V292" s="12" t="e">
        <v>#VALUE!</v>
      </c>
      <c r="W292" s="12" t="e">
        <v>#VALUE!</v>
      </c>
      <c r="X292" s="12"/>
      <c r="Y292" s="12">
        <v>0</v>
      </c>
    </row>
    <row r="293" spans="13:25" x14ac:dyDescent="0.35">
      <c r="M293" s="6" t="s">
        <v>516</v>
      </c>
      <c r="N293" s="12"/>
      <c r="O293" s="12" t="e">
        <v>#VALUE!</v>
      </c>
      <c r="P293" s="12" t="e">
        <v>#VALUE!</v>
      </c>
      <c r="Q293" s="12"/>
      <c r="R293" s="12">
        <v>0</v>
      </c>
      <c r="S293" s="12" t="e">
        <v>#VALUE!</v>
      </c>
      <c r="T293" s="12" t="e">
        <v>#VALUE!</v>
      </c>
      <c r="U293" s="12"/>
      <c r="V293" s="12" t="e">
        <v>#VALUE!</v>
      </c>
      <c r="W293" s="12" t="e">
        <v>#VALUE!</v>
      </c>
      <c r="X293" s="12"/>
      <c r="Y293" s="12">
        <v>0</v>
      </c>
    </row>
    <row r="294" spans="13:25" x14ac:dyDescent="0.35">
      <c r="M294" s="6" t="s">
        <v>518</v>
      </c>
      <c r="N294" s="12"/>
      <c r="O294" s="12" t="e">
        <v>#VALUE!</v>
      </c>
      <c r="P294" s="12" t="e">
        <v>#VALUE!</v>
      </c>
      <c r="Q294" s="12"/>
      <c r="R294" s="12">
        <v>0</v>
      </c>
      <c r="S294" s="12" t="e">
        <v>#VALUE!</v>
      </c>
      <c r="T294" s="12" t="e">
        <v>#VALUE!</v>
      </c>
      <c r="U294" s="12"/>
      <c r="V294" s="12" t="e">
        <v>#VALUE!</v>
      </c>
      <c r="W294" s="12" t="e">
        <v>#VALUE!</v>
      </c>
      <c r="X294" s="12"/>
      <c r="Y294" s="12">
        <v>0</v>
      </c>
    </row>
    <row r="295" spans="13:25" x14ac:dyDescent="0.35">
      <c r="M295" s="6" t="s">
        <v>515</v>
      </c>
      <c r="N295" s="12"/>
      <c r="O295" s="12" t="e">
        <v>#VALUE!</v>
      </c>
      <c r="P295" s="12" t="e">
        <v>#VALUE!</v>
      </c>
      <c r="Q295" s="12"/>
      <c r="R295" s="12">
        <v>0</v>
      </c>
      <c r="S295" s="12" t="e">
        <v>#VALUE!</v>
      </c>
      <c r="T295" s="12" t="e">
        <v>#VALUE!</v>
      </c>
      <c r="U295" s="12"/>
      <c r="V295" s="12" t="e">
        <v>#VALUE!</v>
      </c>
      <c r="W295" s="12" t="e">
        <v>#VALUE!</v>
      </c>
      <c r="X295" s="12"/>
      <c r="Y295" s="12">
        <v>0</v>
      </c>
    </row>
    <row r="296" spans="13:25" x14ac:dyDescent="0.35">
      <c r="M296" s="6" t="s">
        <v>521</v>
      </c>
      <c r="N296" s="12"/>
      <c r="O296" s="12" t="e">
        <v>#VALUE!</v>
      </c>
      <c r="P296" s="12" t="e">
        <v>#VALUE!</v>
      </c>
      <c r="Q296" s="12"/>
      <c r="R296" s="12">
        <v>0</v>
      </c>
      <c r="S296" s="12" t="e">
        <v>#VALUE!</v>
      </c>
      <c r="T296" s="12" t="e">
        <v>#VALUE!</v>
      </c>
      <c r="U296" s="12"/>
      <c r="V296" s="12" t="e">
        <v>#VALUE!</v>
      </c>
      <c r="W296" s="12" t="e">
        <v>#VALUE!</v>
      </c>
      <c r="X296" s="12"/>
      <c r="Y296" s="12">
        <v>0</v>
      </c>
    </row>
    <row r="297" spans="13:25" x14ac:dyDescent="0.35">
      <c r="M297" s="6" t="s">
        <v>522</v>
      </c>
      <c r="N297" s="12"/>
      <c r="O297" s="12" t="e">
        <v>#VALUE!</v>
      </c>
      <c r="P297" s="12" t="e">
        <v>#VALUE!</v>
      </c>
      <c r="Q297" s="12"/>
      <c r="R297" s="12">
        <v>0</v>
      </c>
      <c r="S297" s="12" t="e">
        <v>#VALUE!</v>
      </c>
      <c r="T297" s="12" t="e">
        <v>#VALUE!</v>
      </c>
      <c r="U297" s="12"/>
      <c r="V297" s="12" t="e">
        <v>#VALUE!</v>
      </c>
      <c r="W297" s="12" t="e">
        <v>#VALUE!</v>
      </c>
      <c r="X297" s="12"/>
      <c r="Y297" s="12">
        <v>0</v>
      </c>
    </row>
    <row r="298" spans="13:25" x14ac:dyDescent="0.35">
      <c r="M298" s="6" t="s">
        <v>470</v>
      </c>
      <c r="N298" s="12"/>
      <c r="O298" s="12" t="e">
        <v>#VALUE!</v>
      </c>
      <c r="P298" s="12" t="e">
        <v>#VALUE!</v>
      </c>
      <c r="Q298" s="12"/>
      <c r="R298" s="12">
        <v>0</v>
      </c>
      <c r="S298" s="12" t="e">
        <v>#VALUE!</v>
      </c>
      <c r="T298" s="12" t="e">
        <v>#VALUE!</v>
      </c>
      <c r="U298" s="12"/>
      <c r="V298" s="12" t="e">
        <v>#VALUE!</v>
      </c>
      <c r="W298" s="12" t="e">
        <v>#VALUE!</v>
      </c>
      <c r="X298" s="12"/>
      <c r="Y298" s="12">
        <v>0</v>
      </c>
    </row>
    <row r="299" spans="13:25" x14ac:dyDescent="0.35">
      <c r="M299" s="6" t="s">
        <v>469</v>
      </c>
      <c r="N299" s="12"/>
      <c r="O299" s="12" t="e">
        <v>#VALUE!</v>
      </c>
      <c r="P299" s="12" t="e">
        <v>#VALUE!</v>
      </c>
      <c r="Q299" s="12"/>
      <c r="R299" s="12">
        <v>0</v>
      </c>
      <c r="S299" s="12" t="e">
        <v>#VALUE!</v>
      </c>
      <c r="T299" s="12" t="e">
        <v>#VALUE!</v>
      </c>
      <c r="U299" s="12"/>
      <c r="V299" s="12" t="e">
        <v>#VALUE!</v>
      </c>
      <c r="W299" s="12" t="e">
        <v>#VALUE!</v>
      </c>
      <c r="X299" s="12"/>
      <c r="Y299" s="12">
        <v>0</v>
      </c>
    </row>
    <row r="300" spans="13:25" x14ac:dyDescent="0.35">
      <c r="M300" s="6" t="s">
        <v>519</v>
      </c>
      <c r="N300" s="12"/>
      <c r="O300" s="12" t="e">
        <v>#VALUE!</v>
      </c>
      <c r="P300" s="12" t="e">
        <v>#VALUE!</v>
      </c>
      <c r="Q300" s="12"/>
      <c r="R300" s="12">
        <v>0</v>
      </c>
      <c r="S300" s="12" t="e">
        <v>#VALUE!</v>
      </c>
      <c r="T300" s="12" t="e">
        <v>#VALUE!</v>
      </c>
      <c r="U300" s="12"/>
      <c r="V300" s="12" t="e">
        <v>#VALUE!</v>
      </c>
      <c r="W300" s="12" t="e">
        <v>#VALUE!</v>
      </c>
      <c r="X300" s="12"/>
      <c r="Y300" s="12">
        <v>0</v>
      </c>
    </row>
    <row r="301" spans="13:25" x14ac:dyDescent="0.35">
      <c r="M301" s="6" t="s">
        <v>524</v>
      </c>
      <c r="N301" s="12"/>
      <c r="O301" s="12" t="e">
        <v>#VALUE!</v>
      </c>
      <c r="P301" s="12" t="e">
        <v>#VALUE!</v>
      </c>
      <c r="Q301" s="12"/>
      <c r="R301" s="12">
        <v>0</v>
      </c>
      <c r="S301" s="12" t="e">
        <v>#VALUE!</v>
      </c>
      <c r="T301" s="12" t="e">
        <v>#VALUE!</v>
      </c>
      <c r="U301" s="12"/>
      <c r="V301" s="12" t="e">
        <v>#VALUE!</v>
      </c>
      <c r="W301" s="12" t="e">
        <v>#VALUE!</v>
      </c>
      <c r="X301" s="12"/>
      <c r="Y301" s="12">
        <v>0</v>
      </c>
    </row>
    <row r="302" spans="13:25" x14ac:dyDescent="0.35">
      <c r="M302" s="6" t="s">
        <v>523</v>
      </c>
      <c r="N302" s="12"/>
      <c r="O302" s="12" t="e">
        <v>#VALUE!</v>
      </c>
      <c r="P302" s="12" t="e">
        <v>#VALUE!</v>
      </c>
      <c r="Q302" s="12"/>
      <c r="R302" s="12">
        <v>0</v>
      </c>
      <c r="S302" s="12" t="e">
        <v>#VALUE!</v>
      </c>
      <c r="T302" s="12" t="e">
        <v>#VALUE!</v>
      </c>
      <c r="U302" s="12"/>
      <c r="V302" s="12" t="e">
        <v>#VALUE!</v>
      </c>
      <c r="W302" s="12" t="e">
        <v>#VALUE!</v>
      </c>
      <c r="X302" s="12"/>
      <c r="Y302" s="12">
        <v>0</v>
      </c>
    </row>
    <row r="303" spans="13:25" x14ac:dyDescent="0.35">
      <c r="M303" s="6" t="s">
        <v>468</v>
      </c>
      <c r="N303" s="12"/>
      <c r="O303" s="12" t="e">
        <v>#VALUE!</v>
      </c>
      <c r="P303" s="12" t="e">
        <v>#VALUE!</v>
      </c>
      <c r="Q303" s="12"/>
      <c r="R303" s="12">
        <v>0</v>
      </c>
      <c r="S303" s="12" t="e">
        <v>#VALUE!</v>
      </c>
      <c r="T303" s="12" t="e">
        <v>#VALUE!</v>
      </c>
      <c r="U303" s="12"/>
      <c r="V303" s="12" t="e">
        <v>#VALUE!</v>
      </c>
      <c r="W303" s="12" t="e">
        <v>#VALUE!</v>
      </c>
      <c r="X303" s="12"/>
      <c r="Y303" s="12">
        <v>0</v>
      </c>
    </row>
    <row r="304" spans="13:25" x14ac:dyDescent="0.35">
      <c r="M304" s="6" t="s">
        <v>467</v>
      </c>
      <c r="N304" s="12"/>
      <c r="O304" s="12" t="e">
        <v>#VALUE!</v>
      </c>
      <c r="P304" s="12" t="e">
        <v>#VALUE!</v>
      </c>
      <c r="Q304" s="12"/>
      <c r="R304" s="12">
        <v>0</v>
      </c>
      <c r="S304" s="12" t="e">
        <v>#VALUE!</v>
      </c>
      <c r="T304" s="12" t="e">
        <v>#VALUE!</v>
      </c>
      <c r="U304" s="12"/>
      <c r="V304" s="12" t="e">
        <v>#VALUE!</v>
      </c>
      <c r="W304" s="12" t="e">
        <v>#VALUE!</v>
      </c>
      <c r="X304" s="12"/>
      <c r="Y304" s="12">
        <v>0</v>
      </c>
    </row>
    <row r="305" spans="13:25" x14ac:dyDescent="0.35">
      <c r="M305" s="6" t="s">
        <v>520</v>
      </c>
      <c r="N305" s="12"/>
      <c r="O305" s="12" t="e">
        <v>#VALUE!</v>
      </c>
      <c r="P305" s="12" t="e">
        <v>#VALUE!</v>
      </c>
      <c r="Q305" s="12"/>
      <c r="R305" s="12">
        <v>0</v>
      </c>
      <c r="S305" s="12" t="e">
        <v>#VALUE!</v>
      </c>
      <c r="T305" s="12" t="e">
        <v>#VALUE!</v>
      </c>
      <c r="U305" s="12"/>
      <c r="V305" s="12" t="e">
        <v>#VALUE!</v>
      </c>
      <c r="W305" s="12" t="e">
        <v>#VALUE!</v>
      </c>
      <c r="X305" s="12"/>
      <c r="Y305" s="12">
        <v>0</v>
      </c>
    </row>
    <row r="306" spans="13:25" x14ac:dyDescent="0.35">
      <c r="M306" s="6" t="s">
        <v>555</v>
      </c>
      <c r="N306" s="12"/>
      <c r="O306" s="12" t="e">
        <v>#VALUE!</v>
      </c>
      <c r="P306" s="12" t="e">
        <v>#VALUE!</v>
      </c>
      <c r="Q306" s="12"/>
      <c r="R306" s="12">
        <v>0</v>
      </c>
      <c r="S306" s="12" t="e">
        <v>#VALUE!</v>
      </c>
      <c r="T306" s="12" t="e">
        <v>#VALUE!</v>
      </c>
      <c r="U306" s="12"/>
      <c r="V306" s="12">
        <v>0</v>
      </c>
      <c r="W306" s="12">
        <v>0</v>
      </c>
      <c r="X306" s="12"/>
      <c r="Y306" s="12">
        <v>0</v>
      </c>
    </row>
    <row r="307" spans="13:25" x14ac:dyDescent="0.35">
      <c r="M307" s="6" t="s">
        <v>554</v>
      </c>
      <c r="N307" s="12"/>
      <c r="O307" s="12" t="e">
        <v>#VALUE!</v>
      </c>
      <c r="P307" s="12" t="e">
        <v>#VALUE!</v>
      </c>
      <c r="Q307" s="12"/>
      <c r="R307" s="12">
        <v>0</v>
      </c>
      <c r="S307" s="12" t="e">
        <v>#VALUE!</v>
      </c>
      <c r="T307" s="12" t="e">
        <v>#VALUE!</v>
      </c>
      <c r="U307" s="12"/>
      <c r="V307" s="12" t="e">
        <v>#VALUE!</v>
      </c>
      <c r="W307" s="12" t="e">
        <v>#VALUE!</v>
      </c>
      <c r="X307" s="12"/>
      <c r="Y307" s="12">
        <v>0</v>
      </c>
    </row>
    <row r="308" spans="13:25" x14ac:dyDescent="0.35">
      <c r="M308" s="6" t="s">
        <v>553</v>
      </c>
      <c r="N308" s="12"/>
      <c r="O308" s="12" t="e">
        <v>#VALUE!</v>
      </c>
      <c r="P308" s="12" t="e">
        <v>#VALUE!</v>
      </c>
      <c r="Q308" s="12"/>
      <c r="R308" s="12">
        <v>0</v>
      </c>
      <c r="S308" s="12" t="e">
        <v>#VALUE!</v>
      </c>
      <c r="T308" s="12" t="e">
        <v>#VALUE!</v>
      </c>
      <c r="U308" s="12"/>
      <c r="V308" s="12" t="e">
        <v>#VALUE!</v>
      </c>
      <c r="W308" s="12" t="e">
        <v>#VALUE!</v>
      </c>
      <c r="X308" s="12"/>
      <c r="Y308" s="12">
        <v>0</v>
      </c>
    </row>
    <row r="309" spans="13:25" x14ac:dyDescent="0.35">
      <c r="M309" s="6" t="s">
        <v>557</v>
      </c>
      <c r="N309" s="12"/>
      <c r="O309" s="12">
        <v>0</v>
      </c>
      <c r="P309" s="12">
        <v>0</v>
      </c>
      <c r="Q309" s="12"/>
      <c r="R309" s="12">
        <v>0</v>
      </c>
      <c r="S309" s="12" t="e">
        <v>#VALUE!</v>
      </c>
      <c r="T309" s="12">
        <v>0</v>
      </c>
      <c r="U309" s="12"/>
      <c r="V309" s="12">
        <v>0</v>
      </c>
      <c r="W309" s="12">
        <v>0</v>
      </c>
      <c r="X309" s="12"/>
      <c r="Y309" s="12">
        <v>0</v>
      </c>
    </row>
    <row r="310" spans="13:25" x14ac:dyDescent="0.35">
      <c r="M310" s="6" t="s">
        <v>541</v>
      </c>
      <c r="N310" s="12"/>
      <c r="O310" s="12">
        <v>0</v>
      </c>
      <c r="P310" s="12">
        <v>0</v>
      </c>
      <c r="Q310" s="12"/>
      <c r="R310" s="12">
        <v>0</v>
      </c>
      <c r="S310" s="12">
        <v>0</v>
      </c>
      <c r="T310" s="12">
        <v>0</v>
      </c>
      <c r="U310" s="12"/>
      <c r="V310" s="12" t="e">
        <v>#VALUE!</v>
      </c>
      <c r="W310" s="12" t="e">
        <v>#VALUE!</v>
      </c>
      <c r="X310" s="12"/>
      <c r="Y310" s="12">
        <v>0</v>
      </c>
    </row>
    <row r="311" spans="13:25" x14ac:dyDescent="0.35">
      <c r="M311" s="6" t="s">
        <v>412</v>
      </c>
      <c r="N311" s="12"/>
      <c r="O311" s="12" t="e">
        <v>#VALUE!</v>
      </c>
      <c r="P311" s="12" t="e">
        <v>#VALUE!</v>
      </c>
      <c r="Q311" s="12"/>
      <c r="R311" s="12">
        <v>0</v>
      </c>
      <c r="S311" s="12" t="e">
        <v>#VALUE!</v>
      </c>
      <c r="T311" s="12" t="e">
        <v>#VALUE!</v>
      </c>
      <c r="U311" s="12"/>
      <c r="V311" s="12">
        <v>0</v>
      </c>
      <c r="W311" s="12">
        <v>0</v>
      </c>
      <c r="X311" s="12"/>
      <c r="Y311" s="12">
        <v>0</v>
      </c>
    </row>
    <row r="312" spans="13:25" x14ac:dyDescent="0.35">
      <c r="M312" s="6" t="s">
        <v>165</v>
      </c>
      <c r="N312" s="12"/>
      <c r="O312" s="12">
        <v>0</v>
      </c>
      <c r="P312" s="12">
        <v>0</v>
      </c>
      <c r="Q312" s="12"/>
      <c r="R312" s="12">
        <v>0</v>
      </c>
      <c r="S312" s="12">
        <v>0</v>
      </c>
      <c r="T312" s="12">
        <v>0</v>
      </c>
      <c r="U312" s="12"/>
      <c r="V312" s="12">
        <v>0</v>
      </c>
      <c r="W312" s="12">
        <v>0</v>
      </c>
      <c r="X312" s="12"/>
      <c r="Y312" s="12">
        <v>0</v>
      </c>
    </row>
    <row r="313" spans="13:25" x14ac:dyDescent="0.35">
      <c r="M313" s="6" t="s">
        <v>411</v>
      </c>
      <c r="N313" s="12"/>
      <c r="O313" s="12" t="e">
        <v>#VALUE!</v>
      </c>
      <c r="P313" s="12" t="e">
        <v>#VALUE!</v>
      </c>
      <c r="Q313" s="12"/>
      <c r="R313" s="12">
        <v>0</v>
      </c>
      <c r="S313" s="12" t="e">
        <v>#VALUE!</v>
      </c>
      <c r="T313" s="12" t="e">
        <v>#VALUE!</v>
      </c>
      <c r="U313" s="12"/>
      <c r="V313" s="12">
        <v>0</v>
      </c>
      <c r="W313" s="12">
        <v>0</v>
      </c>
      <c r="X313" s="12"/>
      <c r="Y313" s="12">
        <v>0</v>
      </c>
    </row>
    <row r="314" spans="13:25" x14ac:dyDescent="0.35">
      <c r="M314" s="6" t="s">
        <v>525</v>
      </c>
      <c r="N314" s="12"/>
      <c r="O314" s="12" t="e">
        <v>#VALUE!</v>
      </c>
      <c r="P314" s="12" t="e">
        <v>#VALUE!</v>
      </c>
      <c r="Q314" s="12"/>
      <c r="R314" s="12">
        <v>0</v>
      </c>
      <c r="S314" s="12" t="e">
        <v>#VALUE!</v>
      </c>
      <c r="T314" s="12">
        <v>0</v>
      </c>
      <c r="U314" s="12"/>
      <c r="V314" s="12" t="e">
        <v>#VALUE!</v>
      </c>
      <c r="W314" s="12" t="e">
        <v>#VALUE!</v>
      </c>
      <c r="X314" s="12"/>
      <c r="Y314" s="12">
        <v>0</v>
      </c>
    </row>
    <row r="315" spans="13:25" x14ac:dyDescent="0.35">
      <c r="M315" s="6" t="s">
        <v>45</v>
      </c>
      <c r="N315" s="12"/>
      <c r="O315" s="12">
        <v>0</v>
      </c>
      <c r="P315" s="12">
        <v>0</v>
      </c>
      <c r="Q315" s="12"/>
      <c r="R315" s="12">
        <v>0</v>
      </c>
      <c r="S315" s="12" t="e">
        <v>#VALUE!</v>
      </c>
      <c r="T315" s="12">
        <v>0</v>
      </c>
      <c r="U315" s="12"/>
      <c r="V315" s="12">
        <v>0</v>
      </c>
      <c r="W315" s="12">
        <v>0</v>
      </c>
      <c r="X315" s="12"/>
      <c r="Y315" s="12">
        <v>0</v>
      </c>
    </row>
    <row r="316" spans="13:25" x14ac:dyDescent="0.35">
      <c r="M316" s="6" t="s">
        <v>58</v>
      </c>
      <c r="N316" s="12"/>
      <c r="O316" s="12">
        <v>0</v>
      </c>
      <c r="P316" s="12">
        <v>0</v>
      </c>
      <c r="Q316" s="12"/>
      <c r="R316" s="12">
        <v>0</v>
      </c>
      <c r="S316" s="12" t="e">
        <v>#VALUE!</v>
      </c>
      <c r="T316" s="12">
        <v>0</v>
      </c>
      <c r="U316" s="12"/>
      <c r="V316" s="12">
        <v>0</v>
      </c>
      <c r="W316" s="12">
        <v>0</v>
      </c>
      <c r="X316" s="12"/>
      <c r="Y316" s="12">
        <v>0</v>
      </c>
    </row>
    <row r="317" spans="13:25" x14ac:dyDescent="0.35">
      <c r="M317" s="6" t="s">
        <v>138</v>
      </c>
      <c r="N317" s="12"/>
      <c r="O317" s="12">
        <v>0</v>
      </c>
      <c r="P317" s="12">
        <v>0</v>
      </c>
      <c r="Q317" s="12"/>
      <c r="R317" s="12">
        <v>0</v>
      </c>
      <c r="S317" s="12">
        <v>0</v>
      </c>
      <c r="T317" s="12">
        <v>0</v>
      </c>
      <c r="U317" s="12"/>
      <c r="V317" s="12">
        <v>0</v>
      </c>
      <c r="W317" s="12">
        <v>0</v>
      </c>
      <c r="X317" s="12"/>
      <c r="Y317" s="12">
        <v>0</v>
      </c>
    </row>
    <row r="318" spans="13:25" x14ac:dyDescent="0.35">
      <c r="M318" s="6" t="s">
        <v>101</v>
      </c>
      <c r="N318" s="12"/>
      <c r="O318" s="12">
        <v>0</v>
      </c>
      <c r="P318" s="12">
        <v>0</v>
      </c>
      <c r="Q318" s="12"/>
      <c r="R318" s="12">
        <v>0</v>
      </c>
      <c r="S318" s="12">
        <v>0</v>
      </c>
      <c r="T318" s="12">
        <v>0</v>
      </c>
      <c r="U318" s="12"/>
      <c r="V318" s="12">
        <v>0</v>
      </c>
      <c r="W318" s="12">
        <v>0</v>
      </c>
      <c r="X318" s="12"/>
      <c r="Y318" s="12">
        <v>0</v>
      </c>
    </row>
    <row r="319" spans="13:25" x14ac:dyDescent="0.35">
      <c r="M319" s="6" t="s">
        <v>100</v>
      </c>
      <c r="N319" s="12"/>
      <c r="O319" s="12">
        <v>0</v>
      </c>
      <c r="P319" s="12">
        <v>0</v>
      </c>
      <c r="Q319" s="12"/>
      <c r="R319" s="12">
        <v>0</v>
      </c>
      <c r="S319" s="12">
        <v>0</v>
      </c>
      <c r="T319" s="12">
        <v>0</v>
      </c>
      <c r="U319" s="12"/>
      <c r="V319" s="12">
        <v>0</v>
      </c>
      <c r="W319" s="12">
        <v>0</v>
      </c>
      <c r="X319" s="12"/>
      <c r="Y319" s="12">
        <v>0</v>
      </c>
    </row>
    <row r="320" spans="13:25" x14ac:dyDescent="0.35">
      <c r="M320" s="6" t="s">
        <v>99</v>
      </c>
      <c r="N320" s="12"/>
      <c r="O320" s="12">
        <v>0</v>
      </c>
      <c r="P320" s="12">
        <v>0</v>
      </c>
      <c r="Q320" s="12"/>
      <c r="R320" s="12">
        <v>0</v>
      </c>
      <c r="S320" s="12">
        <v>0</v>
      </c>
      <c r="T320" s="12">
        <v>0</v>
      </c>
      <c r="U320" s="12"/>
      <c r="V320" s="12">
        <v>0</v>
      </c>
      <c r="W320" s="12">
        <v>0</v>
      </c>
      <c r="X320" s="12"/>
      <c r="Y320" s="12">
        <v>0</v>
      </c>
    </row>
    <row r="321" spans="13:25" x14ac:dyDescent="0.35">
      <c r="M321" s="6" t="s">
        <v>530</v>
      </c>
      <c r="N321" s="12"/>
      <c r="O321" s="12">
        <v>0</v>
      </c>
      <c r="P321" s="12">
        <v>0</v>
      </c>
      <c r="Q321" s="12"/>
      <c r="R321" s="12">
        <v>0</v>
      </c>
      <c r="S321" s="12">
        <v>0</v>
      </c>
      <c r="T321" s="12">
        <v>0</v>
      </c>
      <c r="U321" s="12"/>
      <c r="V321" s="12">
        <v>0</v>
      </c>
      <c r="W321" s="12">
        <v>0</v>
      </c>
      <c r="X321" s="12"/>
      <c r="Y321" s="12">
        <v>0</v>
      </c>
    </row>
    <row r="322" spans="13:25" x14ac:dyDescent="0.35">
      <c r="M322" s="6" t="s">
        <v>80</v>
      </c>
      <c r="N322" s="12"/>
      <c r="O322" s="12">
        <v>0</v>
      </c>
      <c r="P322" s="12">
        <v>0</v>
      </c>
      <c r="Q322" s="12"/>
      <c r="R322" s="12">
        <v>0</v>
      </c>
      <c r="S322" s="12">
        <v>0</v>
      </c>
      <c r="T322" s="12">
        <v>0</v>
      </c>
      <c r="U322" s="12"/>
      <c r="V322" s="12">
        <v>0</v>
      </c>
      <c r="W322" s="12">
        <v>0</v>
      </c>
      <c r="X322" s="12"/>
      <c r="Y322" s="12">
        <v>0</v>
      </c>
    </row>
    <row r="323" spans="13:25" x14ac:dyDescent="0.35">
      <c r="M323" s="6" t="s">
        <v>422</v>
      </c>
      <c r="N323" s="12"/>
      <c r="O323" s="12">
        <v>0</v>
      </c>
      <c r="P323" s="12">
        <v>0</v>
      </c>
      <c r="Q323" s="12"/>
      <c r="R323" s="12">
        <v>0</v>
      </c>
      <c r="S323" s="12" t="e">
        <v>#VALUE!</v>
      </c>
      <c r="T323" s="12">
        <v>0</v>
      </c>
      <c r="U323" s="12"/>
      <c r="V323" s="12">
        <v>0</v>
      </c>
      <c r="W323" s="12">
        <v>0</v>
      </c>
      <c r="X323" s="12"/>
      <c r="Y323" s="12">
        <v>0</v>
      </c>
    </row>
    <row r="324" spans="13:25" x14ac:dyDescent="0.35">
      <c r="M324" s="6" t="s">
        <v>78</v>
      </c>
      <c r="N324" s="12"/>
      <c r="O324" s="12">
        <v>0</v>
      </c>
      <c r="P324" s="12">
        <v>0</v>
      </c>
      <c r="Q324" s="12"/>
      <c r="R324" s="12">
        <v>0</v>
      </c>
      <c r="S324" s="12">
        <v>0</v>
      </c>
      <c r="T324" s="12">
        <v>0</v>
      </c>
      <c r="U324" s="12"/>
      <c r="V324" s="12">
        <v>0</v>
      </c>
      <c r="W324" s="12">
        <v>0</v>
      </c>
      <c r="X324" s="12"/>
      <c r="Y324" s="12">
        <v>0</v>
      </c>
    </row>
    <row r="325" spans="13:25" x14ac:dyDescent="0.35">
      <c r="M325" s="6" t="s">
        <v>128</v>
      </c>
      <c r="N325" s="12"/>
      <c r="O325" s="12">
        <v>0</v>
      </c>
      <c r="P325" s="12">
        <v>0</v>
      </c>
      <c r="Q325" s="12"/>
      <c r="R325" s="12">
        <v>0</v>
      </c>
      <c r="S325" s="12">
        <v>0</v>
      </c>
      <c r="T325" s="12">
        <v>0</v>
      </c>
      <c r="U325" s="12"/>
      <c r="V325" s="12">
        <v>0</v>
      </c>
      <c r="W325" s="12">
        <v>0</v>
      </c>
      <c r="X325" s="12"/>
      <c r="Y325" s="12">
        <v>0</v>
      </c>
    </row>
    <row r="326" spans="13:25" x14ac:dyDescent="0.35">
      <c r="M326" s="6" t="s">
        <v>546</v>
      </c>
      <c r="N326" s="12"/>
      <c r="O326" s="12">
        <v>0</v>
      </c>
      <c r="P326" s="12">
        <v>0</v>
      </c>
      <c r="Q326" s="12"/>
      <c r="R326" s="12">
        <v>0</v>
      </c>
      <c r="S326" s="12">
        <v>0</v>
      </c>
      <c r="T326" s="12">
        <v>0</v>
      </c>
      <c r="U326" s="12"/>
      <c r="V326" s="12">
        <v>0</v>
      </c>
      <c r="W326" s="12">
        <v>0</v>
      </c>
      <c r="X326" s="12"/>
      <c r="Y326" s="12">
        <v>0</v>
      </c>
    </row>
    <row r="327" spans="13:25" x14ac:dyDescent="0.35">
      <c r="M327" s="6" t="s">
        <v>514</v>
      </c>
      <c r="N327" s="12"/>
      <c r="O327" s="12" t="e">
        <v>#VALUE!</v>
      </c>
      <c r="P327" s="12" t="e">
        <v>#VALUE!</v>
      </c>
      <c r="Q327" s="12"/>
      <c r="R327" s="12">
        <v>0</v>
      </c>
      <c r="S327" s="12">
        <v>0</v>
      </c>
      <c r="T327" s="12" t="e">
        <v>#VALUE!</v>
      </c>
      <c r="U327" s="12"/>
      <c r="V327" s="12" t="e">
        <v>#VALUE!</v>
      </c>
      <c r="W327" s="12" t="e">
        <v>#VALUE!</v>
      </c>
      <c r="X327" s="12"/>
      <c r="Y327" s="12" t="e">
        <v>#VALUE!</v>
      </c>
    </row>
    <row r="328" spans="13:25" x14ac:dyDescent="0.35">
      <c r="M328" s="6" t="s">
        <v>107</v>
      </c>
      <c r="N328" s="12"/>
      <c r="O328" s="12">
        <v>0</v>
      </c>
      <c r="P328" s="12">
        <v>0</v>
      </c>
      <c r="Q328" s="12"/>
      <c r="R328" s="12">
        <v>0</v>
      </c>
      <c r="S328" s="12">
        <v>0</v>
      </c>
      <c r="T328" s="12">
        <v>0</v>
      </c>
      <c r="U328" s="12"/>
      <c r="V328" s="12">
        <v>0</v>
      </c>
      <c r="W328" s="12">
        <v>0</v>
      </c>
      <c r="X328" s="12"/>
      <c r="Y328" s="12">
        <v>0</v>
      </c>
    </row>
    <row r="329" spans="13:25" x14ac:dyDescent="0.35">
      <c r="M329" s="6" t="s">
        <v>106</v>
      </c>
      <c r="N329" s="12"/>
      <c r="O329" s="12">
        <v>0</v>
      </c>
      <c r="P329" s="12">
        <v>0</v>
      </c>
      <c r="Q329" s="12"/>
      <c r="R329" s="12">
        <v>0</v>
      </c>
      <c r="S329" s="12">
        <v>0</v>
      </c>
      <c r="T329" s="12">
        <v>0</v>
      </c>
      <c r="U329" s="12"/>
      <c r="V329" s="12">
        <v>0</v>
      </c>
      <c r="W329" s="12">
        <v>0</v>
      </c>
      <c r="X329" s="12"/>
      <c r="Y329" s="12">
        <v>0</v>
      </c>
    </row>
    <row r="330" spans="13:25" x14ac:dyDescent="0.35">
      <c r="M330" s="6" t="s">
        <v>152</v>
      </c>
      <c r="N330" s="12"/>
      <c r="O330" s="12">
        <v>0</v>
      </c>
      <c r="P330" s="12">
        <v>0</v>
      </c>
      <c r="Q330" s="12"/>
      <c r="R330" s="12">
        <v>0</v>
      </c>
      <c r="S330" s="12">
        <v>0</v>
      </c>
      <c r="T330" s="12">
        <v>0</v>
      </c>
      <c r="U330" s="12"/>
      <c r="V330" s="12">
        <v>0</v>
      </c>
      <c r="W330" s="12">
        <v>0</v>
      </c>
      <c r="X330" s="12"/>
      <c r="Y330" s="12">
        <v>0</v>
      </c>
    </row>
    <row r="331" spans="13:25" x14ac:dyDescent="0.35">
      <c r="M331" s="6" t="s">
        <v>117</v>
      </c>
      <c r="N331" s="12"/>
      <c r="O331" s="12">
        <v>0</v>
      </c>
      <c r="P331" s="12">
        <v>0</v>
      </c>
      <c r="Q331" s="12"/>
      <c r="R331" s="12">
        <v>0</v>
      </c>
      <c r="S331" s="12">
        <v>0</v>
      </c>
      <c r="T331" s="12">
        <v>0</v>
      </c>
      <c r="U331" s="12"/>
      <c r="V331" s="12">
        <v>0</v>
      </c>
      <c r="W331" s="12">
        <v>0</v>
      </c>
      <c r="X331" s="12"/>
      <c r="Y331" s="12">
        <v>0</v>
      </c>
    </row>
    <row r="332" spans="13:25" x14ac:dyDescent="0.35">
      <c r="M332" s="6" t="s">
        <v>76</v>
      </c>
      <c r="N332" s="12"/>
      <c r="O332" s="12">
        <v>0</v>
      </c>
      <c r="P332" s="12">
        <v>0</v>
      </c>
      <c r="Q332" s="12"/>
      <c r="R332" s="12">
        <v>0</v>
      </c>
      <c r="S332" s="12">
        <v>0</v>
      </c>
      <c r="T332" s="12">
        <v>0</v>
      </c>
      <c r="U332" s="12"/>
      <c r="V332" s="12">
        <v>0</v>
      </c>
      <c r="W332" s="12">
        <v>0</v>
      </c>
      <c r="X332" s="12"/>
      <c r="Y332" s="12">
        <v>0</v>
      </c>
    </row>
    <row r="333" spans="13:25" x14ac:dyDescent="0.35">
      <c r="M333" s="6" t="s">
        <v>89</v>
      </c>
      <c r="N333" s="12"/>
      <c r="O333" s="12">
        <v>0</v>
      </c>
      <c r="P333" s="12">
        <v>0</v>
      </c>
      <c r="Q333" s="12"/>
      <c r="R333" s="12">
        <v>0</v>
      </c>
      <c r="S333" s="12">
        <v>0</v>
      </c>
      <c r="T333" s="12">
        <v>0</v>
      </c>
      <c r="U333" s="12"/>
      <c r="V333" s="12">
        <v>0</v>
      </c>
      <c r="W333" s="12">
        <v>0</v>
      </c>
      <c r="X333" s="12"/>
      <c r="Y333" s="12">
        <v>0</v>
      </c>
    </row>
    <row r="334" spans="13:25" x14ac:dyDescent="0.35">
      <c r="M334" s="6" t="s">
        <v>87</v>
      </c>
      <c r="N334" s="12"/>
      <c r="O334" s="12">
        <v>0</v>
      </c>
      <c r="P334" s="12">
        <v>0</v>
      </c>
      <c r="Q334" s="12"/>
      <c r="R334" s="12">
        <v>0</v>
      </c>
      <c r="S334" s="12">
        <v>0</v>
      </c>
      <c r="T334" s="12">
        <v>0</v>
      </c>
      <c r="U334" s="12"/>
      <c r="V334" s="12">
        <v>0</v>
      </c>
      <c r="W334" s="12">
        <v>0</v>
      </c>
      <c r="X334" s="12"/>
      <c r="Y334" s="12">
        <v>0</v>
      </c>
    </row>
    <row r="335" spans="13:25" x14ac:dyDescent="0.35">
      <c r="M335" s="6" t="s">
        <v>77</v>
      </c>
      <c r="N335" s="12"/>
      <c r="O335" s="12">
        <v>0</v>
      </c>
      <c r="P335" s="12">
        <v>0</v>
      </c>
      <c r="Q335" s="12"/>
      <c r="R335" s="12">
        <v>0</v>
      </c>
      <c r="S335" s="12">
        <v>0</v>
      </c>
      <c r="T335" s="12">
        <v>0</v>
      </c>
      <c r="U335" s="12"/>
      <c r="V335" s="12">
        <v>0</v>
      </c>
      <c r="W335" s="12">
        <v>0</v>
      </c>
      <c r="X335" s="12"/>
      <c r="Y335" s="12">
        <v>0</v>
      </c>
    </row>
    <row r="336" spans="13:25" x14ac:dyDescent="0.35">
      <c r="M336" s="6" t="s">
        <v>181</v>
      </c>
      <c r="N336" s="12"/>
      <c r="O336" s="12">
        <v>0</v>
      </c>
      <c r="P336" s="12">
        <v>0</v>
      </c>
      <c r="Q336" s="12"/>
      <c r="R336" s="12">
        <v>0</v>
      </c>
      <c r="S336" s="12">
        <v>0</v>
      </c>
      <c r="T336" s="12">
        <v>0</v>
      </c>
      <c r="U336" s="12"/>
      <c r="V336" s="12">
        <v>0</v>
      </c>
      <c r="W336" s="12">
        <v>0</v>
      </c>
      <c r="X336" s="12"/>
      <c r="Y336" s="12">
        <v>0</v>
      </c>
    </row>
    <row r="337" spans="13:25" x14ac:dyDescent="0.35">
      <c r="M337" s="6" t="s">
        <v>540</v>
      </c>
      <c r="N337" s="12"/>
      <c r="O337" s="12">
        <v>0</v>
      </c>
      <c r="P337" s="12">
        <v>0</v>
      </c>
      <c r="Q337" s="12"/>
      <c r="R337" s="12">
        <v>0</v>
      </c>
      <c r="S337" s="12">
        <v>0</v>
      </c>
      <c r="T337" s="12">
        <v>0</v>
      </c>
      <c r="U337" s="12"/>
      <c r="V337" s="12">
        <v>0</v>
      </c>
      <c r="W337" s="12">
        <v>0</v>
      </c>
      <c r="X337" s="12"/>
      <c r="Y337" s="12">
        <v>0</v>
      </c>
    </row>
    <row r="338" spans="13:25" x14ac:dyDescent="0.35">
      <c r="M338" s="6" t="s">
        <v>91</v>
      </c>
      <c r="N338" s="12"/>
      <c r="O338" s="12">
        <v>0</v>
      </c>
      <c r="P338" s="12">
        <v>0</v>
      </c>
      <c r="Q338" s="12"/>
      <c r="R338" s="12">
        <v>0</v>
      </c>
      <c r="S338" s="12">
        <v>0</v>
      </c>
      <c r="T338" s="12">
        <v>0</v>
      </c>
      <c r="U338" s="12"/>
      <c r="V338" s="12">
        <v>0</v>
      </c>
      <c r="W338" s="12">
        <v>0</v>
      </c>
      <c r="X338" s="12"/>
      <c r="Y338" s="12">
        <v>0</v>
      </c>
    </row>
    <row r="339" spans="13:25" x14ac:dyDescent="0.35">
      <c r="M339" s="6" t="s">
        <v>231</v>
      </c>
      <c r="N339" s="12"/>
      <c r="O339" s="12">
        <v>0</v>
      </c>
      <c r="P339" s="12">
        <v>0</v>
      </c>
      <c r="Q339" s="12"/>
      <c r="R339" s="12">
        <v>0</v>
      </c>
      <c r="S339" s="12">
        <v>0</v>
      </c>
      <c r="T339" s="12">
        <v>0</v>
      </c>
      <c r="U339" s="12"/>
      <c r="V339" s="12">
        <v>0</v>
      </c>
      <c r="W339" s="12">
        <v>0</v>
      </c>
      <c r="X339" s="12"/>
      <c r="Y339" s="12">
        <v>0</v>
      </c>
    </row>
    <row r="340" spans="13:25" x14ac:dyDescent="0.35">
      <c r="M340" s="6" t="s">
        <v>242</v>
      </c>
      <c r="N340" s="12"/>
      <c r="O340" s="12">
        <v>0</v>
      </c>
      <c r="P340" s="12">
        <v>0</v>
      </c>
      <c r="Q340" s="12"/>
      <c r="R340" s="12">
        <v>0</v>
      </c>
      <c r="S340" s="12">
        <v>0</v>
      </c>
      <c r="T340" s="12">
        <v>0</v>
      </c>
      <c r="U340" s="12"/>
      <c r="V340" s="12">
        <v>0</v>
      </c>
      <c r="W340" s="12">
        <v>0</v>
      </c>
      <c r="X340" s="12"/>
      <c r="Y340" s="12">
        <v>0</v>
      </c>
    </row>
    <row r="341" spans="13:25" x14ac:dyDescent="0.35">
      <c r="M341" s="6" t="s">
        <v>81</v>
      </c>
      <c r="N341" s="12"/>
      <c r="O341" s="12">
        <v>0</v>
      </c>
      <c r="P341" s="12">
        <v>0</v>
      </c>
      <c r="Q341" s="12"/>
      <c r="R341" s="12">
        <v>0</v>
      </c>
      <c r="S341" s="12">
        <v>0</v>
      </c>
      <c r="T341" s="12">
        <v>0</v>
      </c>
      <c r="U341" s="12"/>
      <c r="V341" s="12">
        <v>0</v>
      </c>
      <c r="W341" s="12">
        <v>0</v>
      </c>
      <c r="X341" s="12"/>
      <c r="Y341" s="12">
        <v>0</v>
      </c>
    </row>
    <row r="342" spans="13:25" x14ac:dyDescent="0.35">
      <c r="M342" s="6" t="s">
        <v>75</v>
      </c>
      <c r="N342" s="12"/>
      <c r="O342" s="12">
        <v>0</v>
      </c>
      <c r="P342" s="12">
        <v>0</v>
      </c>
      <c r="Q342" s="12"/>
      <c r="R342" s="12">
        <v>0</v>
      </c>
      <c r="S342" s="12">
        <v>0</v>
      </c>
      <c r="T342" s="12">
        <v>0</v>
      </c>
      <c r="U342" s="12"/>
      <c r="V342" s="12">
        <v>0</v>
      </c>
      <c r="W342" s="12">
        <v>0</v>
      </c>
      <c r="X342" s="12"/>
      <c r="Y342" s="12">
        <v>0</v>
      </c>
    </row>
    <row r="343" spans="13:25" x14ac:dyDescent="0.35">
      <c r="M343" s="6" t="s">
        <v>74</v>
      </c>
      <c r="N343" s="12"/>
      <c r="O343" s="12">
        <v>0</v>
      </c>
      <c r="P343" s="12">
        <v>0</v>
      </c>
      <c r="Q343" s="12"/>
      <c r="R343" s="12">
        <v>0</v>
      </c>
      <c r="S343" s="12">
        <v>0</v>
      </c>
      <c r="T343" s="12">
        <v>0</v>
      </c>
      <c r="U343" s="12"/>
      <c r="V343" s="12">
        <v>0</v>
      </c>
      <c r="W343" s="12">
        <v>0</v>
      </c>
      <c r="X343" s="12"/>
      <c r="Y343" s="12">
        <v>0</v>
      </c>
    </row>
    <row r="344" spans="13:25" x14ac:dyDescent="0.35">
      <c r="M344" s="6" t="s">
        <v>418</v>
      </c>
      <c r="N344" s="12"/>
      <c r="O344" s="12">
        <v>0</v>
      </c>
      <c r="P344" s="12">
        <v>0</v>
      </c>
      <c r="Q344" s="12"/>
      <c r="R344" s="12">
        <v>0</v>
      </c>
      <c r="S344" s="12">
        <v>0</v>
      </c>
      <c r="T344" s="12">
        <v>0</v>
      </c>
      <c r="U344" s="12"/>
      <c r="V344" s="12">
        <v>0</v>
      </c>
      <c r="W344" s="12">
        <v>0</v>
      </c>
      <c r="X344" s="12"/>
      <c r="Y344" s="12">
        <v>0</v>
      </c>
    </row>
    <row r="345" spans="13:25" x14ac:dyDescent="0.35">
      <c r="M345" s="6" t="s">
        <v>539</v>
      </c>
      <c r="N345" s="12"/>
      <c r="O345" s="12">
        <v>0</v>
      </c>
      <c r="P345" s="12">
        <v>0</v>
      </c>
      <c r="Q345" s="12"/>
      <c r="R345" s="12">
        <v>0</v>
      </c>
      <c r="S345" s="12">
        <v>0</v>
      </c>
      <c r="T345" s="12">
        <v>0</v>
      </c>
      <c r="U345" s="12"/>
      <c r="V345" s="12" t="e">
        <v>#VALUE!</v>
      </c>
      <c r="W345" s="12" t="e">
        <v>#VALUE!</v>
      </c>
      <c r="X345" s="12"/>
      <c r="Y345" s="12">
        <v>0</v>
      </c>
    </row>
    <row r="346" spans="13:25" x14ac:dyDescent="0.35">
      <c r="M346" s="6" t="s">
        <v>114</v>
      </c>
      <c r="N346" s="12"/>
      <c r="O346" s="12">
        <v>0</v>
      </c>
      <c r="P346" s="12">
        <v>0</v>
      </c>
      <c r="Q346" s="12"/>
      <c r="R346" s="12">
        <v>0</v>
      </c>
      <c r="S346" s="12">
        <v>0</v>
      </c>
      <c r="T346" s="12">
        <v>0</v>
      </c>
      <c r="U346" s="12"/>
      <c r="V346" s="12">
        <v>0</v>
      </c>
      <c r="W346" s="12">
        <v>0</v>
      </c>
      <c r="X346" s="12"/>
      <c r="Y346" s="12">
        <v>0</v>
      </c>
    </row>
    <row r="347" spans="13:25" x14ac:dyDescent="0.35">
      <c r="M347" s="6" t="s">
        <v>169</v>
      </c>
      <c r="N347" s="12"/>
      <c r="O347" s="12">
        <v>0</v>
      </c>
      <c r="P347" s="12">
        <v>0</v>
      </c>
      <c r="Q347" s="12"/>
      <c r="R347" s="12">
        <v>0</v>
      </c>
      <c r="S347" s="12">
        <v>0</v>
      </c>
      <c r="T347" s="12">
        <v>0</v>
      </c>
      <c r="U347" s="12"/>
      <c r="V347" s="12">
        <v>0</v>
      </c>
      <c r="W347" s="12">
        <v>0</v>
      </c>
      <c r="X347" s="12"/>
      <c r="Y347" s="12">
        <v>0</v>
      </c>
    </row>
    <row r="348" spans="13:25" x14ac:dyDescent="0.35">
      <c r="M348" s="6" t="s">
        <v>145</v>
      </c>
      <c r="N348" s="12"/>
      <c r="O348" s="12">
        <v>0</v>
      </c>
      <c r="P348" s="12">
        <v>0</v>
      </c>
      <c r="Q348" s="12"/>
      <c r="R348" s="12">
        <v>0</v>
      </c>
      <c r="S348" s="12">
        <v>0</v>
      </c>
      <c r="T348" s="12">
        <v>0</v>
      </c>
      <c r="U348" s="12"/>
      <c r="V348" s="12">
        <v>0</v>
      </c>
      <c r="W348" s="12">
        <v>0</v>
      </c>
      <c r="X348" s="12"/>
      <c r="Y348" s="12">
        <v>0</v>
      </c>
    </row>
    <row r="349" spans="13:25" x14ac:dyDescent="0.35">
      <c r="M349" s="6" t="s">
        <v>140</v>
      </c>
      <c r="N349" s="12"/>
      <c r="O349" s="12">
        <v>0</v>
      </c>
      <c r="P349" s="12">
        <v>0</v>
      </c>
      <c r="Q349" s="12"/>
      <c r="R349" s="12">
        <v>0</v>
      </c>
      <c r="S349" s="12">
        <v>0</v>
      </c>
      <c r="T349" s="12">
        <v>0</v>
      </c>
      <c r="U349" s="12"/>
      <c r="V349" s="12">
        <v>0</v>
      </c>
      <c r="W349" s="12">
        <v>0</v>
      </c>
      <c r="X349" s="12"/>
      <c r="Y349" s="12">
        <v>0</v>
      </c>
    </row>
    <row r="350" spans="13:25" x14ac:dyDescent="0.35">
      <c r="M350" s="6" t="s">
        <v>136</v>
      </c>
      <c r="N350" s="12"/>
      <c r="O350" s="12">
        <v>0</v>
      </c>
      <c r="P350" s="12">
        <v>0</v>
      </c>
      <c r="Q350" s="12"/>
      <c r="R350" s="12">
        <v>0</v>
      </c>
      <c r="S350" s="12">
        <v>0</v>
      </c>
      <c r="T350" s="12">
        <v>0</v>
      </c>
      <c r="U350" s="12"/>
      <c r="V350" s="12">
        <v>0</v>
      </c>
      <c r="W350" s="12">
        <v>0</v>
      </c>
      <c r="X350" s="12"/>
      <c r="Y350" s="12">
        <v>0</v>
      </c>
    </row>
    <row r="351" spans="13:25" x14ac:dyDescent="0.35">
      <c r="M351" s="6" t="s">
        <v>146</v>
      </c>
      <c r="N351" s="12"/>
      <c r="O351" s="12">
        <v>0</v>
      </c>
      <c r="P351" s="12">
        <v>0</v>
      </c>
      <c r="Q351" s="12"/>
      <c r="R351" s="12">
        <v>0</v>
      </c>
      <c r="S351" s="12">
        <v>0</v>
      </c>
      <c r="T351" s="12">
        <v>0</v>
      </c>
      <c r="U351" s="12"/>
      <c r="V351" s="12">
        <v>0</v>
      </c>
      <c r="W351" s="12">
        <v>0</v>
      </c>
      <c r="X351" s="12"/>
      <c r="Y351" s="12">
        <v>0</v>
      </c>
    </row>
    <row r="352" spans="13:25" x14ac:dyDescent="0.35">
      <c r="M352" s="6" t="s">
        <v>133</v>
      </c>
      <c r="N352" s="12"/>
      <c r="O352" s="12">
        <v>0</v>
      </c>
      <c r="P352" s="12">
        <v>0</v>
      </c>
      <c r="Q352" s="12"/>
      <c r="R352" s="12">
        <v>0</v>
      </c>
      <c r="S352" s="12">
        <v>0</v>
      </c>
      <c r="T352" s="12">
        <v>0</v>
      </c>
      <c r="U352" s="12"/>
      <c r="V352" s="12">
        <v>0</v>
      </c>
      <c r="W352" s="12">
        <v>0</v>
      </c>
      <c r="X352" s="12"/>
      <c r="Y352" s="12">
        <v>0</v>
      </c>
    </row>
    <row r="353" spans="13:25" x14ac:dyDescent="0.35">
      <c r="M353" s="6" t="s">
        <v>132</v>
      </c>
      <c r="N353" s="12"/>
      <c r="O353" s="12">
        <v>0</v>
      </c>
      <c r="P353" s="12">
        <v>0</v>
      </c>
      <c r="Q353" s="12"/>
      <c r="R353" s="12">
        <v>0</v>
      </c>
      <c r="S353" s="12">
        <v>0</v>
      </c>
      <c r="T353" s="12">
        <v>0</v>
      </c>
      <c r="U353" s="12"/>
      <c r="V353" s="12">
        <v>0</v>
      </c>
      <c r="W353" s="12">
        <v>0</v>
      </c>
      <c r="X353" s="12"/>
      <c r="Y353" s="12">
        <v>0</v>
      </c>
    </row>
    <row r="354" spans="13:25" x14ac:dyDescent="0.35">
      <c r="M354" s="6" t="s">
        <v>497</v>
      </c>
      <c r="N354" s="12"/>
      <c r="O354" s="12">
        <v>0</v>
      </c>
      <c r="P354" s="12">
        <v>0</v>
      </c>
      <c r="Q354" s="12"/>
      <c r="R354" s="12">
        <v>0</v>
      </c>
      <c r="S354" s="12">
        <v>0</v>
      </c>
      <c r="T354" s="12">
        <v>0</v>
      </c>
      <c r="U354" s="12"/>
      <c r="V354" s="12" t="e">
        <v>#VALUE!</v>
      </c>
      <c r="W354" s="12" t="e">
        <v>#VALUE!</v>
      </c>
      <c r="X354" s="12"/>
      <c r="Y354" s="12">
        <v>0</v>
      </c>
    </row>
    <row r="355" spans="13:25" x14ac:dyDescent="0.35">
      <c r="M355" s="6" t="s">
        <v>496</v>
      </c>
      <c r="N355" s="12"/>
      <c r="O355" s="12">
        <v>0</v>
      </c>
      <c r="P355" s="12">
        <v>0</v>
      </c>
      <c r="Q355" s="12"/>
      <c r="R355" s="12">
        <v>0</v>
      </c>
      <c r="S355" s="12">
        <v>0</v>
      </c>
      <c r="T355" s="12">
        <v>0</v>
      </c>
      <c r="U355" s="12"/>
      <c r="V355" s="12" t="e">
        <v>#VALUE!</v>
      </c>
      <c r="W355" s="12" t="e">
        <v>#VALUE!</v>
      </c>
      <c r="X355" s="12"/>
      <c r="Y355" s="12">
        <v>0</v>
      </c>
    </row>
    <row r="356" spans="13:25" x14ac:dyDescent="0.35">
      <c r="M356" s="6" t="s">
        <v>495</v>
      </c>
      <c r="N356" s="12"/>
      <c r="O356" s="12">
        <v>0</v>
      </c>
      <c r="P356" s="12">
        <v>0</v>
      </c>
      <c r="Q356" s="12"/>
      <c r="R356" s="12">
        <v>0</v>
      </c>
      <c r="S356" s="12">
        <v>0</v>
      </c>
      <c r="T356" s="12" t="e">
        <v>#VALUE!</v>
      </c>
      <c r="U356" s="12"/>
      <c r="V356" s="12" t="e">
        <v>#VALUE!</v>
      </c>
      <c r="W356" s="12" t="e">
        <v>#VALUE!</v>
      </c>
      <c r="X356" s="12"/>
      <c r="Y356" s="12" t="e">
        <v>#VALUE!</v>
      </c>
    </row>
    <row r="357" spans="13:25" x14ac:dyDescent="0.35">
      <c r="M357" s="6" t="s">
        <v>494</v>
      </c>
      <c r="N357" s="12"/>
      <c r="O357" s="12">
        <v>0</v>
      </c>
      <c r="P357" s="12">
        <v>0</v>
      </c>
      <c r="Q357" s="12"/>
      <c r="R357" s="12">
        <v>0</v>
      </c>
      <c r="S357" s="12">
        <v>0</v>
      </c>
      <c r="T357" s="12" t="e">
        <v>#VALUE!</v>
      </c>
      <c r="U357" s="12"/>
      <c r="V357" s="12" t="e">
        <v>#VALUE!</v>
      </c>
      <c r="W357" s="12" t="e">
        <v>#VALUE!</v>
      </c>
      <c r="X357" s="12"/>
      <c r="Y357" s="12" t="e">
        <v>#VALUE!</v>
      </c>
    </row>
    <row r="358" spans="13:25" x14ac:dyDescent="0.35">
      <c r="M358" s="6" t="s">
        <v>493</v>
      </c>
      <c r="N358" s="12"/>
      <c r="O358" s="12">
        <v>0</v>
      </c>
      <c r="P358" s="12">
        <v>0</v>
      </c>
      <c r="Q358" s="12"/>
      <c r="R358" s="12">
        <v>0</v>
      </c>
      <c r="S358" s="12">
        <v>0</v>
      </c>
      <c r="T358" s="12" t="e">
        <v>#VALUE!</v>
      </c>
      <c r="U358" s="12"/>
      <c r="V358" s="12" t="e">
        <v>#VALUE!</v>
      </c>
      <c r="W358" s="12" t="e">
        <v>#VALUE!</v>
      </c>
      <c r="X358" s="12"/>
      <c r="Y358" s="12" t="e">
        <v>#VALUE!</v>
      </c>
    </row>
    <row r="359" spans="13:25" x14ac:dyDescent="0.35">
      <c r="M359" s="6" t="s">
        <v>492</v>
      </c>
      <c r="N359" s="12"/>
      <c r="O359" s="12">
        <v>0</v>
      </c>
      <c r="P359" s="12">
        <v>0</v>
      </c>
      <c r="Q359" s="12"/>
      <c r="R359" s="12">
        <v>0</v>
      </c>
      <c r="S359" s="12">
        <v>0</v>
      </c>
      <c r="T359" s="12" t="e">
        <v>#VALUE!</v>
      </c>
      <c r="U359" s="12"/>
      <c r="V359" s="12" t="e">
        <v>#VALUE!</v>
      </c>
      <c r="W359" s="12" t="e">
        <v>#VALUE!</v>
      </c>
      <c r="X359" s="12"/>
      <c r="Y359" s="12" t="e">
        <v>#VALUE!</v>
      </c>
    </row>
    <row r="360" spans="13:25" x14ac:dyDescent="0.35">
      <c r="M360" s="6" t="s">
        <v>491</v>
      </c>
      <c r="N360" s="12"/>
      <c r="O360" s="12">
        <v>0</v>
      </c>
      <c r="P360" s="12">
        <v>0</v>
      </c>
      <c r="Q360" s="12"/>
      <c r="R360" s="12">
        <v>0</v>
      </c>
      <c r="S360" s="12">
        <v>0</v>
      </c>
      <c r="T360" s="12" t="e">
        <v>#VALUE!</v>
      </c>
      <c r="U360" s="12"/>
      <c r="V360" s="12" t="e">
        <v>#VALUE!</v>
      </c>
      <c r="W360" s="12" t="e">
        <v>#VALUE!</v>
      </c>
      <c r="X360" s="12"/>
      <c r="Y360" s="12" t="e">
        <v>#VALUE!</v>
      </c>
    </row>
    <row r="361" spans="13:25" x14ac:dyDescent="0.35">
      <c r="M361" s="6" t="s">
        <v>501</v>
      </c>
      <c r="N361" s="12"/>
      <c r="O361" s="12">
        <v>0</v>
      </c>
      <c r="P361" s="12">
        <v>0</v>
      </c>
      <c r="Q361" s="12"/>
      <c r="R361" s="12">
        <v>0</v>
      </c>
      <c r="S361" s="12">
        <v>0</v>
      </c>
      <c r="T361" s="12">
        <v>0</v>
      </c>
      <c r="U361" s="12"/>
      <c r="V361" s="12" t="e">
        <v>#VALUE!</v>
      </c>
      <c r="W361" s="12" t="e">
        <v>#VALUE!</v>
      </c>
      <c r="X361" s="12"/>
      <c r="Y361" s="12">
        <v>0</v>
      </c>
    </row>
    <row r="362" spans="13:25" x14ac:dyDescent="0.35">
      <c r="M362" s="6" t="s">
        <v>511</v>
      </c>
      <c r="N362" s="12"/>
      <c r="O362" s="12">
        <v>0</v>
      </c>
      <c r="P362" s="12">
        <v>0</v>
      </c>
      <c r="Q362" s="12"/>
      <c r="R362" s="12">
        <v>0</v>
      </c>
      <c r="S362" s="12">
        <v>0</v>
      </c>
      <c r="T362" s="12">
        <v>0</v>
      </c>
      <c r="U362" s="12"/>
      <c r="V362" s="12" t="e">
        <v>#VALUE!</v>
      </c>
      <c r="W362" s="12" t="e">
        <v>#VALUE!</v>
      </c>
      <c r="X362" s="12"/>
      <c r="Y362" s="12">
        <v>0</v>
      </c>
    </row>
    <row r="363" spans="13:25" x14ac:dyDescent="0.35">
      <c r="M363" s="6" t="s">
        <v>502</v>
      </c>
      <c r="N363" s="12"/>
      <c r="O363" s="12">
        <v>0</v>
      </c>
      <c r="P363" s="12">
        <v>0</v>
      </c>
      <c r="Q363" s="12"/>
      <c r="R363" s="12">
        <v>0</v>
      </c>
      <c r="S363" s="12">
        <v>0</v>
      </c>
      <c r="T363" s="12">
        <v>0</v>
      </c>
      <c r="U363" s="12"/>
      <c r="V363" s="12" t="e">
        <v>#VALUE!</v>
      </c>
      <c r="W363" s="12" t="e">
        <v>#VALUE!</v>
      </c>
      <c r="X363" s="12"/>
      <c r="Y363" s="12">
        <v>0</v>
      </c>
    </row>
    <row r="364" spans="13:25" x14ac:dyDescent="0.35">
      <c r="M364" s="6" t="s">
        <v>500</v>
      </c>
      <c r="N364" s="12"/>
      <c r="O364" s="12">
        <v>0</v>
      </c>
      <c r="P364" s="12">
        <v>0</v>
      </c>
      <c r="Q364" s="12"/>
      <c r="R364" s="12">
        <v>0</v>
      </c>
      <c r="S364" s="12">
        <v>0</v>
      </c>
      <c r="T364" s="12">
        <v>0</v>
      </c>
      <c r="U364" s="12"/>
      <c r="V364" s="12" t="e">
        <v>#VALUE!</v>
      </c>
      <c r="W364" s="12" t="e">
        <v>#VALUE!</v>
      </c>
      <c r="X364" s="12"/>
      <c r="Y364" s="12">
        <v>0</v>
      </c>
    </row>
    <row r="365" spans="13:25" x14ac:dyDescent="0.35">
      <c r="M365" s="6" t="s">
        <v>508</v>
      </c>
      <c r="N365" s="12"/>
      <c r="O365" s="12">
        <v>0</v>
      </c>
      <c r="P365" s="12">
        <v>0</v>
      </c>
      <c r="Q365" s="12"/>
      <c r="R365" s="12">
        <v>0</v>
      </c>
      <c r="S365" s="12">
        <v>0</v>
      </c>
      <c r="T365" s="12">
        <v>0</v>
      </c>
      <c r="U365" s="12"/>
      <c r="V365" s="12" t="e">
        <v>#VALUE!</v>
      </c>
      <c r="W365" s="12" t="e">
        <v>#VALUE!</v>
      </c>
      <c r="X365" s="12"/>
      <c r="Y365" s="12">
        <v>0</v>
      </c>
    </row>
    <row r="366" spans="13:25" x14ac:dyDescent="0.35">
      <c r="M366" s="6" t="s">
        <v>498</v>
      </c>
      <c r="N366" s="12"/>
      <c r="O366" s="12">
        <v>0</v>
      </c>
      <c r="P366" s="12">
        <v>0</v>
      </c>
      <c r="Q366" s="12"/>
      <c r="R366" s="12">
        <v>0</v>
      </c>
      <c r="S366" s="12">
        <v>0</v>
      </c>
      <c r="T366" s="12">
        <v>0</v>
      </c>
      <c r="U366" s="12"/>
      <c r="V366" s="12" t="e">
        <v>#VALUE!</v>
      </c>
      <c r="W366" s="12" t="e">
        <v>#VALUE!</v>
      </c>
      <c r="X366" s="12"/>
      <c r="Y366" s="12">
        <v>0</v>
      </c>
    </row>
    <row r="367" spans="13:25" x14ac:dyDescent="0.35">
      <c r="M367" s="6" t="s">
        <v>513</v>
      </c>
      <c r="N367" s="12"/>
      <c r="O367" s="12">
        <v>0</v>
      </c>
      <c r="P367" s="12">
        <v>0</v>
      </c>
      <c r="Q367" s="12"/>
      <c r="R367" s="12">
        <v>0</v>
      </c>
      <c r="S367" s="12">
        <v>0</v>
      </c>
      <c r="T367" s="12">
        <v>0</v>
      </c>
      <c r="U367" s="12"/>
      <c r="V367" s="12" t="e">
        <v>#VALUE!</v>
      </c>
      <c r="W367" s="12" t="e">
        <v>#VALUE!</v>
      </c>
      <c r="X367" s="12"/>
      <c r="Y367" s="12">
        <v>0</v>
      </c>
    </row>
    <row r="368" spans="13:25" x14ac:dyDescent="0.35">
      <c r="M368" s="6" t="s">
        <v>499</v>
      </c>
      <c r="N368" s="12"/>
      <c r="O368" s="12">
        <v>0</v>
      </c>
      <c r="P368" s="12">
        <v>0</v>
      </c>
      <c r="Q368" s="12"/>
      <c r="R368" s="12">
        <v>0</v>
      </c>
      <c r="S368" s="12">
        <v>0</v>
      </c>
      <c r="T368" s="12">
        <v>0</v>
      </c>
      <c r="U368" s="12"/>
      <c r="V368" s="12" t="e">
        <v>#VALUE!</v>
      </c>
      <c r="W368" s="12" t="e">
        <v>#VALUE!</v>
      </c>
      <c r="X368" s="12"/>
      <c r="Y368" s="12">
        <v>0</v>
      </c>
    </row>
    <row r="369" spans="13:25" x14ac:dyDescent="0.35">
      <c r="M369" s="6" t="s">
        <v>510</v>
      </c>
      <c r="N369" s="12"/>
      <c r="O369" s="12">
        <v>0</v>
      </c>
      <c r="P369" s="12">
        <v>0</v>
      </c>
      <c r="Q369" s="12"/>
      <c r="R369" s="12">
        <v>0</v>
      </c>
      <c r="S369" s="12">
        <v>0</v>
      </c>
      <c r="T369" s="12">
        <v>0</v>
      </c>
      <c r="U369" s="12"/>
      <c r="V369" s="12" t="e">
        <v>#VALUE!</v>
      </c>
      <c r="W369" s="12" t="e">
        <v>#VALUE!</v>
      </c>
      <c r="X369" s="12"/>
      <c r="Y369" s="12">
        <v>0</v>
      </c>
    </row>
    <row r="370" spans="13:25" x14ac:dyDescent="0.35">
      <c r="M370" s="6" t="s">
        <v>509</v>
      </c>
      <c r="N370" s="12"/>
      <c r="O370" s="12">
        <v>0</v>
      </c>
      <c r="P370" s="12">
        <v>0</v>
      </c>
      <c r="Q370" s="12"/>
      <c r="R370" s="12">
        <v>0</v>
      </c>
      <c r="S370" s="12">
        <v>0</v>
      </c>
      <c r="T370" s="12">
        <v>0</v>
      </c>
      <c r="U370" s="12"/>
      <c r="V370" s="12" t="e">
        <v>#VALUE!</v>
      </c>
      <c r="W370" s="12" t="e">
        <v>#VALUE!</v>
      </c>
      <c r="X370" s="12"/>
      <c r="Y370" s="12">
        <v>0</v>
      </c>
    </row>
    <row r="371" spans="13:25" x14ac:dyDescent="0.35">
      <c r="M371" s="6" t="s">
        <v>512</v>
      </c>
      <c r="N371" s="12"/>
      <c r="O371" s="12">
        <v>0</v>
      </c>
      <c r="P371" s="12">
        <v>0</v>
      </c>
      <c r="Q371" s="12"/>
      <c r="R371" s="12">
        <v>0</v>
      </c>
      <c r="S371" s="12">
        <v>0</v>
      </c>
      <c r="T371" s="12">
        <v>0</v>
      </c>
      <c r="U371" s="12"/>
      <c r="V371" s="12" t="e">
        <v>#VALUE!</v>
      </c>
      <c r="W371" s="12" t="e">
        <v>#VALUE!</v>
      </c>
      <c r="X371" s="12"/>
      <c r="Y371" s="12">
        <v>0</v>
      </c>
    </row>
    <row r="372" spans="13:25" x14ac:dyDescent="0.35">
      <c r="M372" s="6" t="s">
        <v>506</v>
      </c>
      <c r="N372" s="12"/>
      <c r="O372" s="12">
        <v>0</v>
      </c>
      <c r="P372" s="12">
        <v>0</v>
      </c>
      <c r="Q372" s="12"/>
      <c r="R372" s="12">
        <v>0</v>
      </c>
      <c r="S372" s="12">
        <v>0</v>
      </c>
      <c r="T372" s="12">
        <v>0</v>
      </c>
      <c r="U372" s="12"/>
      <c r="V372" s="12" t="e">
        <v>#VALUE!</v>
      </c>
      <c r="W372" s="12" t="e">
        <v>#VALUE!</v>
      </c>
      <c r="X372" s="12"/>
      <c r="Y372" s="12">
        <v>0</v>
      </c>
    </row>
    <row r="373" spans="13:25" x14ac:dyDescent="0.35">
      <c r="M373" s="6" t="s">
        <v>504</v>
      </c>
      <c r="N373" s="12"/>
      <c r="O373" s="12">
        <v>0</v>
      </c>
      <c r="P373" s="12">
        <v>0</v>
      </c>
      <c r="Q373" s="12"/>
      <c r="R373" s="12">
        <v>0</v>
      </c>
      <c r="S373" s="12">
        <v>0</v>
      </c>
      <c r="T373" s="12">
        <v>0</v>
      </c>
      <c r="U373" s="12"/>
      <c r="V373" s="12" t="e">
        <v>#VALUE!</v>
      </c>
      <c r="W373" s="12" t="e">
        <v>#VALUE!</v>
      </c>
      <c r="X373" s="12"/>
      <c r="Y373" s="12">
        <v>0</v>
      </c>
    </row>
    <row r="374" spans="13:25" x14ac:dyDescent="0.35">
      <c r="M374" s="6" t="s">
        <v>503</v>
      </c>
      <c r="N374" s="12"/>
      <c r="O374" s="12">
        <v>0</v>
      </c>
      <c r="P374" s="12">
        <v>0</v>
      </c>
      <c r="Q374" s="12"/>
      <c r="R374" s="12">
        <v>0</v>
      </c>
      <c r="S374" s="12">
        <v>0</v>
      </c>
      <c r="T374" s="12">
        <v>0</v>
      </c>
      <c r="U374" s="12"/>
      <c r="V374" s="12" t="e">
        <v>#VALUE!</v>
      </c>
      <c r="W374" s="12" t="e">
        <v>#VALUE!</v>
      </c>
      <c r="X374" s="12"/>
      <c r="Y374" s="12">
        <v>0</v>
      </c>
    </row>
    <row r="375" spans="13:25" x14ac:dyDescent="0.35">
      <c r="M375" s="6" t="s">
        <v>505</v>
      </c>
      <c r="N375" s="12"/>
      <c r="O375" s="12">
        <v>0</v>
      </c>
      <c r="P375" s="12">
        <v>0</v>
      </c>
      <c r="Q375" s="12"/>
      <c r="R375" s="12">
        <v>0</v>
      </c>
      <c r="S375" s="12">
        <v>0</v>
      </c>
      <c r="T375" s="12">
        <v>0</v>
      </c>
      <c r="U375" s="12"/>
      <c r="V375" s="12" t="e">
        <v>#VALUE!</v>
      </c>
      <c r="W375" s="12" t="e">
        <v>#VALUE!</v>
      </c>
      <c r="X375" s="12"/>
      <c r="Y375" s="12">
        <v>0</v>
      </c>
    </row>
    <row r="376" spans="13:25" x14ac:dyDescent="0.35">
      <c r="M376" s="6" t="s">
        <v>507</v>
      </c>
      <c r="N376" s="12"/>
      <c r="O376" s="12">
        <v>0</v>
      </c>
      <c r="P376" s="12">
        <v>0</v>
      </c>
      <c r="Q376" s="12"/>
      <c r="R376" s="12">
        <v>0</v>
      </c>
      <c r="S376" s="12">
        <v>0</v>
      </c>
      <c r="T376" s="12">
        <v>0</v>
      </c>
      <c r="U376" s="12"/>
      <c r="V376" s="12" t="e">
        <v>#VALUE!</v>
      </c>
      <c r="W376" s="12" t="e">
        <v>#VALUE!</v>
      </c>
      <c r="X376" s="12"/>
      <c r="Y376" s="12">
        <v>0</v>
      </c>
    </row>
    <row r="377" spans="13:25" x14ac:dyDescent="0.35">
      <c r="M377" s="6" t="s">
        <v>135</v>
      </c>
      <c r="N377" s="12"/>
      <c r="O377" s="12">
        <v>0</v>
      </c>
      <c r="P377" s="12">
        <v>0</v>
      </c>
      <c r="Q377" s="12"/>
      <c r="R377" s="12">
        <v>0</v>
      </c>
      <c r="S377" s="12">
        <v>0</v>
      </c>
      <c r="T377" s="12">
        <v>0</v>
      </c>
      <c r="U377" s="12"/>
      <c r="V377" s="12">
        <v>0</v>
      </c>
      <c r="W377" s="12">
        <v>0</v>
      </c>
      <c r="X377" s="12"/>
      <c r="Y377" s="12">
        <v>0</v>
      </c>
    </row>
    <row r="378" spans="13:25" x14ac:dyDescent="0.35">
      <c r="M378" s="6" t="s">
        <v>71</v>
      </c>
      <c r="N378" s="12"/>
      <c r="O378" s="12">
        <v>0</v>
      </c>
      <c r="P378" s="12">
        <v>0</v>
      </c>
      <c r="Q378" s="12"/>
      <c r="R378" s="12">
        <v>0</v>
      </c>
      <c r="S378" s="12">
        <v>0</v>
      </c>
      <c r="T378" s="12">
        <v>0</v>
      </c>
      <c r="U378" s="12"/>
      <c r="V378" s="12">
        <v>0</v>
      </c>
      <c r="W378" s="12">
        <v>0</v>
      </c>
      <c r="X378" s="12"/>
      <c r="Y378" s="12">
        <v>0</v>
      </c>
    </row>
    <row r="379" spans="13:25" x14ac:dyDescent="0.35">
      <c r="M379" s="6" t="s">
        <v>112</v>
      </c>
      <c r="N379" s="12"/>
      <c r="O379" s="12">
        <v>0</v>
      </c>
      <c r="P379" s="12">
        <v>0</v>
      </c>
      <c r="Q379" s="12"/>
      <c r="R379" s="12">
        <v>0</v>
      </c>
      <c r="S379" s="12">
        <v>0</v>
      </c>
      <c r="T379" s="12">
        <v>0</v>
      </c>
      <c r="U379" s="12"/>
      <c r="V379" s="12">
        <v>0</v>
      </c>
      <c r="W379" s="12">
        <v>0</v>
      </c>
      <c r="X379" s="12"/>
      <c r="Y379" s="12">
        <v>0</v>
      </c>
    </row>
    <row r="380" spans="13:25" x14ac:dyDescent="0.35">
      <c r="M380" s="6" t="s">
        <v>104</v>
      </c>
      <c r="N380" s="12"/>
      <c r="O380" s="12">
        <v>0</v>
      </c>
      <c r="P380" s="12">
        <v>0</v>
      </c>
      <c r="Q380" s="12"/>
      <c r="R380" s="12">
        <v>0</v>
      </c>
      <c r="S380" s="12">
        <v>0</v>
      </c>
      <c r="T380" s="12">
        <v>0</v>
      </c>
      <c r="U380" s="12"/>
      <c r="V380" s="12">
        <v>0</v>
      </c>
      <c r="W380" s="12">
        <v>0</v>
      </c>
      <c r="X380" s="12"/>
      <c r="Y380" s="12">
        <v>0</v>
      </c>
    </row>
    <row r="381" spans="13:25" x14ac:dyDescent="0.35">
      <c r="M381" s="6" t="s">
        <v>115</v>
      </c>
      <c r="N381" s="12"/>
      <c r="O381" s="12">
        <v>0</v>
      </c>
      <c r="P381" s="12">
        <v>0</v>
      </c>
      <c r="Q381" s="12"/>
      <c r="R381" s="12">
        <v>0</v>
      </c>
      <c r="S381" s="12">
        <v>0</v>
      </c>
      <c r="T381" s="12">
        <v>0</v>
      </c>
      <c r="U381" s="12"/>
      <c r="V381" s="12">
        <v>0</v>
      </c>
      <c r="W381" s="12">
        <v>0</v>
      </c>
      <c r="X381" s="12"/>
      <c r="Y381" s="12">
        <v>0</v>
      </c>
    </row>
    <row r="382" spans="13:25" x14ac:dyDescent="0.35">
      <c r="M382" s="6" t="s">
        <v>92</v>
      </c>
      <c r="N382" s="12"/>
      <c r="O382" s="12">
        <v>0</v>
      </c>
      <c r="P382" s="12">
        <v>0</v>
      </c>
      <c r="Q382" s="12"/>
      <c r="R382" s="12">
        <v>0</v>
      </c>
      <c r="S382" s="12">
        <v>0</v>
      </c>
      <c r="T382" s="12">
        <v>0</v>
      </c>
      <c r="U382" s="12"/>
      <c r="V382" s="12">
        <v>0</v>
      </c>
      <c r="W382" s="12">
        <v>0</v>
      </c>
      <c r="X382" s="12"/>
      <c r="Y382" s="12">
        <v>0</v>
      </c>
    </row>
    <row r="383" spans="13:25" x14ac:dyDescent="0.35">
      <c r="M383" s="6" t="s">
        <v>109</v>
      </c>
      <c r="N383" s="12"/>
      <c r="O383" s="12">
        <v>0</v>
      </c>
      <c r="P383" s="12">
        <v>0</v>
      </c>
      <c r="Q383" s="12"/>
      <c r="R383" s="12">
        <v>0</v>
      </c>
      <c r="S383" s="12">
        <v>0</v>
      </c>
      <c r="T383" s="12">
        <v>0</v>
      </c>
      <c r="U383" s="12"/>
      <c r="V383" s="12">
        <v>0</v>
      </c>
      <c r="W383" s="12">
        <v>0</v>
      </c>
      <c r="X383" s="12"/>
      <c r="Y383" s="12">
        <v>0</v>
      </c>
    </row>
    <row r="384" spans="13:25" x14ac:dyDescent="0.35">
      <c r="M384" s="6" t="s">
        <v>538</v>
      </c>
      <c r="N384" s="12"/>
      <c r="O384" s="12">
        <v>0</v>
      </c>
      <c r="P384" s="12">
        <v>0</v>
      </c>
      <c r="Q384" s="12"/>
      <c r="R384" s="12">
        <v>0</v>
      </c>
      <c r="S384" s="12">
        <v>0</v>
      </c>
      <c r="T384" s="12">
        <v>0</v>
      </c>
      <c r="U384" s="12"/>
      <c r="V384" s="12">
        <v>0</v>
      </c>
      <c r="W384" s="12">
        <v>0</v>
      </c>
      <c r="X384" s="12"/>
      <c r="Y384" s="12">
        <v>0</v>
      </c>
    </row>
    <row r="385" spans="13:25" x14ac:dyDescent="0.35">
      <c r="M385" s="6" t="s">
        <v>537</v>
      </c>
      <c r="N385" s="12"/>
      <c r="O385" s="12">
        <v>0</v>
      </c>
      <c r="P385" s="12">
        <v>0</v>
      </c>
      <c r="Q385" s="12"/>
      <c r="R385" s="12">
        <v>0</v>
      </c>
      <c r="S385" s="12">
        <v>0</v>
      </c>
      <c r="T385" s="12">
        <v>0</v>
      </c>
      <c r="U385" s="12"/>
      <c r="V385" s="12" t="e">
        <v>#VALUE!</v>
      </c>
      <c r="W385" s="12" t="e">
        <v>#VALUE!</v>
      </c>
      <c r="X385" s="12"/>
      <c r="Y385" s="12">
        <v>0</v>
      </c>
    </row>
    <row r="386" spans="13:25" x14ac:dyDescent="0.35">
      <c r="M386" s="6" t="s">
        <v>134</v>
      </c>
      <c r="N386" s="12"/>
      <c r="O386" s="12">
        <v>0</v>
      </c>
      <c r="P386" s="12">
        <v>0</v>
      </c>
      <c r="Q386" s="12"/>
      <c r="R386" s="12">
        <v>0</v>
      </c>
      <c r="S386" s="12">
        <v>0</v>
      </c>
      <c r="T386" s="12">
        <v>0</v>
      </c>
      <c r="U386" s="12"/>
      <c r="V386" s="12">
        <v>0</v>
      </c>
      <c r="W386" s="12">
        <v>0</v>
      </c>
      <c r="X386" s="12"/>
      <c r="Y386" s="12">
        <v>0</v>
      </c>
    </row>
    <row r="387" spans="13:25" x14ac:dyDescent="0.35">
      <c r="M387" s="6" t="s">
        <v>451</v>
      </c>
      <c r="N387" s="12"/>
      <c r="O387" s="12">
        <v>0</v>
      </c>
      <c r="P387" s="12">
        <v>0</v>
      </c>
      <c r="Q387" s="12"/>
      <c r="R387" s="12">
        <v>0</v>
      </c>
      <c r="S387" s="12">
        <v>0</v>
      </c>
      <c r="T387" s="12" t="e">
        <v>#VALUE!</v>
      </c>
      <c r="U387" s="12"/>
      <c r="V387" s="12" t="e">
        <v>#VALUE!</v>
      </c>
      <c r="W387" s="12" t="e">
        <v>#VALUE!</v>
      </c>
      <c r="X387" s="12"/>
      <c r="Y387" s="12">
        <v>0</v>
      </c>
    </row>
    <row r="388" spans="13:25" x14ac:dyDescent="0.35">
      <c r="M388" s="6" t="s">
        <v>450</v>
      </c>
      <c r="N388" s="12"/>
      <c r="O388" s="12">
        <v>0</v>
      </c>
      <c r="P388" s="12">
        <v>0</v>
      </c>
      <c r="Q388" s="12"/>
      <c r="R388" s="12">
        <v>0</v>
      </c>
      <c r="S388" s="12">
        <v>0</v>
      </c>
      <c r="T388" s="12" t="e">
        <v>#VALUE!</v>
      </c>
      <c r="U388" s="12"/>
      <c r="V388" s="12" t="e">
        <v>#VALUE!</v>
      </c>
      <c r="W388" s="12" t="e">
        <v>#VALUE!</v>
      </c>
      <c r="X388" s="12"/>
      <c r="Y388" s="12">
        <v>0</v>
      </c>
    </row>
    <row r="389" spans="13:25" x14ac:dyDescent="0.35">
      <c r="M389" s="6" t="s">
        <v>417</v>
      </c>
      <c r="N389" s="12"/>
      <c r="O389" s="12" t="e">
        <v>#VALUE!</v>
      </c>
      <c r="P389" s="12" t="e">
        <v>#VALUE!</v>
      </c>
      <c r="Q389" s="12"/>
      <c r="R389" s="12">
        <v>0</v>
      </c>
      <c r="S389" s="12" t="e">
        <v>#VALUE!</v>
      </c>
      <c r="T389" s="12" t="e">
        <v>#VALUE!</v>
      </c>
      <c r="U389" s="12"/>
      <c r="V389" s="12">
        <v>0</v>
      </c>
      <c r="W389" s="12">
        <v>0</v>
      </c>
      <c r="X389" s="12"/>
      <c r="Y389" s="12">
        <v>0</v>
      </c>
    </row>
    <row r="390" spans="13:25" x14ac:dyDescent="0.35">
      <c r="M390" s="6" t="s">
        <v>415</v>
      </c>
      <c r="N390" s="12"/>
      <c r="O390" s="12" t="e">
        <v>#VALUE!</v>
      </c>
      <c r="P390" s="12" t="e">
        <v>#VALUE!</v>
      </c>
      <c r="Q390" s="12"/>
      <c r="R390" s="12">
        <v>0</v>
      </c>
      <c r="S390" s="12">
        <v>0</v>
      </c>
      <c r="T390" s="12">
        <v>0</v>
      </c>
      <c r="U390" s="12"/>
      <c r="V390" s="12">
        <v>0</v>
      </c>
      <c r="W390" s="12">
        <v>0</v>
      </c>
      <c r="X390" s="12"/>
      <c r="Y390" s="12">
        <v>0</v>
      </c>
    </row>
    <row r="391" spans="13:25" x14ac:dyDescent="0.35">
      <c r="M391" s="6" t="s">
        <v>416</v>
      </c>
      <c r="N391" s="12"/>
      <c r="O391" s="12" t="e">
        <v>#VALUE!</v>
      </c>
      <c r="P391" s="12" t="e">
        <v>#VALUE!</v>
      </c>
      <c r="Q391" s="12"/>
      <c r="R391" s="12">
        <v>0</v>
      </c>
      <c r="S391" s="12" t="e">
        <v>#VALUE!</v>
      </c>
      <c r="T391" s="12" t="e">
        <v>#VALUE!</v>
      </c>
      <c r="U391" s="12"/>
      <c r="V391" s="12">
        <v>0</v>
      </c>
      <c r="W391" s="12">
        <v>0</v>
      </c>
      <c r="X391" s="12"/>
      <c r="Y391" s="12">
        <v>0</v>
      </c>
    </row>
    <row r="392" spans="13:25" x14ac:dyDescent="0.35">
      <c r="M392" s="6" t="s">
        <v>149</v>
      </c>
      <c r="N392" s="12"/>
      <c r="O392" s="12">
        <v>0</v>
      </c>
      <c r="P392" s="12">
        <v>0</v>
      </c>
      <c r="Q392" s="12"/>
      <c r="R392" s="12">
        <v>0</v>
      </c>
      <c r="S392" s="12">
        <v>0</v>
      </c>
      <c r="T392" s="12">
        <v>0</v>
      </c>
      <c r="U392" s="12"/>
      <c r="V392" s="12">
        <v>0</v>
      </c>
      <c r="W392" s="12">
        <v>0</v>
      </c>
      <c r="X392" s="12"/>
      <c r="Y392" s="12">
        <v>0</v>
      </c>
    </row>
    <row r="393" spans="13:25" x14ac:dyDescent="0.35">
      <c r="M393" s="6" t="s">
        <v>178</v>
      </c>
      <c r="N393" s="12"/>
      <c r="O393" s="12">
        <v>0</v>
      </c>
      <c r="P393" s="12">
        <v>0</v>
      </c>
      <c r="Q393" s="12"/>
      <c r="R393" s="12">
        <v>0</v>
      </c>
      <c r="S393" s="12">
        <v>0</v>
      </c>
      <c r="T393" s="12">
        <v>0</v>
      </c>
      <c r="U393" s="12"/>
      <c r="V393" s="12">
        <v>0</v>
      </c>
      <c r="W393" s="12">
        <v>0</v>
      </c>
      <c r="X393" s="12"/>
      <c r="Y393" s="12">
        <v>0</v>
      </c>
    </row>
    <row r="394" spans="13:25" x14ac:dyDescent="0.35">
      <c r="M394" s="6" t="s">
        <v>174</v>
      </c>
      <c r="N394" s="12"/>
      <c r="O394" s="12">
        <v>0</v>
      </c>
      <c r="P394" s="12">
        <v>0</v>
      </c>
      <c r="Q394" s="12"/>
      <c r="R394" s="12">
        <v>0</v>
      </c>
      <c r="S394" s="12">
        <v>0</v>
      </c>
      <c r="T394" s="12">
        <v>0</v>
      </c>
      <c r="U394" s="12"/>
      <c r="V394" s="12">
        <v>0</v>
      </c>
      <c r="W394" s="12">
        <v>0</v>
      </c>
      <c r="X394" s="12"/>
      <c r="Y394" s="12">
        <v>0</v>
      </c>
    </row>
    <row r="395" spans="13:25" x14ac:dyDescent="0.35">
      <c r="M395" s="6" t="s">
        <v>170</v>
      </c>
      <c r="N395" s="12"/>
      <c r="O395" s="12">
        <v>0</v>
      </c>
      <c r="P395" s="12">
        <v>0</v>
      </c>
      <c r="Q395" s="12"/>
      <c r="R395" s="12">
        <v>0</v>
      </c>
      <c r="S395" s="12">
        <v>0</v>
      </c>
      <c r="T395" s="12">
        <v>0</v>
      </c>
      <c r="U395" s="12"/>
      <c r="V395" s="12">
        <v>0</v>
      </c>
      <c r="W395" s="12">
        <v>0</v>
      </c>
      <c r="X395" s="12"/>
      <c r="Y395" s="12">
        <v>0</v>
      </c>
    </row>
    <row r="396" spans="13:25" x14ac:dyDescent="0.35">
      <c r="M396" s="6" t="s">
        <v>172</v>
      </c>
      <c r="N396" s="12"/>
      <c r="O396" s="12">
        <v>0</v>
      </c>
      <c r="P396" s="12">
        <v>0</v>
      </c>
      <c r="Q396" s="12"/>
      <c r="R396" s="12">
        <v>0</v>
      </c>
      <c r="S396" s="12">
        <v>0</v>
      </c>
      <c r="T396" s="12">
        <v>0</v>
      </c>
      <c r="U396" s="12"/>
      <c r="V396" s="12">
        <v>0</v>
      </c>
      <c r="W396" s="12">
        <v>0</v>
      </c>
      <c r="X396" s="12"/>
      <c r="Y396" s="12">
        <v>0</v>
      </c>
    </row>
    <row r="397" spans="13:25" x14ac:dyDescent="0.35">
      <c r="M397" s="6" t="s">
        <v>148</v>
      </c>
      <c r="N397" s="12"/>
      <c r="O397" s="12">
        <v>0</v>
      </c>
      <c r="P397" s="12">
        <v>0</v>
      </c>
      <c r="Q397" s="12"/>
      <c r="R397" s="12">
        <v>0</v>
      </c>
      <c r="S397" s="12">
        <v>0</v>
      </c>
      <c r="T397" s="12">
        <v>0</v>
      </c>
      <c r="U397" s="12"/>
      <c r="V397" s="12">
        <v>0</v>
      </c>
      <c r="W397" s="12">
        <v>0</v>
      </c>
      <c r="X397" s="12"/>
      <c r="Y397" s="12">
        <v>0</v>
      </c>
    </row>
    <row r="398" spans="13:25" x14ac:dyDescent="0.35">
      <c r="M398" s="6" t="s">
        <v>37</v>
      </c>
      <c r="N398" s="12"/>
      <c r="O398" s="12" t="e">
        <v>#VALUE!</v>
      </c>
      <c r="P398" s="12" t="e">
        <v>#VALUE!</v>
      </c>
      <c r="Q398" s="12"/>
      <c r="R398" s="12" t="e">
        <v>#VALUE!</v>
      </c>
      <c r="S398" s="12">
        <v>0</v>
      </c>
      <c r="T398" s="12">
        <v>0</v>
      </c>
      <c r="U398" s="12"/>
      <c r="V398" s="12">
        <v>0</v>
      </c>
      <c r="W398" s="12">
        <v>0</v>
      </c>
      <c r="X398" s="12"/>
      <c r="Y398" s="12">
        <v>0</v>
      </c>
    </row>
    <row r="399" spans="13:25" x14ac:dyDescent="0.35">
      <c r="M399" s="6" t="s">
        <v>137</v>
      </c>
      <c r="N399" s="12"/>
      <c r="O399" s="12">
        <v>0</v>
      </c>
      <c r="P399" s="12">
        <v>0</v>
      </c>
      <c r="Q399" s="12"/>
      <c r="R399" s="12">
        <v>0</v>
      </c>
      <c r="S399" s="12">
        <v>0</v>
      </c>
      <c r="T399" s="12">
        <v>0</v>
      </c>
      <c r="U399" s="12"/>
      <c r="V399" s="12">
        <v>0</v>
      </c>
      <c r="W399" s="12">
        <v>0</v>
      </c>
      <c r="X399" s="12"/>
      <c r="Y399" s="12">
        <v>0</v>
      </c>
    </row>
    <row r="400" spans="13:25" x14ac:dyDescent="0.35">
      <c r="M400" s="6" t="s">
        <v>124</v>
      </c>
      <c r="N400" s="12"/>
      <c r="O400" s="12">
        <v>0</v>
      </c>
      <c r="P400" s="12">
        <v>0</v>
      </c>
      <c r="Q400" s="12"/>
      <c r="R400" s="12">
        <v>0</v>
      </c>
      <c r="S400" s="12">
        <v>0</v>
      </c>
      <c r="T400" s="12">
        <v>0</v>
      </c>
      <c r="U400" s="12"/>
      <c r="V400" s="12">
        <v>0</v>
      </c>
      <c r="W400" s="12">
        <v>0</v>
      </c>
      <c r="X400" s="12"/>
      <c r="Y400" s="12">
        <v>0</v>
      </c>
    </row>
    <row r="401" spans="13:25" x14ac:dyDescent="0.35">
      <c r="M401" s="6" t="s">
        <v>123</v>
      </c>
      <c r="N401" s="12"/>
      <c r="O401" s="12">
        <v>0</v>
      </c>
      <c r="P401" s="12">
        <v>0</v>
      </c>
      <c r="Q401" s="12"/>
      <c r="R401" s="12">
        <v>0</v>
      </c>
      <c r="S401" s="12">
        <v>0</v>
      </c>
      <c r="T401" s="12">
        <v>0</v>
      </c>
      <c r="U401" s="12"/>
      <c r="V401" s="12">
        <v>0</v>
      </c>
      <c r="W401" s="12">
        <v>0</v>
      </c>
      <c r="X401" s="12"/>
      <c r="Y401" s="12">
        <v>0</v>
      </c>
    </row>
    <row r="402" spans="13:25" x14ac:dyDescent="0.35">
      <c r="M402" s="6" t="s">
        <v>122</v>
      </c>
      <c r="N402" s="12"/>
      <c r="O402" s="12">
        <v>0</v>
      </c>
      <c r="P402" s="12">
        <v>0</v>
      </c>
      <c r="Q402" s="12"/>
      <c r="R402" s="12">
        <v>0</v>
      </c>
      <c r="S402" s="12">
        <v>0</v>
      </c>
      <c r="T402" s="12">
        <v>0</v>
      </c>
      <c r="U402" s="12"/>
      <c r="V402" s="12">
        <v>0</v>
      </c>
      <c r="W402" s="12">
        <v>0</v>
      </c>
      <c r="X402" s="12"/>
      <c r="Y402" s="12">
        <v>0</v>
      </c>
    </row>
    <row r="403" spans="13:25" x14ac:dyDescent="0.35">
      <c r="M403" s="6" t="s">
        <v>65</v>
      </c>
      <c r="N403" s="12"/>
      <c r="O403" s="12">
        <v>0</v>
      </c>
      <c r="P403" s="12">
        <v>0</v>
      </c>
      <c r="Q403" s="12"/>
      <c r="R403" s="12">
        <v>0</v>
      </c>
      <c r="S403" s="12">
        <v>0</v>
      </c>
      <c r="T403" s="12">
        <v>0</v>
      </c>
      <c r="U403" s="12"/>
      <c r="V403" s="12">
        <v>0</v>
      </c>
      <c r="W403" s="12">
        <v>0</v>
      </c>
      <c r="X403" s="12"/>
      <c r="Y403" s="12">
        <v>0</v>
      </c>
    </row>
    <row r="404" spans="13:25" x14ac:dyDescent="0.35">
      <c r="M404" s="6" t="s">
        <v>85</v>
      </c>
      <c r="N404" s="12"/>
      <c r="O404" s="12">
        <v>0</v>
      </c>
      <c r="P404" s="12">
        <v>0</v>
      </c>
      <c r="Q404" s="12"/>
      <c r="R404" s="12">
        <v>0</v>
      </c>
      <c r="S404" s="12">
        <v>0</v>
      </c>
      <c r="T404" s="12">
        <v>0</v>
      </c>
      <c r="U404" s="12"/>
      <c r="V404" s="12">
        <v>0</v>
      </c>
      <c r="W404" s="12">
        <v>0</v>
      </c>
      <c r="X404" s="12"/>
      <c r="Y404" s="12">
        <v>0</v>
      </c>
    </row>
    <row r="405" spans="13:25" x14ac:dyDescent="0.35">
      <c r="M405" s="6" t="s">
        <v>180</v>
      </c>
      <c r="N405" s="12"/>
      <c r="O405" s="12">
        <v>0</v>
      </c>
      <c r="P405" s="12">
        <v>0</v>
      </c>
      <c r="Q405" s="12"/>
      <c r="R405" s="12">
        <v>0</v>
      </c>
      <c r="S405" s="12">
        <v>0</v>
      </c>
      <c r="T405" s="12">
        <v>0</v>
      </c>
      <c r="U405" s="12"/>
      <c r="V405" s="12">
        <v>0</v>
      </c>
      <c r="W405" s="12">
        <v>0</v>
      </c>
      <c r="X405" s="12"/>
      <c r="Y405" s="12">
        <v>0</v>
      </c>
    </row>
    <row r="406" spans="13:25" x14ac:dyDescent="0.35">
      <c r="M406" s="6" t="s">
        <v>147</v>
      </c>
      <c r="N406" s="12"/>
      <c r="O406" s="12">
        <v>0</v>
      </c>
      <c r="P406" s="12">
        <v>0</v>
      </c>
      <c r="Q406" s="12"/>
      <c r="R406" s="12">
        <v>0</v>
      </c>
      <c r="S406" s="12">
        <v>0</v>
      </c>
      <c r="T406" s="12">
        <v>0</v>
      </c>
      <c r="U406" s="12"/>
      <c r="V406" s="12">
        <v>0</v>
      </c>
      <c r="W406" s="12">
        <v>0</v>
      </c>
      <c r="X406" s="12"/>
      <c r="Y406" s="12">
        <v>0</v>
      </c>
    </row>
    <row r="407" spans="13:25" x14ac:dyDescent="0.35">
      <c r="M407" s="6" t="s">
        <v>70</v>
      </c>
      <c r="N407" s="12"/>
      <c r="O407" s="12">
        <v>0</v>
      </c>
      <c r="P407" s="12">
        <v>0</v>
      </c>
      <c r="Q407" s="12"/>
      <c r="R407" s="12">
        <v>0</v>
      </c>
      <c r="S407" s="12">
        <v>0</v>
      </c>
      <c r="T407" s="12">
        <v>0</v>
      </c>
      <c r="U407" s="12"/>
      <c r="V407" s="12">
        <v>0</v>
      </c>
      <c r="W407" s="12">
        <v>0</v>
      </c>
      <c r="X407" s="12"/>
      <c r="Y407" s="12">
        <v>0</v>
      </c>
    </row>
    <row r="408" spans="13:25" x14ac:dyDescent="0.35">
      <c r="M408" s="6" t="s">
        <v>420</v>
      </c>
      <c r="N408" s="12"/>
      <c r="O408" s="12">
        <v>0</v>
      </c>
      <c r="P408" s="12">
        <v>0</v>
      </c>
      <c r="Q408" s="12"/>
      <c r="R408" s="12">
        <v>0</v>
      </c>
      <c r="S408" s="12">
        <v>0</v>
      </c>
      <c r="T408" s="12" t="e">
        <v>#VALUE!</v>
      </c>
      <c r="U408" s="12"/>
      <c r="V408" s="12">
        <v>0</v>
      </c>
      <c r="W408" s="12">
        <v>0</v>
      </c>
      <c r="X408" s="12"/>
      <c r="Y408" s="12" t="e">
        <v>#VALUE!</v>
      </c>
    </row>
    <row r="409" spans="13:25" x14ac:dyDescent="0.35">
      <c r="M409" s="6" t="s">
        <v>410</v>
      </c>
      <c r="N409" s="12"/>
      <c r="O409" s="12">
        <v>0</v>
      </c>
      <c r="P409" s="12">
        <v>0</v>
      </c>
      <c r="Q409" s="12"/>
      <c r="R409" s="12">
        <v>0</v>
      </c>
      <c r="S409" s="12">
        <v>0</v>
      </c>
      <c r="T409" s="12" t="e">
        <v>#VALUE!</v>
      </c>
      <c r="U409" s="12"/>
      <c r="V409" s="12" t="e">
        <v>#VALUE!</v>
      </c>
      <c r="W409" s="12" t="e">
        <v>#VALUE!</v>
      </c>
      <c r="X409" s="12"/>
      <c r="Y409" s="12" t="e">
        <v>#VALUE!</v>
      </c>
    </row>
    <row r="410" spans="13:25" x14ac:dyDescent="0.35">
      <c r="M410" s="6" t="s">
        <v>409</v>
      </c>
      <c r="N410" s="12"/>
      <c r="O410" s="12">
        <v>0</v>
      </c>
      <c r="P410" s="12">
        <v>0</v>
      </c>
      <c r="Q410" s="12"/>
      <c r="R410" s="12">
        <v>0</v>
      </c>
      <c r="S410" s="12">
        <v>0</v>
      </c>
      <c r="T410" s="12" t="e">
        <v>#VALUE!</v>
      </c>
      <c r="U410" s="12"/>
      <c r="V410" s="12" t="e">
        <v>#VALUE!</v>
      </c>
      <c r="W410" s="12" t="e">
        <v>#VALUE!</v>
      </c>
      <c r="X410" s="12"/>
      <c r="Y410" s="12" t="e">
        <v>#VALUE!</v>
      </c>
    </row>
    <row r="411" spans="13:25" x14ac:dyDescent="0.35">
      <c r="M411" s="6" t="s">
        <v>419</v>
      </c>
      <c r="N411" s="12"/>
      <c r="O411" s="12">
        <v>0</v>
      </c>
      <c r="P411" s="12">
        <v>0</v>
      </c>
      <c r="Q411" s="12"/>
      <c r="R411" s="12">
        <v>0</v>
      </c>
      <c r="S411" s="12">
        <v>0</v>
      </c>
      <c r="T411" s="12" t="e">
        <v>#VALUE!</v>
      </c>
      <c r="U411" s="12"/>
      <c r="V411" s="12" t="e">
        <v>#VALUE!</v>
      </c>
      <c r="W411" s="12" t="e">
        <v>#VALUE!</v>
      </c>
      <c r="X411" s="12"/>
      <c r="Y411" s="12" t="e">
        <v>#VALUE!</v>
      </c>
    </row>
    <row r="412" spans="13:25" x14ac:dyDescent="0.35">
      <c r="M412" s="6" t="s">
        <v>408</v>
      </c>
      <c r="N412" s="12"/>
      <c r="O412" s="12">
        <v>0</v>
      </c>
      <c r="P412" s="12">
        <v>0</v>
      </c>
      <c r="Q412" s="12"/>
      <c r="R412" s="12">
        <v>0</v>
      </c>
      <c r="S412" s="12">
        <v>0</v>
      </c>
      <c r="T412" s="12" t="e">
        <v>#VALUE!</v>
      </c>
      <c r="U412" s="12"/>
      <c r="V412" s="12" t="e">
        <v>#VALUE!</v>
      </c>
      <c r="W412" s="12" t="e">
        <v>#VALUE!</v>
      </c>
      <c r="X412" s="12"/>
      <c r="Y412" s="12" t="e">
        <v>#VALUE!</v>
      </c>
    </row>
    <row r="413" spans="13:25" x14ac:dyDescent="0.35">
      <c r="M413" s="6" t="s">
        <v>407</v>
      </c>
      <c r="N413" s="12"/>
      <c r="O413" s="12">
        <v>0</v>
      </c>
      <c r="P413" s="12">
        <v>0</v>
      </c>
      <c r="Q413" s="12"/>
      <c r="R413" s="12">
        <v>0</v>
      </c>
      <c r="S413" s="12">
        <v>0</v>
      </c>
      <c r="T413" s="12" t="e">
        <v>#VALUE!</v>
      </c>
      <c r="U413" s="12"/>
      <c r="V413" s="12" t="e">
        <v>#VALUE!</v>
      </c>
      <c r="W413" s="12" t="e">
        <v>#VALUE!</v>
      </c>
      <c r="X413" s="12"/>
      <c r="Y413" s="12" t="e">
        <v>#VALUE!</v>
      </c>
    </row>
    <row r="414" spans="13:25" x14ac:dyDescent="0.35">
      <c r="M414" s="6" t="s">
        <v>236</v>
      </c>
      <c r="N414" s="12"/>
      <c r="O414" s="12">
        <v>0</v>
      </c>
      <c r="P414" s="12">
        <v>0</v>
      </c>
      <c r="Q414" s="12"/>
      <c r="R414" s="12">
        <v>0</v>
      </c>
      <c r="S414" s="12">
        <v>0</v>
      </c>
      <c r="T414" s="12">
        <v>0</v>
      </c>
      <c r="U414" s="12"/>
      <c r="V414" s="12">
        <v>0</v>
      </c>
      <c r="W414" s="12">
        <v>0</v>
      </c>
      <c r="X414" s="12"/>
      <c r="Y414" s="12">
        <v>0</v>
      </c>
    </row>
    <row r="415" spans="13:25" x14ac:dyDescent="0.35">
      <c r="M415" s="6" t="s">
        <v>263</v>
      </c>
      <c r="N415" s="12"/>
      <c r="O415" s="12">
        <v>0</v>
      </c>
      <c r="P415" s="12">
        <v>0</v>
      </c>
      <c r="Q415" s="12"/>
      <c r="R415" s="12">
        <v>0</v>
      </c>
      <c r="S415" s="12">
        <v>0</v>
      </c>
      <c r="T415" s="12">
        <v>0</v>
      </c>
      <c r="U415" s="12"/>
      <c r="V415" s="12">
        <v>0</v>
      </c>
      <c r="W415" s="12">
        <v>0</v>
      </c>
      <c r="X415" s="12"/>
      <c r="Y415" s="12">
        <v>0</v>
      </c>
    </row>
    <row r="416" spans="13:25" x14ac:dyDescent="0.35">
      <c r="M416" s="6" t="s">
        <v>237</v>
      </c>
      <c r="N416" s="12"/>
      <c r="O416" s="12">
        <v>0</v>
      </c>
      <c r="P416" s="12">
        <v>0</v>
      </c>
      <c r="Q416" s="12"/>
      <c r="R416" s="12">
        <v>0</v>
      </c>
      <c r="S416" s="12">
        <v>0</v>
      </c>
      <c r="T416" s="12">
        <v>0</v>
      </c>
      <c r="U416" s="12"/>
      <c r="V416" s="12">
        <v>0</v>
      </c>
      <c r="W416" s="12">
        <v>0</v>
      </c>
      <c r="X416" s="12"/>
      <c r="Y416" s="12">
        <v>0</v>
      </c>
    </row>
    <row r="417" spans="13:25" x14ac:dyDescent="0.35">
      <c r="M417" s="6" t="s">
        <v>224</v>
      </c>
      <c r="N417" s="12"/>
      <c r="O417" s="12">
        <v>0</v>
      </c>
      <c r="P417" s="12">
        <v>0</v>
      </c>
      <c r="Q417" s="12"/>
      <c r="R417" s="12">
        <v>0</v>
      </c>
      <c r="S417" s="12">
        <v>0</v>
      </c>
      <c r="T417" s="12">
        <v>0</v>
      </c>
      <c r="U417" s="12"/>
      <c r="V417" s="12">
        <v>0</v>
      </c>
      <c r="W417" s="12">
        <v>0</v>
      </c>
      <c r="X417" s="12"/>
      <c r="Y417" s="12">
        <v>0</v>
      </c>
    </row>
    <row r="418" spans="13:25" x14ac:dyDescent="0.35">
      <c r="M418" s="6" t="s">
        <v>232</v>
      </c>
      <c r="N418" s="12"/>
      <c r="O418" s="12">
        <v>0</v>
      </c>
      <c r="P418" s="12">
        <v>0</v>
      </c>
      <c r="Q418" s="12"/>
      <c r="R418" s="12">
        <v>0</v>
      </c>
      <c r="S418" s="12">
        <v>0</v>
      </c>
      <c r="T418" s="12">
        <v>0</v>
      </c>
      <c r="U418" s="12"/>
      <c r="V418" s="12">
        <v>0</v>
      </c>
      <c r="W418" s="12">
        <v>0</v>
      </c>
      <c r="X418" s="12"/>
      <c r="Y418" s="12">
        <v>0</v>
      </c>
    </row>
    <row r="419" spans="13:25" x14ac:dyDescent="0.35">
      <c r="M419" s="6" t="s">
        <v>226</v>
      </c>
      <c r="N419" s="12"/>
      <c r="O419" s="12">
        <v>0</v>
      </c>
      <c r="P419" s="12">
        <v>0</v>
      </c>
      <c r="Q419" s="12"/>
      <c r="R419" s="12">
        <v>0</v>
      </c>
      <c r="S419" s="12">
        <v>0</v>
      </c>
      <c r="T419" s="12">
        <v>0</v>
      </c>
      <c r="U419" s="12"/>
      <c r="V419" s="12">
        <v>0</v>
      </c>
      <c r="W419" s="12">
        <v>0</v>
      </c>
      <c r="X419" s="12"/>
      <c r="Y419" s="12">
        <v>0</v>
      </c>
    </row>
    <row r="420" spans="13:25" x14ac:dyDescent="0.35">
      <c r="M420" s="6" t="s">
        <v>256</v>
      </c>
      <c r="N420" s="12"/>
      <c r="O420" s="12">
        <v>0</v>
      </c>
      <c r="P420" s="12">
        <v>0</v>
      </c>
      <c r="Q420" s="12"/>
      <c r="R420" s="12">
        <v>0</v>
      </c>
      <c r="S420" s="12">
        <v>0</v>
      </c>
      <c r="T420" s="12">
        <v>0</v>
      </c>
      <c r="U420" s="12"/>
      <c r="V420" s="12">
        <v>0</v>
      </c>
      <c r="W420" s="12">
        <v>0</v>
      </c>
      <c r="X420" s="12"/>
      <c r="Y420" s="12">
        <v>0</v>
      </c>
    </row>
    <row r="421" spans="13:25" x14ac:dyDescent="0.35">
      <c r="M421" s="6" t="s">
        <v>258</v>
      </c>
      <c r="N421" s="12"/>
      <c r="O421" s="12">
        <v>0</v>
      </c>
      <c r="P421" s="12">
        <v>0</v>
      </c>
      <c r="Q421" s="12"/>
      <c r="R421" s="12">
        <v>0</v>
      </c>
      <c r="S421" s="12">
        <v>0</v>
      </c>
      <c r="T421" s="12">
        <v>0</v>
      </c>
      <c r="U421" s="12"/>
      <c r="V421" s="12">
        <v>0</v>
      </c>
      <c r="W421" s="12">
        <v>0</v>
      </c>
      <c r="X421" s="12"/>
      <c r="Y421" s="12">
        <v>0</v>
      </c>
    </row>
    <row r="422" spans="13:25" x14ac:dyDescent="0.35">
      <c r="M422" s="6" t="s">
        <v>266</v>
      </c>
      <c r="N422" s="12"/>
      <c r="O422" s="12">
        <v>0</v>
      </c>
      <c r="P422" s="12">
        <v>0</v>
      </c>
      <c r="Q422" s="12"/>
      <c r="R422" s="12">
        <v>0</v>
      </c>
      <c r="S422" s="12">
        <v>0</v>
      </c>
      <c r="T422" s="12">
        <v>0</v>
      </c>
      <c r="U422" s="12"/>
      <c r="V422" s="12">
        <v>0</v>
      </c>
      <c r="W422" s="12">
        <v>0</v>
      </c>
      <c r="X422" s="12"/>
      <c r="Y422" s="12">
        <v>0</v>
      </c>
    </row>
    <row r="423" spans="13:25" x14ac:dyDescent="0.35">
      <c r="M423" s="6" t="s">
        <v>262</v>
      </c>
      <c r="N423" s="12"/>
      <c r="O423" s="12">
        <v>0</v>
      </c>
      <c r="P423" s="12">
        <v>0</v>
      </c>
      <c r="Q423" s="12"/>
      <c r="R423" s="12">
        <v>0</v>
      </c>
      <c r="S423" s="12">
        <v>0</v>
      </c>
      <c r="T423" s="12">
        <v>0</v>
      </c>
      <c r="U423" s="12"/>
      <c r="V423" s="12">
        <v>0</v>
      </c>
      <c r="W423" s="12">
        <v>0</v>
      </c>
      <c r="X423" s="12"/>
      <c r="Y423" s="12">
        <v>0</v>
      </c>
    </row>
    <row r="424" spans="13:25" x14ac:dyDescent="0.35">
      <c r="M424" s="6" t="s">
        <v>234</v>
      </c>
      <c r="N424" s="12"/>
      <c r="O424" s="12">
        <v>0</v>
      </c>
      <c r="P424" s="12">
        <v>0</v>
      </c>
      <c r="Q424" s="12"/>
      <c r="R424" s="12">
        <v>0</v>
      </c>
      <c r="S424" s="12">
        <v>0</v>
      </c>
      <c r="T424" s="12">
        <v>0</v>
      </c>
      <c r="U424" s="12"/>
      <c r="V424" s="12">
        <v>0</v>
      </c>
      <c r="W424" s="12">
        <v>0</v>
      </c>
      <c r="X424" s="12"/>
      <c r="Y424" s="12">
        <v>0</v>
      </c>
    </row>
    <row r="425" spans="13:25" x14ac:dyDescent="0.35">
      <c r="M425" s="6" t="s">
        <v>293</v>
      </c>
      <c r="N425" s="12"/>
      <c r="O425" s="12">
        <v>0</v>
      </c>
      <c r="P425" s="12">
        <v>0</v>
      </c>
      <c r="Q425" s="12"/>
      <c r="R425" s="12">
        <v>0</v>
      </c>
      <c r="S425" s="12">
        <v>0</v>
      </c>
      <c r="T425" s="12">
        <v>0</v>
      </c>
      <c r="U425" s="12"/>
      <c r="V425" s="12">
        <v>0</v>
      </c>
      <c r="W425" s="12">
        <v>0</v>
      </c>
      <c r="X425" s="12"/>
      <c r="Y425" s="12">
        <v>0</v>
      </c>
    </row>
    <row r="426" spans="13:25" x14ac:dyDescent="0.35">
      <c r="M426" s="6" t="s">
        <v>223</v>
      </c>
      <c r="N426" s="12"/>
      <c r="O426" s="12">
        <v>0</v>
      </c>
      <c r="P426" s="12">
        <v>0</v>
      </c>
      <c r="Q426" s="12"/>
      <c r="R426" s="12">
        <v>0</v>
      </c>
      <c r="S426" s="12">
        <v>0</v>
      </c>
      <c r="T426" s="12">
        <v>0</v>
      </c>
      <c r="U426" s="12"/>
      <c r="V426" s="12">
        <v>0</v>
      </c>
      <c r="W426" s="12">
        <v>0</v>
      </c>
      <c r="X426" s="12"/>
      <c r="Y426" s="12">
        <v>0</v>
      </c>
    </row>
    <row r="427" spans="13:25" x14ac:dyDescent="0.35">
      <c r="M427" s="6" t="s">
        <v>264</v>
      </c>
      <c r="N427" s="12"/>
      <c r="O427" s="12">
        <v>0</v>
      </c>
      <c r="P427" s="12">
        <v>0</v>
      </c>
      <c r="Q427" s="12"/>
      <c r="R427" s="12">
        <v>0</v>
      </c>
      <c r="S427" s="12">
        <v>0</v>
      </c>
      <c r="T427" s="12">
        <v>0</v>
      </c>
      <c r="U427" s="12"/>
      <c r="V427" s="12">
        <v>0</v>
      </c>
      <c r="W427" s="12">
        <v>0</v>
      </c>
      <c r="X427" s="12"/>
      <c r="Y427" s="12">
        <v>0</v>
      </c>
    </row>
    <row r="428" spans="13:25" x14ac:dyDescent="0.35">
      <c r="M428" s="6" t="s">
        <v>462</v>
      </c>
      <c r="N428" s="12"/>
      <c r="O428" s="12">
        <v>0</v>
      </c>
      <c r="P428" s="12">
        <v>0</v>
      </c>
      <c r="Q428" s="12"/>
      <c r="R428" s="12">
        <v>0</v>
      </c>
      <c r="S428" s="12">
        <v>0</v>
      </c>
      <c r="T428" s="12">
        <v>0</v>
      </c>
      <c r="U428" s="12"/>
      <c r="V428" s="12">
        <v>0</v>
      </c>
      <c r="W428" s="12">
        <v>0</v>
      </c>
      <c r="X428" s="12"/>
      <c r="Y428" s="12">
        <v>0</v>
      </c>
    </row>
    <row r="429" spans="13:25" x14ac:dyDescent="0.35">
      <c r="M429" s="6" t="s">
        <v>466</v>
      </c>
      <c r="N429" s="12"/>
      <c r="O429" s="12">
        <v>0</v>
      </c>
      <c r="P429" s="12">
        <v>0</v>
      </c>
      <c r="Q429" s="12"/>
      <c r="R429" s="12">
        <v>0</v>
      </c>
      <c r="S429" s="12">
        <v>0</v>
      </c>
      <c r="T429" s="12">
        <v>0</v>
      </c>
      <c r="U429" s="12"/>
      <c r="V429" s="12">
        <v>0</v>
      </c>
      <c r="W429" s="12">
        <v>0</v>
      </c>
      <c r="X429" s="12"/>
      <c r="Y429" s="12">
        <v>0</v>
      </c>
    </row>
    <row r="430" spans="13:25" x14ac:dyDescent="0.35">
      <c r="M430" s="6" t="s">
        <v>248</v>
      </c>
      <c r="N430" s="12"/>
      <c r="O430" s="12">
        <v>0</v>
      </c>
      <c r="P430" s="12">
        <v>0</v>
      </c>
      <c r="Q430" s="12"/>
      <c r="R430" s="12">
        <v>0</v>
      </c>
      <c r="S430" s="12">
        <v>0</v>
      </c>
      <c r="T430" s="12">
        <v>0</v>
      </c>
      <c r="U430" s="12"/>
      <c r="V430" s="12">
        <v>0</v>
      </c>
      <c r="W430" s="12">
        <v>0</v>
      </c>
      <c r="X430" s="12"/>
      <c r="Y430" s="12">
        <v>0</v>
      </c>
    </row>
    <row r="431" spans="13:25" x14ac:dyDescent="0.35">
      <c r="M431" s="6" t="s">
        <v>255</v>
      </c>
      <c r="N431" s="12"/>
      <c r="O431" s="12">
        <v>0</v>
      </c>
      <c r="P431" s="12">
        <v>0</v>
      </c>
      <c r="Q431" s="12"/>
      <c r="R431" s="12">
        <v>0</v>
      </c>
      <c r="S431" s="12">
        <v>0</v>
      </c>
      <c r="T431" s="12">
        <v>0</v>
      </c>
      <c r="U431" s="12"/>
      <c r="V431" s="12">
        <v>0</v>
      </c>
      <c r="W431" s="12">
        <v>0</v>
      </c>
      <c r="X431" s="12"/>
      <c r="Y431" s="12">
        <v>0</v>
      </c>
    </row>
    <row r="432" spans="13:25" x14ac:dyDescent="0.35">
      <c r="M432" s="6" t="s">
        <v>244</v>
      </c>
      <c r="N432" s="12"/>
      <c r="O432" s="12">
        <v>0</v>
      </c>
      <c r="P432" s="12">
        <v>0</v>
      </c>
      <c r="Q432" s="12"/>
      <c r="R432" s="12">
        <v>0</v>
      </c>
      <c r="S432" s="12">
        <v>0</v>
      </c>
      <c r="T432" s="12">
        <v>0</v>
      </c>
      <c r="U432" s="12"/>
      <c r="V432" s="12">
        <v>0</v>
      </c>
      <c r="W432" s="12">
        <v>0</v>
      </c>
      <c r="X432" s="12"/>
      <c r="Y432" s="12">
        <v>0</v>
      </c>
    </row>
    <row r="433" spans="13:25" x14ac:dyDescent="0.35">
      <c r="M433" s="6" t="s">
        <v>259</v>
      </c>
      <c r="N433" s="12"/>
      <c r="O433" s="12">
        <v>0</v>
      </c>
      <c r="P433" s="12">
        <v>0</v>
      </c>
      <c r="Q433" s="12"/>
      <c r="R433" s="12">
        <v>0</v>
      </c>
      <c r="S433" s="12">
        <v>0</v>
      </c>
      <c r="T433" s="12">
        <v>0</v>
      </c>
      <c r="U433" s="12"/>
      <c r="V433" s="12">
        <v>0</v>
      </c>
      <c r="W433" s="12">
        <v>0</v>
      </c>
      <c r="X433" s="12"/>
      <c r="Y433" s="12">
        <v>0</v>
      </c>
    </row>
    <row r="434" spans="13:25" x14ac:dyDescent="0.35">
      <c r="M434" s="6" t="s">
        <v>270</v>
      </c>
      <c r="N434" s="12"/>
      <c r="O434" s="12">
        <v>0</v>
      </c>
      <c r="P434" s="12">
        <v>0</v>
      </c>
      <c r="Q434" s="12"/>
      <c r="R434" s="12">
        <v>0</v>
      </c>
      <c r="S434" s="12">
        <v>0</v>
      </c>
      <c r="T434" s="12">
        <v>0</v>
      </c>
      <c r="U434" s="12"/>
      <c r="V434" s="12">
        <v>0</v>
      </c>
      <c r="W434" s="12">
        <v>0</v>
      </c>
      <c r="X434" s="12"/>
      <c r="Y434" s="12">
        <v>0</v>
      </c>
    </row>
    <row r="435" spans="13:25" x14ac:dyDescent="0.35">
      <c r="M435" s="6" t="s">
        <v>239</v>
      </c>
      <c r="N435" s="12"/>
      <c r="O435" s="12">
        <v>0</v>
      </c>
      <c r="P435" s="12">
        <v>0</v>
      </c>
      <c r="Q435" s="12"/>
      <c r="R435" s="12">
        <v>0</v>
      </c>
      <c r="S435" s="12">
        <v>0</v>
      </c>
      <c r="T435" s="12">
        <v>0</v>
      </c>
      <c r="U435" s="12"/>
      <c r="V435" s="12">
        <v>0</v>
      </c>
      <c r="W435" s="12">
        <v>0</v>
      </c>
      <c r="X435" s="12"/>
      <c r="Y435" s="12">
        <v>0</v>
      </c>
    </row>
    <row r="436" spans="13:25" x14ac:dyDescent="0.35">
      <c r="M436" s="6" t="s">
        <v>265</v>
      </c>
      <c r="N436" s="12"/>
      <c r="O436" s="12">
        <v>0</v>
      </c>
      <c r="P436" s="12">
        <v>0</v>
      </c>
      <c r="Q436" s="12"/>
      <c r="R436" s="12">
        <v>0</v>
      </c>
      <c r="S436" s="12">
        <v>0</v>
      </c>
      <c r="T436" s="12">
        <v>0</v>
      </c>
      <c r="U436" s="12"/>
      <c r="V436" s="12">
        <v>0</v>
      </c>
      <c r="W436" s="12">
        <v>0</v>
      </c>
      <c r="X436" s="12"/>
      <c r="Y436" s="12">
        <v>0</v>
      </c>
    </row>
    <row r="437" spans="13:25" x14ac:dyDescent="0.35">
      <c r="M437" s="6" t="s">
        <v>269</v>
      </c>
      <c r="N437" s="12"/>
      <c r="O437" s="12">
        <v>0</v>
      </c>
      <c r="P437" s="12">
        <v>0</v>
      </c>
      <c r="Q437" s="12"/>
      <c r="R437" s="12">
        <v>0</v>
      </c>
      <c r="S437" s="12">
        <v>0</v>
      </c>
      <c r="T437" s="12">
        <v>0</v>
      </c>
      <c r="U437" s="12"/>
      <c r="V437" s="12">
        <v>0</v>
      </c>
      <c r="W437" s="12">
        <v>0</v>
      </c>
      <c r="X437" s="12"/>
      <c r="Y437" s="12">
        <v>0</v>
      </c>
    </row>
    <row r="438" spans="13:25" x14ac:dyDescent="0.35">
      <c r="M438" s="6" t="s">
        <v>279</v>
      </c>
      <c r="N438" s="12"/>
      <c r="O438" s="12">
        <v>0</v>
      </c>
      <c r="P438" s="12">
        <v>0</v>
      </c>
      <c r="Q438" s="12"/>
      <c r="R438" s="12">
        <v>0</v>
      </c>
      <c r="S438" s="12">
        <v>0</v>
      </c>
      <c r="T438" s="12">
        <v>0</v>
      </c>
      <c r="U438" s="12"/>
      <c r="V438" s="12">
        <v>0</v>
      </c>
      <c r="W438" s="12">
        <v>0</v>
      </c>
      <c r="X438" s="12"/>
      <c r="Y438" s="12">
        <v>0</v>
      </c>
    </row>
    <row r="439" spans="13:25" x14ac:dyDescent="0.35">
      <c r="M439" s="6" t="s">
        <v>261</v>
      </c>
      <c r="N439" s="12"/>
      <c r="O439" s="12">
        <v>0</v>
      </c>
      <c r="P439" s="12">
        <v>0</v>
      </c>
      <c r="Q439" s="12"/>
      <c r="R439" s="12">
        <v>0</v>
      </c>
      <c r="S439" s="12">
        <v>0</v>
      </c>
      <c r="T439" s="12">
        <v>0</v>
      </c>
      <c r="U439" s="12"/>
      <c r="V439" s="12">
        <v>0</v>
      </c>
      <c r="W439" s="12">
        <v>0</v>
      </c>
      <c r="X439" s="12"/>
      <c r="Y439" s="12">
        <v>0</v>
      </c>
    </row>
    <row r="440" spans="13:25" x14ac:dyDescent="0.35">
      <c r="M440" s="6" t="s">
        <v>465</v>
      </c>
      <c r="N440" s="12"/>
      <c r="O440" s="12">
        <v>0</v>
      </c>
      <c r="P440" s="12">
        <v>0</v>
      </c>
      <c r="Q440" s="12"/>
      <c r="R440" s="12">
        <v>0</v>
      </c>
      <c r="S440" s="12">
        <v>0</v>
      </c>
      <c r="T440" s="12">
        <v>0</v>
      </c>
      <c r="U440" s="12"/>
      <c r="V440" s="12">
        <v>0</v>
      </c>
      <c r="W440" s="12">
        <v>0</v>
      </c>
      <c r="X440" s="12"/>
      <c r="Y440" s="12">
        <v>0</v>
      </c>
    </row>
    <row r="441" spans="13:25" x14ac:dyDescent="0.35">
      <c r="M441" s="6" t="s">
        <v>220</v>
      </c>
      <c r="N441" s="12"/>
      <c r="O441" s="12">
        <v>0</v>
      </c>
      <c r="P441" s="12">
        <v>0</v>
      </c>
      <c r="Q441" s="12"/>
      <c r="R441" s="12">
        <v>0</v>
      </c>
      <c r="S441" s="12">
        <v>0</v>
      </c>
      <c r="T441" s="12">
        <v>0</v>
      </c>
      <c r="U441" s="12"/>
      <c r="V441" s="12">
        <v>0</v>
      </c>
      <c r="W441" s="12">
        <v>0</v>
      </c>
      <c r="X441" s="12"/>
      <c r="Y441" s="12">
        <v>0</v>
      </c>
    </row>
    <row r="442" spans="13:25" x14ac:dyDescent="0.35">
      <c r="M442" s="6" t="s">
        <v>210</v>
      </c>
      <c r="N442" s="12"/>
      <c r="O442" s="12">
        <v>0</v>
      </c>
      <c r="P442" s="12">
        <v>0</v>
      </c>
      <c r="Q442" s="12"/>
      <c r="R442" s="12">
        <v>0</v>
      </c>
      <c r="S442" s="12">
        <v>0</v>
      </c>
      <c r="T442" s="12">
        <v>0</v>
      </c>
      <c r="U442" s="12"/>
      <c r="V442" s="12">
        <v>0</v>
      </c>
      <c r="W442" s="12">
        <v>0</v>
      </c>
      <c r="X442" s="12"/>
      <c r="Y442" s="12">
        <v>0</v>
      </c>
    </row>
    <row r="443" spans="13:25" x14ac:dyDescent="0.35">
      <c r="M443" s="6" t="s">
        <v>268</v>
      </c>
      <c r="N443" s="12"/>
      <c r="O443" s="12">
        <v>0</v>
      </c>
      <c r="P443" s="12">
        <v>0</v>
      </c>
      <c r="Q443" s="12"/>
      <c r="R443" s="12">
        <v>0</v>
      </c>
      <c r="S443" s="12">
        <v>0</v>
      </c>
      <c r="T443" s="12">
        <v>0</v>
      </c>
      <c r="U443" s="12"/>
      <c r="V443" s="12">
        <v>0</v>
      </c>
      <c r="W443" s="12">
        <v>0</v>
      </c>
      <c r="X443" s="12"/>
      <c r="Y443" s="12">
        <v>0</v>
      </c>
    </row>
    <row r="444" spans="13:25" x14ac:dyDescent="0.35">
      <c r="M444" s="6" t="s">
        <v>212</v>
      </c>
      <c r="N444" s="12"/>
      <c r="O444" s="12">
        <v>0</v>
      </c>
      <c r="P444" s="12">
        <v>0</v>
      </c>
      <c r="Q444" s="12"/>
      <c r="R444" s="12">
        <v>0</v>
      </c>
      <c r="S444" s="12">
        <v>0</v>
      </c>
      <c r="T444" s="12">
        <v>0</v>
      </c>
      <c r="U444" s="12"/>
      <c r="V444" s="12">
        <v>0</v>
      </c>
      <c r="W444" s="12">
        <v>0</v>
      </c>
      <c r="X444" s="12"/>
      <c r="Y444" s="12">
        <v>0</v>
      </c>
    </row>
    <row r="445" spans="13:25" x14ac:dyDescent="0.35">
      <c r="M445" s="6" t="s">
        <v>245</v>
      </c>
      <c r="N445" s="12"/>
      <c r="O445" s="12">
        <v>0</v>
      </c>
      <c r="P445" s="12">
        <v>0</v>
      </c>
      <c r="Q445" s="12"/>
      <c r="R445" s="12">
        <v>0</v>
      </c>
      <c r="S445" s="12">
        <v>0</v>
      </c>
      <c r="T445" s="12">
        <v>0</v>
      </c>
      <c r="U445" s="12"/>
      <c r="V445" s="12">
        <v>0</v>
      </c>
      <c r="W445" s="12">
        <v>0</v>
      </c>
      <c r="X445" s="12"/>
      <c r="Y445" s="12">
        <v>0</v>
      </c>
    </row>
    <row r="446" spans="13:25" x14ac:dyDescent="0.35">
      <c r="M446" s="6" t="s">
        <v>213</v>
      </c>
      <c r="N446" s="12"/>
      <c r="O446" s="12">
        <v>0</v>
      </c>
      <c r="P446" s="12">
        <v>0</v>
      </c>
      <c r="Q446" s="12"/>
      <c r="R446" s="12">
        <v>0</v>
      </c>
      <c r="S446" s="12">
        <v>0</v>
      </c>
      <c r="T446" s="12">
        <v>0</v>
      </c>
      <c r="U446" s="12"/>
      <c r="V446" s="12">
        <v>0</v>
      </c>
      <c r="W446" s="12">
        <v>0</v>
      </c>
      <c r="X446" s="12"/>
      <c r="Y446" s="12">
        <v>0</v>
      </c>
    </row>
    <row r="447" spans="13:25" x14ac:dyDescent="0.35">
      <c r="M447" s="6" t="s">
        <v>271</v>
      </c>
      <c r="N447" s="12"/>
      <c r="O447" s="12">
        <v>0</v>
      </c>
      <c r="P447" s="12">
        <v>0</v>
      </c>
      <c r="Q447" s="12"/>
      <c r="R447" s="12">
        <v>0</v>
      </c>
      <c r="S447" s="12">
        <v>0</v>
      </c>
      <c r="T447" s="12">
        <v>0</v>
      </c>
      <c r="U447" s="12"/>
      <c r="V447" s="12">
        <v>0</v>
      </c>
      <c r="W447" s="12">
        <v>0</v>
      </c>
      <c r="X447" s="12"/>
      <c r="Y447" s="12">
        <v>0</v>
      </c>
    </row>
    <row r="448" spans="13:25" x14ac:dyDescent="0.35">
      <c r="M448" s="6" t="s">
        <v>229</v>
      </c>
      <c r="N448" s="12"/>
      <c r="O448" s="12">
        <v>0</v>
      </c>
      <c r="P448" s="12">
        <v>0</v>
      </c>
      <c r="Q448" s="12"/>
      <c r="R448" s="12">
        <v>0</v>
      </c>
      <c r="S448" s="12">
        <v>0</v>
      </c>
      <c r="T448" s="12">
        <v>0</v>
      </c>
      <c r="U448" s="12"/>
      <c r="V448" s="12">
        <v>0</v>
      </c>
      <c r="W448" s="12">
        <v>0</v>
      </c>
      <c r="X448" s="12"/>
      <c r="Y448" s="12">
        <v>0</v>
      </c>
    </row>
    <row r="449" spans="13:25" x14ac:dyDescent="0.35">
      <c r="M449" s="6" t="s">
        <v>235</v>
      </c>
      <c r="N449" s="12"/>
      <c r="O449" s="12">
        <v>0</v>
      </c>
      <c r="P449" s="12">
        <v>0</v>
      </c>
      <c r="Q449" s="12"/>
      <c r="R449" s="12">
        <v>0</v>
      </c>
      <c r="S449" s="12">
        <v>0</v>
      </c>
      <c r="T449" s="12">
        <v>0</v>
      </c>
      <c r="U449" s="12"/>
      <c r="V449" s="12">
        <v>0</v>
      </c>
      <c r="W449" s="12">
        <v>0</v>
      </c>
      <c r="X449" s="12"/>
      <c r="Y449" s="12">
        <v>0</v>
      </c>
    </row>
    <row r="450" spans="13:25" x14ac:dyDescent="0.35">
      <c r="M450" s="6" t="s">
        <v>227</v>
      </c>
      <c r="N450" s="12"/>
      <c r="O450" s="12">
        <v>0</v>
      </c>
      <c r="P450" s="12">
        <v>0</v>
      </c>
      <c r="Q450" s="12"/>
      <c r="R450" s="12">
        <v>0</v>
      </c>
      <c r="S450" s="12">
        <v>0</v>
      </c>
      <c r="T450" s="12">
        <v>0</v>
      </c>
      <c r="U450" s="12"/>
      <c r="V450" s="12">
        <v>0</v>
      </c>
      <c r="W450" s="12">
        <v>0</v>
      </c>
      <c r="X450" s="12"/>
      <c r="Y450" s="12">
        <v>0</v>
      </c>
    </row>
    <row r="451" spans="13:25" x14ac:dyDescent="0.35">
      <c r="M451" s="6" t="s">
        <v>250</v>
      </c>
      <c r="N451" s="12"/>
      <c r="O451" s="12">
        <v>0</v>
      </c>
      <c r="P451" s="12">
        <v>0</v>
      </c>
      <c r="Q451" s="12"/>
      <c r="R451" s="12">
        <v>0</v>
      </c>
      <c r="S451" s="12">
        <v>0</v>
      </c>
      <c r="T451" s="12">
        <v>0</v>
      </c>
      <c r="U451" s="12"/>
      <c r="V451" s="12">
        <v>0</v>
      </c>
      <c r="W451" s="12">
        <v>0</v>
      </c>
      <c r="X451" s="12"/>
      <c r="Y451" s="12">
        <v>0</v>
      </c>
    </row>
    <row r="452" spans="13:25" x14ac:dyDescent="0.35">
      <c r="M452" s="6" t="s">
        <v>240</v>
      </c>
      <c r="N452" s="12"/>
      <c r="O452" s="12">
        <v>0</v>
      </c>
      <c r="P452" s="12">
        <v>0</v>
      </c>
      <c r="Q452" s="12"/>
      <c r="R452" s="12">
        <v>0</v>
      </c>
      <c r="S452" s="12">
        <v>0</v>
      </c>
      <c r="T452" s="12">
        <v>0</v>
      </c>
      <c r="U452" s="12"/>
      <c r="V452" s="12">
        <v>0</v>
      </c>
      <c r="W452" s="12">
        <v>0</v>
      </c>
      <c r="X452" s="12"/>
      <c r="Y452" s="12">
        <v>0</v>
      </c>
    </row>
    <row r="453" spans="13:25" x14ac:dyDescent="0.35">
      <c r="M453" s="6" t="s">
        <v>273</v>
      </c>
      <c r="N453" s="12"/>
      <c r="O453" s="12">
        <v>0</v>
      </c>
      <c r="P453" s="12">
        <v>0</v>
      </c>
      <c r="Q453" s="12"/>
      <c r="R453" s="12">
        <v>0</v>
      </c>
      <c r="S453" s="12">
        <v>0</v>
      </c>
      <c r="T453" s="12">
        <v>0</v>
      </c>
      <c r="U453" s="12"/>
      <c r="V453" s="12">
        <v>0</v>
      </c>
      <c r="W453" s="12">
        <v>0</v>
      </c>
      <c r="X453" s="12"/>
      <c r="Y453" s="12">
        <v>0</v>
      </c>
    </row>
    <row r="454" spans="13:25" x14ac:dyDescent="0.35">
      <c r="M454" s="6" t="s">
        <v>257</v>
      </c>
      <c r="N454" s="12"/>
      <c r="O454" s="12">
        <v>0</v>
      </c>
      <c r="P454" s="12">
        <v>0</v>
      </c>
      <c r="Q454" s="12"/>
      <c r="R454" s="12">
        <v>0</v>
      </c>
      <c r="S454" s="12">
        <v>0</v>
      </c>
      <c r="T454" s="12">
        <v>0</v>
      </c>
      <c r="U454" s="12"/>
      <c r="V454" s="12">
        <v>0</v>
      </c>
      <c r="W454" s="12">
        <v>0</v>
      </c>
      <c r="X454" s="12"/>
      <c r="Y454" s="12">
        <v>0</v>
      </c>
    </row>
    <row r="455" spans="13:25" x14ac:dyDescent="0.35">
      <c r="M455" s="6" t="s">
        <v>252</v>
      </c>
      <c r="N455" s="12"/>
      <c r="O455" s="12">
        <v>0</v>
      </c>
      <c r="P455" s="12">
        <v>0</v>
      </c>
      <c r="Q455" s="12"/>
      <c r="R455" s="12">
        <v>0</v>
      </c>
      <c r="S455" s="12">
        <v>0</v>
      </c>
      <c r="T455" s="12">
        <v>0</v>
      </c>
      <c r="U455" s="12"/>
      <c r="V455" s="12">
        <v>0</v>
      </c>
      <c r="W455" s="12">
        <v>0</v>
      </c>
      <c r="X455" s="12"/>
      <c r="Y455" s="12">
        <v>0</v>
      </c>
    </row>
    <row r="456" spans="13:25" x14ac:dyDescent="0.35">
      <c r="M456" s="6" t="s">
        <v>215</v>
      </c>
      <c r="N456" s="12"/>
      <c r="O456" s="12">
        <v>0</v>
      </c>
      <c r="P456" s="12">
        <v>0</v>
      </c>
      <c r="Q456" s="12"/>
      <c r="R456" s="12">
        <v>0</v>
      </c>
      <c r="S456" s="12">
        <v>0</v>
      </c>
      <c r="T456" s="12">
        <v>0</v>
      </c>
      <c r="U456" s="12"/>
      <c r="V456" s="12">
        <v>0</v>
      </c>
      <c r="W456" s="12">
        <v>0</v>
      </c>
      <c r="X456" s="12"/>
      <c r="Y456" s="12">
        <v>0</v>
      </c>
    </row>
    <row r="457" spans="13:25" x14ac:dyDescent="0.35">
      <c r="M457" s="6" t="s">
        <v>222</v>
      </c>
      <c r="N457" s="12"/>
      <c r="O457" s="12">
        <v>0</v>
      </c>
      <c r="P457" s="12">
        <v>0</v>
      </c>
      <c r="Q457" s="12"/>
      <c r="R457" s="12">
        <v>0</v>
      </c>
      <c r="S457" s="12">
        <v>0</v>
      </c>
      <c r="T457" s="12">
        <v>0</v>
      </c>
      <c r="U457" s="12"/>
      <c r="V457" s="12">
        <v>0</v>
      </c>
      <c r="W457" s="12">
        <v>0</v>
      </c>
      <c r="X457" s="12"/>
      <c r="Y457" s="12">
        <v>0</v>
      </c>
    </row>
    <row r="458" spans="13:25" x14ac:dyDescent="0.35">
      <c r="M458" s="6" t="s">
        <v>464</v>
      </c>
      <c r="N458" s="12"/>
      <c r="O458" s="12">
        <v>0</v>
      </c>
      <c r="P458" s="12">
        <v>0</v>
      </c>
      <c r="Q458" s="12"/>
      <c r="R458" s="12">
        <v>0</v>
      </c>
      <c r="S458" s="12">
        <v>0</v>
      </c>
      <c r="T458" s="12">
        <v>0</v>
      </c>
      <c r="U458" s="12"/>
      <c r="V458" s="12">
        <v>0</v>
      </c>
      <c r="W458" s="12">
        <v>0</v>
      </c>
      <c r="X458" s="12"/>
      <c r="Y458" s="12">
        <v>0</v>
      </c>
    </row>
    <row r="459" spans="13:25" x14ac:dyDescent="0.35">
      <c r="M459" s="6" t="s">
        <v>238</v>
      </c>
      <c r="N459" s="12"/>
      <c r="O459" s="12">
        <v>0</v>
      </c>
      <c r="P459" s="12">
        <v>0</v>
      </c>
      <c r="Q459" s="12"/>
      <c r="R459" s="12">
        <v>0</v>
      </c>
      <c r="S459" s="12">
        <v>0</v>
      </c>
      <c r="T459" s="12">
        <v>0</v>
      </c>
      <c r="U459" s="12"/>
      <c r="V459" s="12">
        <v>0</v>
      </c>
      <c r="W459" s="12">
        <v>0</v>
      </c>
      <c r="X459" s="12"/>
      <c r="Y459" s="12">
        <v>0</v>
      </c>
    </row>
    <row r="460" spans="13:25" x14ac:dyDescent="0.35">
      <c r="M460" s="6" t="s">
        <v>274</v>
      </c>
      <c r="N460" s="12"/>
      <c r="O460" s="12">
        <v>0</v>
      </c>
      <c r="P460" s="12">
        <v>0</v>
      </c>
      <c r="Q460" s="12"/>
      <c r="R460" s="12">
        <v>0</v>
      </c>
      <c r="S460" s="12">
        <v>0</v>
      </c>
      <c r="T460" s="12">
        <v>0</v>
      </c>
      <c r="U460" s="12"/>
      <c r="V460" s="12">
        <v>0</v>
      </c>
      <c r="W460" s="12">
        <v>0</v>
      </c>
      <c r="X460" s="12"/>
      <c r="Y460" s="12">
        <v>0</v>
      </c>
    </row>
    <row r="461" spans="13:25" x14ac:dyDescent="0.35">
      <c r="M461" s="6" t="s">
        <v>216</v>
      </c>
      <c r="N461" s="12"/>
      <c r="O461" s="12">
        <v>0</v>
      </c>
      <c r="P461" s="12">
        <v>0</v>
      </c>
      <c r="Q461" s="12"/>
      <c r="R461" s="12">
        <v>0</v>
      </c>
      <c r="S461" s="12">
        <v>0</v>
      </c>
      <c r="T461" s="12">
        <v>0</v>
      </c>
      <c r="U461" s="12"/>
      <c r="V461" s="12">
        <v>0</v>
      </c>
      <c r="W461" s="12">
        <v>0</v>
      </c>
      <c r="X461" s="12"/>
      <c r="Y461" s="12">
        <v>0</v>
      </c>
    </row>
    <row r="462" spans="13:25" x14ac:dyDescent="0.35">
      <c r="M462" s="6" t="s">
        <v>275</v>
      </c>
      <c r="N462" s="12"/>
      <c r="O462" s="12">
        <v>0</v>
      </c>
      <c r="P462" s="12">
        <v>0</v>
      </c>
      <c r="Q462" s="12"/>
      <c r="R462" s="12">
        <v>0</v>
      </c>
      <c r="S462" s="12">
        <v>0</v>
      </c>
      <c r="T462" s="12">
        <v>0</v>
      </c>
      <c r="U462" s="12"/>
      <c r="V462" s="12">
        <v>0</v>
      </c>
      <c r="W462" s="12">
        <v>0</v>
      </c>
      <c r="X462" s="12"/>
      <c r="Y462" s="12">
        <v>0</v>
      </c>
    </row>
    <row r="463" spans="13:25" x14ac:dyDescent="0.35">
      <c r="M463" s="6" t="s">
        <v>251</v>
      </c>
      <c r="N463" s="12"/>
      <c r="O463" s="12">
        <v>0</v>
      </c>
      <c r="P463" s="12">
        <v>0</v>
      </c>
      <c r="Q463" s="12"/>
      <c r="R463" s="12">
        <v>0</v>
      </c>
      <c r="S463" s="12">
        <v>0</v>
      </c>
      <c r="T463" s="12">
        <v>0</v>
      </c>
      <c r="U463" s="12"/>
      <c r="V463" s="12">
        <v>0</v>
      </c>
      <c r="W463" s="12">
        <v>0</v>
      </c>
      <c r="X463" s="12"/>
      <c r="Y463" s="12">
        <v>0</v>
      </c>
    </row>
    <row r="464" spans="13:25" x14ac:dyDescent="0.35">
      <c r="M464" s="6" t="s">
        <v>280</v>
      </c>
      <c r="N464" s="12"/>
      <c r="O464" s="12">
        <v>0</v>
      </c>
      <c r="P464" s="12">
        <v>0</v>
      </c>
      <c r="Q464" s="12"/>
      <c r="R464" s="12">
        <v>0</v>
      </c>
      <c r="S464" s="12">
        <v>0</v>
      </c>
      <c r="T464" s="12">
        <v>0</v>
      </c>
      <c r="U464" s="12"/>
      <c r="V464" s="12">
        <v>0</v>
      </c>
      <c r="W464" s="12">
        <v>0</v>
      </c>
      <c r="X464" s="12"/>
      <c r="Y464" s="12">
        <v>0</v>
      </c>
    </row>
    <row r="465" spans="13:25" x14ac:dyDescent="0.35">
      <c r="M465" s="6" t="s">
        <v>241</v>
      </c>
      <c r="N465" s="12"/>
      <c r="O465" s="12">
        <v>0</v>
      </c>
      <c r="P465" s="12">
        <v>0</v>
      </c>
      <c r="Q465" s="12"/>
      <c r="R465" s="12">
        <v>0</v>
      </c>
      <c r="S465" s="12">
        <v>0</v>
      </c>
      <c r="T465" s="12">
        <v>0</v>
      </c>
      <c r="U465" s="12"/>
      <c r="V465" s="12">
        <v>0</v>
      </c>
      <c r="W465" s="12">
        <v>0</v>
      </c>
      <c r="X465" s="12"/>
      <c r="Y465" s="12">
        <v>0</v>
      </c>
    </row>
    <row r="466" spans="13:25" x14ac:dyDescent="0.35">
      <c r="M466" s="6" t="s">
        <v>272</v>
      </c>
      <c r="N466" s="12"/>
      <c r="O466" s="12">
        <v>0</v>
      </c>
      <c r="P466" s="12">
        <v>0</v>
      </c>
      <c r="Q466" s="12"/>
      <c r="R466" s="12">
        <v>0</v>
      </c>
      <c r="S466" s="12">
        <v>0</v>
      </c>
      <c r="T466" s="12">
        <v>0</v>
      </c>
      <c r="U466" s="12"/>
      <c r="V466" s="12">
        <v>0</v>
      </c>
      <c r="W466" s="12">
        <v>0</v>
      </c>
      <c r="X466" s="12"/>
      <c r="Y466" s="12">
        <v>0</v>
      </c>
    </row>
    <row r="467" spans="13:25" x14ac:dyDescent="0.35">
      <c r="M467" s="6" t="s">
        <v>249</v>
      </c>
      <c r="N467" s="12"/>
      <c r="O467" s="12">
        <v>0</v>
      </c>
      <c r="P467" s="12">
        <v>0</v>
      </c>
      <c r="Q467" s="12"/>
      <c r="R467" s="12">
        <v>0</v>
      </c>
      <c r="S467" s="12">
        <v>0</v>
      </c>
      <c r="T467" s="12">
        <v>0</v>
      </c>
      <c r="U467" s="12"/>
      <c r="V467" s="12">
        <v>0</v>
      </c>
      <c r="W467" s="12">
        <v>0</v>
      </c>
      <c r="X467" s="12"/>
      <c r="Y467" s="12">
        <v>0</v>
      </c>
    </row>
    <row r="468" spans="13:25" x14ac:dyDescent="0.35">
      <c r="M468" s="6" t="s">
        <v>267</v>
      </c>
      <c r="N468" s="12"/>
      <c r="O468" s="12">
        <v>0</v>
      </c>
      <c r="P468" s="12">
        <v>0</v>
      </c>
      <c r="Q468" s="12"/>
      <c r="R468" s="12">
        <v>0</v>
      </c>
      <c r="S468" s="12">
        <v>0</v>
      </c>
      <c r="T468" s="12">
        <v>0</v>
      </c>
      <c r="U468" s="12"/>
      <c r="V468" s="12">
        <v>0</v>
      </c>
      <c r="W468" s="12">
        <v>0</v>
      </c>
      <c r="X468" s="12"/>
      <c r="Y468" s="12">
        <v>0</v>
      </c>
    </row>
    <row r="469" spans="13:25" x14ac:dyDescent="0.35">
      <c r="M469" s="6" t="s">
        <v>230</v>
      </c>
      <c r="N469" s="12"/>
      <c r="O469" s="12">
        <v>0</v>
      </c>
      <c r="P469" s="12">
        <v>0</v>
      </c>
      <c r="Q469" s="12"/>
      <c r="R469" s="12">
        <v>0</v>
      </c>
      <c r="S469" s="12">
        <v>0</v>
      </c>
      <c r="T469" s="12">
        <v>0</v>
      </c>
      <c r="U469" s="12"/>
      <c r="V469" s="12">
        <v>0</v>
      </c>
      <c r="W469" s="12">
        <v>0</v>
      </c>
      <c r="X469" s="12"/>
      <c r="Y469" s="12">
        <v>0</v>
      </c>
    </row>
    <row r="470" spans="13:25" x14ac:dyDescent="0.35">
      <c r="M470" s="6" t="s">
        <v>246</v>
      </c>
      <c r="N470" s="12"/>
      <c r="O470" s="12">
        <v>0</v>
      </c>
      <c r="P470" s="12">
        <v>0</v>
      </c>
      <c r="Q470" s="12"/>
      <c r="R470" s="12">
        <v>0</v>
      </c>
      <c r="S470" s="12">
        <v>0</v>
      </c>
      <c r="T470" s="12">
        <v>0</v>
      </c>
      <c r="U470" s="12"/>
      <c r="V470" s="12">
        <v>0</v>
      </c>
      <c r="W470" s="12">
        <v>0</v>
      </c>
      <c r="X470" s="12"/>
      <c r="Y470" s="12">
        <v>0</v>
      </c>
    </row>
    <row r="471" spans="13:25" x14ac:dyDescent="0.35">
      <c r="M471" s="6" t="s">
        <v>277</v>
      </c>
      <c r="N471" s="12"/>
      <c r="O471" s="12">
        <v>0</v>
      </c>
      <c r="P471" s="12">
        <v>0</v>
      </c>
      <c r="Q471" s="12"/>
      <c r="R471" s="12">
        <v>0</v>
      </c>
      <c r="S471" s="12">
        <v>0</v>
      </c>
      <c r="T471" s="12">
        <v>0</v>
      </c>
      <c r="U471" s="12"/>
      <c r="V471" s="12">
        <v>0</v>
      </c>
      <c r="W471" s="12">
        <v>0</v>
      </c>
      <c r="X471" s="12"/>
      <c r="Y471" s="12">
        <v>0</v>
      </c>
    </row>
    <row r="472" spans="13:25" x14ac:dyDescent="0.35">
      <c r="M472" s="6" t="s">
        <v>318</v>
      </c>
      <c r="N472" s="12"/>
      <c r="O472" s="12">
        <v>0</v>
      </c>
      <c r="P472" s="12">
        <v>0</v>
      </c>
      <c r="Q472" s="12"/>
      <c r="R472" s="12">
        <v>0</v>
      </c>
      <c r="S472" s="12">
        <v>0</v>
      </c>
      <c r="T472" s="12">
        <v>0</v>
      </c>
      <c r="U472" s="12"/>
      <c r="V472" s="12">
        <v>0</v>
      </c>
      <c r="W472" s="12">
        <v>0</v>
      </c>
      <c r="X472" s="12"/>
      <c r="Y472" s="12">
        <v>0</v>
      </c>
    </row>
    <row r="473" spans="13:25" x14ac:dyDescent="0.35">
      <c r="M473" s="6" t="s">
        <v>211</v>
      </c>
      <c r="N473" s="12"/>
      <c r="O473" s="12">
        <v>0</v>
      </c>
      <c r="P473" s="12">
        <v>0</v>
      </c>
      <c r="Q473" s="12"/>
      <c r="R473" s="12">
        <v>0</v>
      </c>
      <c r="S473" s="12">
        <v>0</v>
      </c>
      <c r="T473" s="12">
        <v>0</v>
      </c>
      <c r="U473" s="12"/>
      <c r="V473" s="12">
        <v>0</v>
      </c>
      <c r="W473" s="12">
        <v>0</v>
      </c>
      <c r="X473" s="12"/>
      <c r="Y473" s="12">
        <v>0</v>
      </c>
    </row>
    <row r="474" spans="13:25" x14ac:dyDescent="0.35">
      <c r="M474" s="6" t="s">
        <v>243</v>
      </c>
      <c r="N474" s="12"/>
      <c r="O474" s="12">
        <v>0</v>
      </c>
      <c r="P474" s="12">
        <v>0</v>
      </c>
      <c r="Q474" s="12"/>
      <c r="R474" s="12">
        <v>0</v>
      </c>
      <c r="S474" s="12">
        <v>0</v>
      </c>
      <c r="T474" s="12">
        <v>0</v>
      </c>
      <c r="U474" s="12"/>
      <c r="V474" s="12">
        <v>0</v>
      </c>
      <c r="W474" s="12">
        <v>0</v>
      </c>
      <c r="X474" s="12"/>
      <c r="Y474" s="12">
        <v>0</v>
      </c>
    </row>
    <row r="475" spans="13:25" x14ac:dyDescent="0.35">
      <c r="M475" s="6" t="s">
        <v>219</v>
      </c>
      <c r="N475" s="12"/>
      <c r="O475" s="12">
        <v>0</v>
      </c>
      <c r="P475" s="12">
        <v>0</v>
      </c>
      <c r="Q475" s="12"/>
      <c r="R475" s="12">
        <v>0</v>
      </c>
      <c r="S475" s="12">
        <v>0</v>
      </c>
      <c r="T475" s="12">
        <v>0</v>
      </c>
      <c r="U475" s="12"/>
      <c r="V475" s="12">
        <v>0</v>
      </c>
      <c r="W475" s="12">
        <v>0</v>
      </c>
      <c r="X475" s="12"/>
      <c r="Y475" s="12">
        <v>0</v>
      </c>
    </row>
    <row r="476" spans="13:25" x14ac:dyDescent="0.35">
      <c r="M476" s="6" t="s">
        <v>253</v>
      </c>
      <c r="N476" s="12"/>
      <c r="O476" s="12">
        <v>0</v>
      </c>
      <c r="P476" s="12">
        <v>0</v>
      </c>
      <c r="Q476" s="12"/>
      <c r="R476" s="12">
        <v>0</v>
      </c>
      <c r="S476" s="12">
        <v>0</v>
      </c>
      <c r="T476" s="12">
        <v>0</v>
      </c>
      <c r="U476" s="12"/>
      <c r="V476" s="12">
        <v>0</v>
      </c>
      <c r="W476" s="12">
        <v>0</v>
      </c>
      <c r="X476" s="12"/>
      <c r="Y476" s="12">
        <v>0</v>
      </c>
    </row>
    <row r="477" spans="13:25" x14ac:dyDescent="0.35">
      <c r="M477" s="6" t="s">
        <v>311</v>
      </c>
      <c r="N477" s="12"/>
      <c r="O477" s="12">
        <v>0</v>
      </c>
      <c r="P477" s="12">
        <v>0</v>
      </c>
      <c r="Q477" s="12"/>
      <c r="R477" s="12">
        <v>0</v>
      </c>
      <c r="S477" s="12">
        <v>0</v>
      </c>
      <c r="T477" s="12">
        <v>0</v>
      </c>
      <c r="U477" s="12"/>
      <c r="V477" s="12">
        <v>0</v>
      </c>
      <c r="W477" s="12">
        <v>0</v>
      </c>
      <c r="X477" s="12"/>
      <c r="Y477" s="12">
        <v>0</v>
      </c>
    </row>
    <row r="478" spans="13:25" x14ac:dyDescent="0.35">
      <c r="M478" s="6" t="s">
        <v>221</v>
      </c>
      <c r="N478" s="12"/>
      <c r="O478" s="12">
        <v>0</v>
      </c>
      <c r="P478" s="12">
        <v>0</v>
      </c>
      <c r="Q478" s="12"/>
      <c r="R478" s="12">
        <v>0</v>
      </c>
      <c r="S478" s="12">
        <v>0</v>
      </c>
      <c r="T478" s="12">
        <v>0</v>
      </c>
      <c r="U478" s="12"/>
      <c r="V478" s="12">
        <v>0</v>
      </c>
      <c r="W478" s="12">
        <v>0</v>
      </c>
      <c r="X478" s="12"/>
      <c r="Y478" s="12">
        <v>0</v>
      </c>
    </row>
    <row r="479" spans="13:25" x14ac:dyDescent="0.35">
      <c r="M479" s="6" t="s">
        <v>310</v>
      </c>
      <c r="N479" s="12"/>
      <c r="O479" s="12">
        <v>0</v>
      </c>
      <c r="P479" s="12">
        <v>0</v>
      </c>
      <c r="Q479" s="12"/>
      <c r="R479" s="12">
        <v>0</v>
      </c>
      <c r="S479" s="12">
        <v>0</v>
      </c>
      <c r="T479" s="12">
        <v>0</v>
      </c>
      <c r="U479" s="12"/>
      <c r="V479" s="12">
        <v>0</v>
      </c>
      <c r="W479" s="12">
        <v>0</v>
      </c>
      <c r="X479" s="12"/>
      <c r="Y479" s="12">
        <v>0</v>
      </c>
    </row>
    <row r="480" spans="13:25" x14ac:dyDescent="0.35">
      <c r="M480" s="6" t="s">
        <v>233</v>
      </c>
      <c r="N480" s="12"/>
      <c r="O480" s="12">
        <v>0</v>
      </c>
      <c r="P480" s="12">
        <v>0</v>
      </c>
      <c r="Q480" s="12"/>
      <c r="R480" s="12">
        <v>0</v>
      </c>
      <c r="S480" s="12">
        <v>0</v>
      </c>
      <c r="T480" s="12">
        <v>0</v>
      </c>
      <c r="U480" s="12"/>
      <c r="V480" s="12">
        <v>0</v>
      </c>
      <c r="W480" s="12">
        <v>0</v>
      </c>
      <c r="X480" s="12"/>
      <c r="Y480" s="12">
        <v>0</v>
      </c>
    </row>
    <row r="481" spans="13:25" x14ac:dyDescent="0.35">
      <c r="M481" s="6" t="s">
        <v>314</v>
      </c>
      <c r="N481" s="12"/>
      <c r="O481" s="12">
        <v>0</v>
      </c>
      <c r="P481" s="12">
        <v>0</v>
      </c>
      <c r="Q481" s="12"/>
      <c r="R481" s="12">
        <v>0</v>
      </c>
      <c r="S481" s="12">
        <v>0</v>
      </c>
      <c r="T481" s="12">
        <v>0</v>
      </c>
      <c r="U481" s="12"/>
      <c r="V481" s="12">
        <v>0</v>
      </c>
      <c r="W481" s="12">
        <v>0</v>
      </c>
      <c r="X481" s="12"/>
      <c r="Y481" s="12">
        <v>0</v>
      </c>
    </row>
    <row r="482" spans="13:25" x14ac:dyDescent="0.35">
      <c r="M482" s="6" t="s">
        <v>278</v>
      </c>
      <c r="N482" s="12"/>
      <c r="O482" s="12">
        <v>0</v>
      </c>
      <c r="P482" s="12">
        <v>0</v>
      </c>
      <c r="Q482" s="12"/>
      <c r="R482" s="12">
        <v>0</v>
      </c>
      <c r="S482" s="12">
        <v>0</v>
      </c>
      <c r="T482" s="12">
        <v>0</v>
      </c>
      <c r="U482" s="12"/>
      <c r="V482" s="12">
        <v>0</v>
      </c>
      <c r="W482" s="12">
        <v>0</v>
      </c>
      <c r="X482" s="12"/>
      <c r="Y482" s="12">
        <v>0</v>
      </c>
    </row>
    <row r="483" spans="13:25" x14ac:dyDescent="0.35">
      <c r="M483" s="6" t="s">
        <v>313</v>
      </c>
      <c r="N483" s="12"/>
      <c r="O483" s="12">
        <v>0</v>
      </c>
      <c r="P483" s="12">
        <v>0</v>
      </c>
      <c r="Q483" s="12"/>
      <c r="R483" s="12">
        <v>0</v>
      </c>
      <c r="S483" s="12">
        <v>0</v>
      </c>
      <c r="T483" s="12">
        <v>0</v>
      </c>
      <c r="U483" s="12"/>
      <c r="V483" s="12">
        <v>0</v>
      </c>
      <c r="W483" s="12">
        <v>0</v>
      </c>
      <c r="X483" s="12"/>
      <c r="Y483" s="12">
        <v>0</v>
      </c>
    </row>
    <row r="484" spans="13:25" x14ac:dyDescent="0.35">
      <c r="M484" s="6" t="s">
        <v>225</v>
      </c>
      <c r="N484" s="12"/>
      <c r="O484" s="12">
        <v>0</v>
      </c>
      <c r="P484" s="12">
        <v>0</v>
      </c>
      <c r="Q484" s="12"/>
      <c r="R484" s="12">
        <v>0</v>
      </c>
      <c r="S484" s="12">
        <v>0</v>
      </c>
      <c r="T484" s="12">
        <v>0</v>
      </c>
      <c r="U484" s="12"/>
      <c r="V484" s="12">
        <v>0</v>
      </c>
      <c r="W484" s="12">
        <v>0</v>
      </c>
      <c r="X484" s="12"/>
      <c r="Y484" s="12">
        <v>0</v>
      </c>
    </row>
    <row r="485" spans="13:25" x14ac:dyDescent="0.35">
      <c r="M485" s="6" t="s">
        <v>276</v>
      </c>
      <c r="N485" s="12"/>
      <c r="O485" s="12">
        <v>0</v>
      </c>
      <c r="P485" s="12">
        <v>0</v>
      </c>
      <c r="Q485" s="12"/>
      <c r="R485" s="12">
        <v>0</v>
      </c>
      <c r="S485" s="12">
        <v>0</v>
      </c>
      <c r="T485" s="12">
        <v>0</v>
      </c>
      <c r="U485" s="12"/>
      <c r="V485" s="12">
        <v>0</v>
      </c>
      <c r="W485" s="12">
        <v>0</v>
      </c>
      <c r="X485" s="12"/>
      <c r="Y485" s="12">
        <v>0</v>
      </c>
    </row>
    <row r="486" spans="13:25" x14ac:dyDescent="0.35">
      <c r="M486" s="6" t="s">
        <v>260</v>
      </c>
      <c r="N486" s="12"/>
      <c r="O486" s="12">
        <v>0</v>
      </c>
      <c r="P486" s="12">
        <v>0</v>
      </c>
      <c r="Q486" s="12"/>
      <c r="R486" s="12">
        <v>0</v>
      </c>
      <c r="S486" s="12">
        <v>0</v>
      </c>
      <c r="T486" s="12">
        <v>0</v>
      </c>
      <c r="U486" s="12"/>
      <c r="V486" s="12">
        <v>0</v>
      </c>
      <c r="W486" s="12">
        <v>0</v>
      </c>
      <c r="X486" s="12"/>
      <c r="Y486" s="12">
        <v>0</v>
      </c>
    </row>
    <row r="487" spans="13:25" x14ac:dyDescent="0.35">
      <c r="M487" s="6" t="s">
        <v>297</v>
      </c>
      <c r="N487" s="12"/>
      <c r="O487" s="12">
        <v>0</v>
      </c>
      <c r="P487" s="12">
        <v>0</v>
      </c>
      <c r="Q487" s="12"/>
      <c r="R487" s="12">
        <v>0</v>
      </c>
      <c r="S487" s="12">
        <v>0</v>
      </c>
      <c r="T487" s="12">
        <v>0</v>
      </c>
      <c r="U487" s="12"/>
      <c r="V487" s="12">
        <v>0</v>
      </c>
      <c r="W487" s="12">
        <v>0</v>
      </c>
      <c r="X487" s="12"/>
      <c r="Y487" s="12">
        <v>0</v>
      </c>
    </row>
    <row r="488" spans="13:25" x14ac:dyDescent="0.35">
      <c r="M488" s="6" t="s">
        <v>284</v>
      </c>
      <c r="N488" s="12"/>
      <c r="O488" s="12">
        <v>0</v>
      </c>
      <c r="P488" s="12">
        <v>0</v>
      </c>
      <c r="Q488" s="12"/>
      <c r="R488" s="12">
        <v>0</v>
      </c>
      <c r="S488" s="12">
        <v>0</v>
      </c>
      <c r="T488" s="12">
        <v>0</v>
      </c>
      <c r="U488" s="12"/>
      <c r="V488" s="12">
        <v>0</v>
      </c>
      <c r="W488" s="12">
        <v>0</v>
      </c>
      <c r="X488" s="12"/>
      <c r="Y488" s="12">
        <v>0</v>
      </c>
    </row>
    <row r="489" spans="13:25" x14ac:dyDescent="0.35">
      <c r="M489" s="6" t="s">
        <v>301</v>
      </c>
      <c r="N489" s="12"/>
      <c r="O489" s="12">
        <v>0</v>
      </c>
      <c r="P489" s="12">
        <v>0</v>
      </c>
      <c r="Q489" s="12"/>
      <c r="R489" s="12">
        <v>0</v>
      </c>
      <c r="S489" s="12">
        <v>0</v>
      </c>
      <c r="T489" s="12">
        <v>0</v>
      </c>
      <c r="U489" s="12"/>
      <c r="V489" s="12">
        <v>0</v>
      </c>
      <c r="W489" s="12">
        <v>0</v>
      </c>
      <c r="X489" s="12"/>
      <c r="Y489" s="12">
        <v>0</v>
      </c>
    </row>
    <row r="490" spans="13:25" x14ac:dyDescent="0.35">
      <c r="M490" s="6" t="s">
        <v>285</v>
      </c>
      <c r="N490" s="12"/>
      <c r="O490" s="12">
        <v>0</v>
      </c>
      <c r="P490" s="12">
        <v>0</v>
      </c>
      <c r="Q490" s="12"/>
      <c r="R490" s="12">
        <v>0</v>
      </c>
      <c r="S490" s="12">
        <v>0</v>
      </c>
      <c r="T490" s="12">
        <v>0</v>
      </c>
      <c r="U490" s="12"/>
      <c r="V490" s="12">
        <v>0</v>
      </c>
      <c r="W490" s="12">
        <v>0</v>
      </c>
      <c r="X490" s="12"/>
      <c r="Y490" s="12">
        <v>0</v>
      </c>
    </row>
    <row r="491" spans="13:25" x14ac:dyDescent="0.35">
      <c r="M491" s="6" t="s">
        <v>306</v>
      </c>
      <c r="N491" s="12"/>
      <c r="O491" s="12">
        <v>0</v>
      </c>
      <c r="P491" s="12">
        <v>0</v>
      </c>
      <c r="Q491" s="12"/>
      <c r="R491" s="12">
        <v>0</v>
      </c>
      <c r="S491" s="12">
        <v>0</v>
      </c>
      <c r="T491" s="12">
        <v>0</v>
      </c>
      <c r="U491" s="12"/>
      <c r="V491" s="12">
        <v>0</v>
      </c>
      <c r="W491" s="12">
        <v>0</v>
      </c>
      <c r="X491" s="12"/>
      <c r="Y491" s="12">
        <v>0</v>
      </c>
    </row>
    <row r="492" spans="13:25" x14ac:dyDescent="0.35">
      <c r="M492" s="6" t="s">
        <v>286</v>
      </c>
      <c r="N492" s="12"/>
      <c r="O492" s="12">
        <v>0</v>
      </c>
      <c r="P492" s="12">
        <v>0</v>
      </c>
      <c r="Q492" s="12"/>
      <c r="R492" s="12">
        <v>0</v>
      </c>
      <c r="S492" s="12">
        <v>0</v>
      </c>
      <c r="T492" s="12">
        <v>0</v>
      </c>
      <c r="U492" s="12"/>
      <c r="V492" s="12">
        <v>0</v>
      </c>
      <c r="W492" s="12">
        <v>0</v>
      </c>
      <c r="X492" s="12"/>
      <c r="Y492" s="12">
        <v>0</v>
      </c>
    </row>
    <row r="493" spans="13:25" x14ac:dyDescent="0.35">
      <c r="M493" s="6" t="s">
        <v>307</v>
      </c>
      <c r="N493" s="12"/>
      <c r="O493" s="12">
        <v>0</v>
      </c>
      <c r="P493" s="12">
        <v>0</v>
      </c>
      <c r="Q493" s="12"/>
      <c r="R493" s="12">
        <v>0</v>
      </c>
      <c r="S493" s="12">
        <v>0</v>
      </c>
      <c r="T493" s="12">
        <v>0</v>
      </c>
      <c r="U493" s="12"/>
      <c r="V493" s="12">
        <v>0</v>
      </c>
      <c r="W493" s="12">
        <v>0</v>
      </c>
      <c r="X493" s="12"/>
      <c r="Y493" s="12">
        <v>0</v>
      </c>
    </row>
    <row r="494" spans="13:25" x14ac:dyDescent="0.35">
      <c r="M494" s="6" t="s">
        <v>292</v>
      </c>
      <c r="N494" s="12"/>
      <c r="O494" s="12">
        <v>0</v>
      </c>
      <c r="P494" s="12">
        <v>0</v>
      </c>
      <c r="Q494" s="12"/>
      <c r="R494" s="12">
        <v>0</v>
      </c>
      <c r="S494" s="12">
        <v>0</v>
      </c>
      <c r="T494" s="12">
        <v>0</v>
      </c>
      <c r="U494" s="12"/>
      <c r="V494" s="12">
        <v>0</v>
      </c>
      <c r="W494" s="12">
        <v>0</v>
      </c>
      <c r="X494" s="12"/>
      <c r="Y494" s="12">
        <v>0</v>
      </c>
    </row>
    <row r="495" spans="13:25" x14ac:dyDescent="0.35">
      <c r="M495" s="6" t="s">
        <v>300</v>
      </c>
      <c r="N495" s="12"/>
      <c r="O495" s="12">
        <v>0</v>
      </c>
      <c r="P495" s="12">
        <v>0</v>
      </c>
      <c r="Q495" s="12"/>
      <c r="R495" s="12">
        <v>0</v>
      </c>
      <c r="S495" s="12">
        <v>0</v>
      </c>
      <c r="T495" s="12">
        <v>0</v>
      </c>
      <c r="U495" s="12"/>
      <c r="V495" s="12">
        <v>0</v>
      </c>
      <c r="W495" s="12">
        <v>0</v>
      </c>
      <c r="X495" s="12"/>
      <c r="Y495" s="12">
        <v>0</v>
      </c>
    </row>
    <row r="496" spans="13:25" x14ac:dyDescent="0.35">
      <c r="M496" s="6" t="s">
        <v>304</v>
      </c>
      <c r="N496" s="12"/>
      <c r="O496" s="12">
        <v>0</v>
      </c>
      <c r="P496" s="12">
        <v>0</v>
      </c>
      <c r="Q496" s="12"/>
      <c r="R496" s="12">
        <v>0</v>
      </c>
      <c r="S496" s="12">
        <v>0</v>
      </c>
      <c r="T496" s="12">
        <v>0</v>
      </c>
      <c r="U496" s="12"/>
      <c r="V496" s="12">
        <v>0</v>
      </c>
      <c r="W496" s="12">
        <v>0</v>
      </c>
      <c r="X496" s="12"/>
      <c r="Y496" s="12">
        <v>0</v>
      </c>
    </row>
    <row r="497" spans="13:25" x14ac:dyDescent="0.35">
      <c r="M497" s="6" t="s">
        <v>283</v>
      </c>
      <c r="N497" s="12"/>
      <c r="O497" s="12">
        <v>0</v>
      </c>
      <c r="P497" s="12">
        <v>0</v>
      </c>
      <c r="Q497" s="12"/>
      <c r="R497" s="12">
        <v>0</v>
      </c>
      <c r="S497" s="12">
        <v>0</v>
      </c>
      <c r="T497" s="12">
        <v>0</v>
      </c>
      <c r="U497" s="12"/>
      <c r="V497" s="12">
        <v>0</v>
      </c>
      <c r="W497" s="12">
        <v>0</v>
      </c>
      <c r="X497" s="12"/>
      <c r="Y497" s="12">
        <v>0</v>
      </c>
    </row>
    <row r="498" spans="13:25" x14ac:dyDescent="0.35">
      <c r="M498" s="6" t="s">
        <v>312</v>
      </c>
      <c r="N498" s="12"/>
      <c r="O498" s="12">
        <v>0</v>
      </c>
      <c r="P498" s="12">
        <v>0</v>
      </c>
      <c r="Q498" s="12"/>
      <c r="R498" s="12">
        <v>0</v>
      </c>
      <c r="S498" s="12">
        <v>0</v>
      </c>
      <c r="T498" s="12">
        <v>0</v>
      </c>
      <c r="U498" s="12"/>
      <c r="V498" s="12">
        <v>0</v>
      </c>
      <c r="W498" s="12">
        <v>0</v>
      </c>
      <c r="X498" s="12"/>
      <c r="Y498" s="12">
        <v>0</v>
      </c>
    </row>
    <row r="499" spans="13:25" x14ac:dyDescent="0.35">
      <c r="M499" s="6" t="s">
        <v>303</v>
      </c>
      <c r="N499" s="12"/>
      <c r="O499" s="12">
        <v>0</v>
      </c>
      <c r="P499" s="12">
        <v>0</v>
      </c>
      <c r="Q499" s="12"/>
      <c r="R499" s="12">
        <v>0</v>
      </c>
      <c r="S499" s="12">
        <v>0</v>
      </c>
      <c r="T499" s="12">
        <v>0</v>
      </c>
      <c r="U499" s="12"/>
      <c r="V499" s="12">
        <v>0</v>
      </c>
      <c r="W499" s="12">
        <v>0</v>
      </c>
      <c r="X499" s="12"/>
      <c r="Y499" s="12">
        <v>0</v>
      </c>
    </row>
    <row r="500" spans="13:25" x14ac:dyDescent="0.35">
      <c r="M500" s="6" t="s">
        <v>281</v>
      </c>
      <c r="N500" s="12"/>
      <c r="O500" s="12">
        <v>0</v>
      </c>
      <c r="P500" s="12">
        <v>0</v>
      </c>
      <c r="Q500" s="12"/>
      <c r="R500" s="12">
        <v>0</v>
      </c>
      <c r="S500" s="12">
        <v>0</v>
      </c>
      <c r="T500" s="12">
        <v>0</v>
      </c>
      <c r="U500" s="12"/>
      <c r="V500" s="12">
        <v>0</v>
      </c>
      <c r="W500" s="12">
        <v>0</v>
      </c>
      <c r="X500" s="12"/>
      <c r="Y500" s="12">
        <v>0</v>
      </c>
    </row>
    <row r="501" spans="13:25" x14ac:dyDescent="0.35">
      <c r="M501" s="6" t="s">
        <v>289</v>
      </c>
      <c r="N501" s="12"/>
      <c r="O501" s="12">
        <v>0</v>
      </c>
      <c r="P501" s="12">
        <v>0</v>
      </c>
      <c r="Q501" s="12"/>
      <c r="R501" s="12">
        <v>0</v>
      </c>
      <c r="S501" s="12">
        <v>0</v>
      </c>
      <c r="T501" s="12">
        <v>0</v>
      </c>
      <c r="U501" s="12"/>
      <c r="V501" s="12">
        <v>0</v>
      </c>
      <c r="W501" s="12">
        <v>0</v>
      </c>
      <c r="X501" s="12"/>
      <c r="Y501" s="12">
        <v>0</v>
      </c>
    </row>
    <row r="502" spans="13:25" x14ac:dyDescent="0.35">
      <c r="M502" s="6" t="s">
        <v>287</v>
      </c>
      <c r="N502" s="12"/>
      <c r="O502" s="12">
        <v>0</v>
      </c>
      <c r="P502" s="12">
        <v>0</v>
      </c>
      <c r="Q502" s="12"/>
      <c r="R502" s="12">
        <v>0</v>
      </c>
      <c r="S502" s="12">
        <v>0</v>
      </c>
      <c r="T502" s="12">
        <v>0</v>
      </c>
      <c r="U502" s="12"/>
      <c r="V502" s="12">
        <v>0</v>
      </c>
      <c r="W502" s="12">
        <v>0</v>
      </c>
      <c r="X502" s="12"/>
      <c r="Y502" s="12">
        <v>0</v>
      </c>
    </row>
    <row r="503" spans="13:25" x14ac:dyDescent="0.35">
      <c r="M503" s="6" t="s">
        <v>302</v>
      </c>
      <c r="N503" s="12"/>
      <c r="O503" s="12">
        <v>0</v>
      </c>
      <c r="P503" s="12">
        <v>0</v>
      </c>
      <c r="Q503" s="12"/>
      <c r="R503" s="12">
        <v>0</v>
      </c>
      <c r="S503" s="12">
        <v>0</v>
      </c>
      <c r="T503" s="12">
        <v>0</v>
      </c>
      <c r="U503" s="12"/>
      <c r="V503" s="12">
        <v>0</v>
      </c>
      <c r="W503" s="12">
        <v>0</v>
      </c>
      <c r="X503" s="12"/>
      <c r="Y503" s="12">
        <v>0</v>
      </c>
    </row>
    <row r="504" spans="13:25" x14ac:dyDescent="0.35">
      <c r="M504" s="6" t="s">
        <v>317</v>
      </c>
      <c r="N504" s="12"/>
      <c r="O504" s="12">
        <v>0</v>
      </c>
      <c r="P504" s="12">
        <v>0</v>
      </c>
      <c r="Q504" s="12"/>
      <c r="R504" s="12">
        <v>0</v>
      </c>
      <c r="S504" s="12">
        <v>0</v>
      </c>
      <c r="T504" s="12">
        <v>0</v>
      </c>
      <c r="U504" s="12"/>
      <c r="V504" s="12">
        <v>0</v>
      </c>
      <c r="W504" s="12">
        <v>0</v>
      </c>
      <c r="X504" s="12"/>
      <c r="Y504" s="12">
        <v>0</v>
      </c>
    </row>
    <row r="505" spans="13:25" x14ac:dyDescent="0.35">
      <c r="M505" s="6" t="s">
        <v>320</v>
      </c>
      <c r="N505" s="12"/>
      <c r="O505" s="12">
        <v>0</v>
      </c>
      <c r="P505" s="12">
        <v>0</v>
      </c>
      <c r="Q505" s="12"/>
      <c r="R505" s="12">
        <v>0</v>
      </c>
      <c r="S505" s="12">
        <v>0</v>
      </c>
      <c r="T505" s="12">
        <v>0</v>
      </c>
      <c r="U505" s="12"/>
      <c r="V505" s="12">
        <v>0</v>
      </c>
      <c r="W505" s="12">
        <v>0</v>
      </c>
      <c r="X505" s="12"/>
      <c r="Y505" s="12">
        <v>0</v>
      </c>
    </row>
    <row r="506" spans="13:25" x14ac:dyDescent="0.35">
      <c r="M506" s="6" t="s">
        <v>319</v>
      </c>
      <c r="N506" s="12"/>
      <c r="O506" s="12">
        <v>0</v>
      </c>
      <c r="P506" s="12">
        <v>0</v>
      </c>
      <c r="Q506" s="12"/>
      <c r="R506" s="12">
        <v>0</v>
      </c>
      <c r="S506" s="12">
        <v>0</v>
      </c>
      <c r="T506" s="12">
        <v>0</v>
      </c>
      <c r="U506" s="12"/>
      <c r="V506" s="12">
        <v>0</v>
      </c>
      <c r="W506" s="12">
        <v>0</v>
      </c>
      <c r="X506" s="12"/>
      <c r="Y506" s="12">
        <v>0</v>
      </c>
    </row>
    <row r="507" spans="13:25" x14ac:dyDescent="0.35">
      <c r="M507" s="6" t="s">
        <v>299</v>
      </c>
      <c r="N507" s="12"/>
      <c r="O507" s="12">
        <v>0</v>
      </c>
      <c r="P507" s="12">
        <v>0</v>
      </c>
      <c r="Q507" s="12"/>
      <c r="R507" s="12">
        <v>0</v>
      </c>
      <c r="S507" s="12">
        <v>0</v>
      </c>
      <c r="T507" s="12">
        <v>0</v>
      </c>
      <c r="U507" s="12"/>
      <c r="V507" s="12">
        <v>0</v>
      </c>
      <c r="W507" s="12">
        <v>0</v>
      </c>
      <c r="X507" s="12"/>
      <c r="Y507" s="12">
        <v>0</v>
      </c>
    </row>
    <row r="508" spans="13:25" x14ac:dyDescent="0.35">
      <c r="M508" s="6" t="s">
        <v>290</v>
      </c>
      <c r="N508" s="12"/>
      <c r="O508" s="12">
        <v>0</v>
      </c>
      <c r="P508" s="12">
        <v>0</v>
      </c>
      <c r="Q508" s="12"/>
      <c r="R508" s="12">
        <v>0</v>
      </c>
      <c r="S508" s="12">
        <v>0</v>
      </c>
      <c r="T508" s="12">
        <v>0</v>
      </c>
      <c r="U508" s="12"/>
      <c r="V508" s="12">
        <v>0</v>
      </c>
      <c r="W508" s="12">
        <v>0</v>
      </c>
      <c r="X508" s="12"/>
      <c r="Y508" s="12">
        <v>0</v>
      </c>
    </row>
    <row r="509" spans="13:25" x14ac:dyDescent="0.35">
      <c r="M509" s="6" t="s">
        <v>316</v>
      </c>
      <c r="N509" s="12"/>
      <c r="O509" s="12">
        <v>0</v>
      </c>
      <c r="P509" s="12">
        <v>0</v>
      </c>
      <c r="Q509" s="12"/>
      <c r="R509" s="12">
        <v>0</v>
      </c>
      <c r="S509" s="12">
        <v>0</v>
      </c>
      <c r="T509" s="12">
        <v>0</v>
      </c>
      <c r="U509" s="12"/>
      <c r="V509" s="12">
        <v>0</v>
      </c>
      <c r="W509" s="12">
        <v>0</v>
      </c>
      <c r="X509" s="12"/>
      <c r="Y509" s="12">
        <v>0</v>
      </c>
    </row>
    <row r="510" spans="13:25" x14ac:dyDescent="0.35">
      <c r="M510" s="6" t="s">
        <v>309</v>
      </c>
      <c r="N510" s="12"/>
      <c r="O510" s="12">
        <v>0</v>
      </c>
      <c r="P510" s="12">
        <v>0</v>
      </c>
      <c r="Q510" s="12"/>
      <c r="R510" s="12">
        <v>0</v>
      </c>
      <c r="S510" s="12">
        <v>0</v>
      </c>
      <c r="T510" s="12">
        <v>0</v>
      </c>
      <c r="U510" s="12"/>
      <c r="V510" s="12">
        <v>0</v>
      </c>
      <c r="W510" s="12">
        <v>0</v>
      </c>
      <c r="X510" s="12"/>
      <c r="Y510" s="12">
        <v>0</v>
      </c>
    </row>
    <row r="511" spans="13:25" x14ac:dyDescent="0.35">
      <c r="M511" s="6" t="s">
        <v>308</v>
      </c>
      <c r="N511" s="12"/>
      <c r="O511" s="12">
        <v>0</v>
      </c>
      <c r="P511" s="12">
        <v>0</v>
      </c>
      <c r="Q511" s="12"/>
      <c r="R511" s="12">
        <v>0</v>
      </c>
      <c r="S511" s="12">
        <v>0</v>
      </c>
      <c r="T511" s="12">
        <v>0</v>
      </c>
      <c r="U511" s="12"/>
      <c r="V511" s="12">
        <v>0</v>
      </c>
      <c r="W511" s="12">
        <v>0</v>
      </c>
      <c r="X511" s="12"/>
      <c r="Y511" s="12">
        <v>0</v>
      </c>
    </row>
    <row r="512" spans="13:25" x14ac:dyDescent="0.35">
      <c r="M512" s="6" t="s">
        <v>294</v>
      </c>
      <c r="N512" s="12"/>
      <c r="O512" s="12">
        <v>0</v>
      </c>
      <c r="P512" s="12">
        <v>0</v>
      </c>
      <c r="Q512" s="12"/>
      <c r="R512" s="12">
        <v>0</v>
      </c>
      <c r="S512" s="12">
        <v>0</v>
      </c>
      <c r="T512" s="12">
        <v>0</v>
      </c>
      <c r="U512" s="12"/>
      <c r="V512" s="12">
        <v>0</v>
      </c>
      <c r="W512" s="12">
        <v>0</v>
      </c>
      <c r="X512" s="12"/>
      <c r="Y512" s="12">
        <v>0</v>
      </c>
    </row>
    <row r="513" spans="13:25" x14ac:dyDescent="0.35">
      <c r="M513" s="6" t="s">
        <v>295</v>
      </c>
      <c r="N513" s="12"/>
      <c r="O513" s="12">
        <v>0</v>
      </c>
      <c r="P513" s="12">
        <v>0</v>
      </c>
      <c r="Q513" s="12"/>
      <c r="R513" s="12">
        <v>0</v>
      </c>
      <c r="S513" s="12">
        <v>0</v>
      </c>
      <c r="T513" s="12">
        <v>0</v>
      </c>
      <c r="U513" s="12"/>
      <c r="V513" s="12">
        <v>0</v>
      </c>
      <c r="W513" s="12">
        <v>0</v>
      </c>
      <c r="X513" s="12"/>
      <c r="Y513" s="12">
        <v>0</v>
      </c>
    </row>
    <row r="514" spans="13:25" x14ac:dyDescent="0.35">
      <c r="M514" s="6" t="s">
        <v>315</v>
      </c>
      <c r="N514" s="12"/>
      <c r="O514" s="12">
        <v>0</v>
      </c>
      <c r="P514" s="12">
        <v>0</v>
      </c>
      <c r="Q514" s="12"/>
      <c r="R514" s="12">
        <v>0</v>
      </c>
      <c r="S514" s="12">
        <v>0</v>
      </c>
      <c r="T514" s="12">
        <v>0</v>
      </c>
      <c r="U514" s="12"/>
      <c r="V514" s="12">
        <v>0</v>
      </c>
      <c r="W514" s="12">
        <v>0</v>
      </c>
      <c r="X514" s="12"/>
      <c r="Y514" s="12">
        <v>0</v>
      </c>
    </row>
    <row r="515" spans="13:25" x14ac:dyDescent="0.35">
      <c r="M515" s="6" t="s">
        <v>282</v>
      </c>
      <c r="N515" s="12"/>
      <c r="O515" s="12">
        <v>0</v>
      </c>
      <c r="P515" s="12">
        <v>0</v>
      </c>
      <c r="Q515" s="12"/>
      <c r="R515" s="12">
        <v>0</v>
      </c>
      <c r="S515" s="12">
        <v>0</v>
      </c>
      <c r="T515" s="12">
        <v>0</v>
      </c>
      <c r="U515" s="12"/>
      <c r="V515" s="12">
        <v>0</v>
      </c>
      <c r="W515" s="12">
        <v>0</v>
      </c>
      <c r="X515" s="12"/>
      <c r="Y515" s="12">
        <v>0</v>
      </c>
    </row>
    <row r="516" spans="13:25" x14ac:dyDescent="0.35">
      <c r="M516" s="6" t="s">
        <v>298</v>
      </c>
      <c r="N516" s="12"/>
      <c r="O516" s="12">
        <v>0</v>
      </c>
      <c r="P516" s="12">
        <v>0</v>
      </c>
      <c r="Q516" s="12"/>
      <c r="R516" s="12">
        <v>0</v>
      </c>
      <c r="S516" s="12">
        <v>0</v>
      </c>
      <c r="T516" s="12">
        <v>0</v>
      </c>
      <c r="U516" s="12"/>
      <c r="V516" s="12">
        <v>0</v>
      </c>
      <c r="W516" s="12">
        <v>0</v>
      </c>
      <c r="X516" s="12"/>
      <c r="Y516" s="12">
        <v>0</v>
      </c>
    </row>
    <row r="517" spans="13:25" x14ac:dyDescent="0.35">
      <c r="M517" s="6" t="s">
        <v>288</v>
      </c>
      <c r="N517" s="12"/>
      <c r="O517" s="12">
        <v>0</v>
      </c>
      <c r="P517" s="12">
        <v>0</v>
      </c>
      <c r="Q517" s="12"/>
      <c r="R517" s="12">
        <v>0</v>
      </c>
      <c r="S517" s="12">
        <v>0</v>
      </c>
      <c r="T517" s="12">
        <v>0</v>
      </c>
      <c r="U517" s="12"/>
      <c r="V517" s="12">
        <v>0</v>
      </c>
      <c r="W517" s="12">
        <v>0</v>
      </c>
      <c r="X517" s="12"/>
      <c r="Y517" s="12">
        <v>0</v>
      </c>
    </row>
    <row r="518" spans="13:25" x14ac:dyDescent="0.35">
      <c r="M518" s="6" t="s">
        <v>296</v>
      </c>
      <c r="N518" s="12"/>
      <c r="O518" s="12">
        <v>0</v>
      </c>
      <c r="P518" s="12">
        <v>0</v>
      </c>
      <c r="Q518" s="12"/>
      <c r="R518" s="12">
        <v>0</v>
      </c>
      <c r="S518" s="12">
        <v>0</v>
      </c>
      <c r="T518" s="12">
        <v>0</v>
      </c>
      <c r="U518" s="12"/>
      <c r="V518" s="12">
        <v>0</v>
      </c>
      <c r="W518" s="12">
        <v>0</v>
      </c>
      <c r="X518" s="12"/>
      <c r="Y518" s="12">
        <v>0</v>
      </c>
    </row>
    <row r="519" spans="13:25" x14ac:dyDescent="0.35">
      <c r="M519" s="6" t="s">
        <v>291</v>
      </c>
      <c r="N519" s="12"/>
      <c r="O519" s="12">
        <v>0</v>
      </c>
      <c r="P519" s="12">
        <v>0</v>
      </c>
      <c r="Q519" s="12"/>
      <c r="R519" s="12">
        <v>0</v>
      </c>
      <c r="S519" s="12">
        <v>0</v>
      </c>
      <c r="T519" s="12">
        <v>0</v>
      </c>
      <c r="U519" s="12"/>
      <c r="V519" s="12">
        <v>0</v>
      </c>
      <c r="W519" s="12">
        <v>0</v>
      </c>
      <c r="X519" s="12"/>
      <c r="Y519" s="12">
        <v>0</v>
      </c>
    </row>
    <row r="520" spans="13:25" x14ac:dyDescent="0.35">
      <c r="M520" s="6" t="s">
        <v>305</v>
      </c>
      <c r="N520" s="12"/>
      <c r="O520" s="12">
        <v>0</v>
      </c>
      <c r="P520" s="12">
        <v>0</v>
      </c>
      <c r="Q520" s="12"/>
      <c r="R520" s="12">
        <v>0</v>
      </c>
      <c r="S520" s="12">
        <v>0</v>
      </c>
      <c r="T520" s="12">
        <v>0</v>
      </c>
      <c r="U520" s="12"/>
      <c r="V520" s="12">
        <v>0</v>
      </c>
      <c r="W520" s="12">
        <v>0</v>
      </c>
      <c r="X520" s="12"/>
      <c r="Y520" s="12">
        <v>0</v>
      </c>
    </row>
    <row r="521" spans="13:25" x14ac:dyDescent="0.35">
      <c r="M521" s="6" t="s">
        <v>98</v>
      </c>
      <c r="N521" s="12"/>
      <c r="O521" s="12">
        <v>0</v>
      </c>
      <c r="P521" s="12">
        <v>0</v>
      </c>
      <c r="Q521" s="12"/>
      <c r="R521" s="12">
        <v>0</v>
      </c>
      <c r="S521" s="12">
        <v>0</v>
      </c>
      <c r="T521" s="12">
        <v>0</v>
      </c>
      <c r="U521" s="12"/>
      <c r="V521" s="12">
        <v>0</v>
      </c>
      <c r="W521" s="12">
        <v>0</v>
      </c>
      <c r="X521" s="12"/>
      <c r="Y521" s="12">
        <v>0</v>
      </c>
    </row>
    <row r="522" spans="13:25" x14ac:dyDescent="0.35">
      <c r="M522" s="6" t="s">
        <v>68</v>
      </c>
      <c r="N522" s="12"/>
      <c r="O522" s="12">
        <v>0</v>
      </c>
      <c r="P522" s="12">
        <v>0</v>
      </c>
      <c r="Q522" s="12"/>
      <c r="R522" s="12">
        <v>0</v>
      </c>
      <c r="S522" s="12">
        <v>0</v>
      </c>
      <c r="T522" s="12">
        <v>0</v>
      </c>
      <c r="U522" s="12"/>
      <c r="V522" s="12">
        <v>0</v>
      </c>
      <c r="W522" s="12">
        <v>0</v>
      </c>
      <c r="X522" s="12"/>
      <c r="Y522" s="12">
        <v>0</v>
      </c>
    </row>
    <row r="523" spans="13:25" x14ac:dyDescent="0.35">
      <c r="M523" s="6" t="s">
        <v>166</v>
      </c>
      <c r="N523" s="12"/>
      <c r="O523" s="12">
        <v>0</v>
      </c>
      <c r="P523" s="12">
        <v>0</v>
      </c>
      <c r="Q523" s="12"/>
      <c r="R523" s="12">
        <v>0</v>
      </c>
      <c r="S523" s="12">
        <v>0</v>
      </c>
      <c r="T523" s="12">
        <v>0</v>
      </c>
      <c r="U523" s="12"/>
      <c r="V523" s="12">
        <v>0</v>
      </c>
      <c r="W523" s="12">
        <v>0</v>
      </c>
      <c r="X523" s="12"/>
      <c r="Y523" s="12">
        <v>0</v>
      </c>
    </row>
    <row r="524" spans="13:25" x14ac:dyDescent="0.35">
      <c r="M524" s="6" t="s">
        <v>69</v>
      </c>
      <c r="N524" s="12"/>
      <c r="O524" s="12">
        <v>0</v>
      </c>
      <c r="P524" s="12">
        <v>0</v>
      </c>
      <c r="Q524" s="12"/>
      <c r="R524" s="12">
        <v>0</v>
      </c>
      <c r="S524" s="12">
        <v>0</v>
      </c>
      <c r="T524" s="12">
        <v>0</v>
      </c>
      <c r="U524" s="12"/>
      <c r="V524" s="12">
        <v>0</v>
      </c>
      <c r="W524" s="12">
        <v>0</v>
      </c>
      <c r="X524" s="12"/>
      <c r="Y524" s="12">
        <v>0</v>
      </c>
    </row>
    <row r="525" spans="13:25" x14ac:dyDescent="0.35">
      <c r="M525" s="6" t="s">
        <v>536</v>
      </c>
      <c r="N525" s="12"/>
      <c r="O525" s="12">
        <v>0</v>
      </c>
      <c r="P525" s="12">
        <v>0</v>
      </c>
      <c r="Q525" s="12"/>
      <c r="R525" s="12">
        <v>0</v>
      </c>
      <c r="S525" s="12">
        <v>0</v>
      </c>
      <c r="T525" s="12">
        <v>0</v>
      </c>
      <c r="U525" s="12"/>
      <c r="V525" s="12" t="e">
        <v>#VALUE!</v>
      </c>
      <c r="W525" s="12" t="e">
        <v>#VALUE!</v>
      </c>
      <c r="X525" s="12"/>
      <c r="Y525" s="12">
        <v>0</v>
      </c>
    </row>
    <row r="526" spans="13:25" x14ac:dyDescent="0.35">
      <c r="M526" s="6" t="s">
        <v>535</v>
      </c>
      <c r="N526" s="12"/>
      <c r="O526" s="12">
        <v>0</v>
      </c>
      <c r="P526" s="12">
        <v>0</v>
      </c>
      <c r="Q526" s="12"/>
      <c r="R526" s="12">
        <v>0</v>
      </c>
      <c r="S526" s="12">
        <v>0</v>
      </c>
      <c r="T526" s="12">
        <v>0</v>
      </c>
      <c r="U526" s="12"/>
      <c r="V526" s="12" t="e">
        <v>#VALUE!</v>
      </c>
      <c r="W526" s="12" t="e">
        <v>#VALUE!</v>
      </c>
      <c r="X526" s="12"/>
      <c r="Y526" s="12">
        <v>0</v>
      </c>
    </row>
    <row r="527" spans="13:25" x14ac:dyDescent="0.35">
      <c r="M527" s="6" t="s">
        <v>454</v>
      </c>
      <c r="N527" s="12"/>
      <c r="O527" s="12">
        <v>0</v>
      </c>
      <c r="P527" s="12">
        <v>0</v>
      </c>
      <c r="Q527" s="12"/>
      <c r="R527" s="12">
        <v>0</v>
      </c>
      <c r="S527" s="12">
        <v>0</v>
      </c>
      <c r="T527" s="12">
        <v>0</v>
      </c>
      <c r="U527" s="12"/>
      <c r="V527" s="12">
        <v>0</v>
      </c>
      <c r="W527" s="12">
        <v>0</v>
      </c>
      <c r="X527" s="12"/>
      <c r="Y527" s="12">
        <v>0</v>
      </c>
    </row>
    <row r="528" spans="13:25" x14ac:dyDescent="0.35">
      <c r="M528" s="6" t="s">
        <v>458</v>
      </c>
      <c r="N528" s="12"/>
      <c r="O528" s="12">
        <v>0</v>
      </c>
      <c r="P528" s="12">
        <v>0</v>
      </c>
      <c r="Q528" s="12"/>
      <c r="R528" s="12">
        <v>0</v>
      </c>
      <c r="S528" s="12">
        <v>0</v>
      </c>
      <c r="T528" s="12">
        <v>0</v>
      </c>
      <c r="U528" s="12"/>
      <c r="V528" s="12">
        <v>0</v>
      </c>
      <c r="W528" s="12">
        <v>0</v>
      </c>
      <c r="X528" s="12"/>
      <c r="Y528" s="12">
        <v>0</v>
      </c>
    </row>
    <row r="529" spans="13:25" x14ac:dyDescent="0.35">
      <c r="M529" s="6" t="s">
        <v>455</v>
      </c>
      <c r="N529" s="12"/>
      <c r="O529" s="12">
        <v>0</v>
      </c>
      <c r="P529" s="12">
        <v>0</v>
      </c>
      <c r="Q529" s="12"/>
      <c r="R529" s="12">
        <v>0</v>
      </c>
      <c r="S529" s="12">
        <v>0</v>
      </c>
      <c r="T529" s="12">
        <v>0</v>
      </c>
      <c r="U529" s="12"/>
      <c r="V529" s="12">
        <v>0</v>
      </c>
      <c r="W529" s="12">
        <v>0</v>
      </c>
      <c r="X529" s="12"/>
      <c r="Y529" s="12">
        <v>0</v>
      </c>
    </row>
    <row r="530" spans="13:25" x14ac:dyDescent="0.35">
      <c r="M530" s="6" t="s">
        <v>97</v>
      </c>
      <c r="N530" s="12"/>
      <c r="O530" s="12">
        <v>0</v>
      </c>
      <c r="P530" s="12">
        <v>0</v>
      </c>
      <c r="Q530" s="12"/>
      <c r="R530" s="12">
        <v>0</v>
      </c>
      <c r="S530" s="12">
        <v>0</v>
      </c>
      <c r="T530" s="12">
        <v>0</v>
      </c>
      <c r="U530" s="12"/>
      <c r="V530" s="12">
        <v>0</v>
      </c>
      <c r="W530" s="12">
        <v>0</v>
      </c>
      <c r="X530" s="12"/>
      <c r="Y530" s="12">
        <v>0</v>
      </c>
    </row>
    <row r="531" spans="13:25" x14ac:dyDescent="0.35">
      <c r="M531" s="6" t="s">
        <v>119</v>
      </c>
      <c r="N531" s="12"/>
      <c r="O531" s="12">
        <v>0</v>
      </c>
      <c r="P531" s="12">
        <v>0</v>
      </c>
      <c r="Q531" s="12"/>
      <c r="R531" s="12">
        <v>0</v>
      </c>
      <c r="S531" s="12">
        <v>0</v>
      </c>
      <c r="T531" s="12">
        <v>0</v>
      </c>
      <c r="U531" s="12"/>
      <c r="V531" s="12">
        <v>0</v>
      </c>
      <c r="W531" s="12">
        <v>0</v>
      </c>
      <c r="X531" s="12"/>
      <c r="Y531" s="12">
        <v>0</v>
      </c>
    </row>
    <row r="532" spans="13:25" x14ac:dyDescent="0.35">
      <c r="M532" s="6" t="s">
        <v>67</v>
      </c>
      <c r="N532" s="12"/>
      <c r="O532" s="12">
        <v>0</v>
      </c>
      <c r="P532" s="12">
        <v>0</v>
      </c>
      <c r="Q532" s="12"/>
      <c r="R532" s="12">
        <v>0</v>
      </c>
      <c r="S532" s="12">
        <v>0</v>
      </c>
      <c r="T532" s="12">
        <v>0</v>
      </c>
      <c r="U532" s="12"/>
      <c r="V532" s="12">
        <v>0</v>
      </c>
      <c r="W532" s="12">
        <v>0</v>
      </c>
      <c r="X532" s="12"/>
      <c r="Y532" s="12">
        <v>0</v>
      </c>
    </row>
    <row r="533" spans="13:25" x14ac:dyDescent="0.35">
      <c r="M533" s="6" t="s">
        <v>218</v>
      </c>
      <c r="N533" s="12"/>
      <c r="O533" s="12">
        <v>0</v>
      </c>
      <c r="P533" s="12">
        <v>0</v>
      </c>
      <c r="Q533" s="12"/>
      <c r="R533" s="12">
        <v>0</v>
      </c>
      <c r="S533" s="12">
        <v>0</v>
      </c>
      <c r="T533" s="12">
        <v>0</v>
      </c>
      <c r="U533" s="12"/>
      <c r="V533" s="12">
        <v>0</v>
      </c>
      <c r="W533" s="12">
        <v>0</v>
      </c>
      <c r="X533" s="12"/>
      <c r="Y533" s="12">
        <v>0</v>
      </c>
    </row>
    <row r="534" spans="13:25" x14ac:dyDescent="0.35">
      <c r="M534" s="6" t="s">
        <v>214</v>
      </c>
      <c r="N534" s="12"/>
      <c r="O534" s="12">
        <v>0</v>
      </c>
      <c r="P534" s="12">
        <v>0</v>
      </c>
      <c r="Q534" s="12"/>
      <c r="R534" s="12">
        <v>0</v>
      </c>
      <c r="S534" s="12">
        <v>0</v>
      </c>
      <c r="T534" s="12">
        <v>0</v>
      </c>
      <c r="U534" s="12"/>
      <c r="V534" s="12">
        <v>0</v>
      </c>
      <c r="W534" s="12">
        <v>0</v>
      </c>
      <c r="X534" s="12"/>
      <c r="Y534" s="12">
        <v>0</v>
      </c>
    </row>
    <row r="535" spans="13:25" x14ac:dyDescent="0.35">
      <c r="M535" s="6" t="s">
        <v>127</v>
      </c>
      <c r="N535" s="12"/>
      <c r="O535" s="12">
        <v>0</v>
      </c>
      <c r="P535" s="12">
        <v>0</v>
      </c>
      <c r="Q535" s="12"/>
      <c r="R535" s="12">
        <v>0</v>
      </c>
      <c r="S535" s="12">
        <v>0</v>
      </c>
      <c r="T535" s="12">
        <v>0</v>
      </c>
      <c r="U535" s="12"/>
      <c r="V535" s="12">
        <v>0</v>
      </c>
      <c r="W535" s="12">
        <v>0</v>
      </c>
      <c r="X535" s="12"/>
      <c r="Y535" s="12">
        <v>0</v>
      </c>
    </row>
    <row r="536" spans="13:25" x14ac:dyDescent="0.35">
      <c r="M536" s="6" t="s">
        <v>477</v>
      </c>
      <c r="N536" s="12"/>
      <c r="O536" s="12" t="e">
        <v>#VALUE!</v>
      </c>
      <c r="P536" s="12" t="e">
        <v>#VALUE!</v>
      </c>
      <c r="Q536" s="12"/>
      <c r="R536" s="12">
        <v>0</v>
      </c>
      <c r="S536" s="12" t="e">
        <v>#VALUE!</v>
      </c>
      <c r="T536" s="12" t="e">
        <v>#VALUE!</v>
      </c>
      <c r="U536" s="12"/>
      <c r="V536" s="12" t="e">
        <v>#VALUE!</v>
      </c>
      <c r="W536" s="12" t="e">
        <v>#VALUE!</v>
      </c>
      <c r="X536" s="12"/>
      <c r="Y536" s="12" t="e">
        <v>#VALUE!</v>
      </c>
    </row>
    <row r="537" spans="13:25" x14ac:dyDescent="0.35">
      <c r="M537" s="6" t="s">
        <v>476</v>
      </c>
      <c r="N537" s="12"/>
      <c r="O537" s="12" t="e">
        <v>#VALUE!</v>
      </c>
      <c r="P537" s="12" t="e">
        <v>#VALUE!</v>
      </c>
      <c r="Q537" s="12"/>
      <c r="R537" s="12">
        <v>0</v>
      </c>
      <c r="S537" s="12" t="e">
        <v>#VALUE!</v>
      </c>
      <c r="T537" s="12" t="e">
        <v>#VALUE!</v>
      </c>
      <c r="U537" s="12"/>
      <c r="V537" s="12" t="e">
        <v>#VALUE!</v>
      </c>
      <c r="W537" s="12" t="e">
        <v>#VALUE!</v>
      </c>
      <c r="X537" s="12"/>
      <c r="Y537" s="12" t="e">
        <v>#VALUE!</v>
      </c>
    </row>
    <row r="538" spans="13:25" x14ac:dyDescent="0.35">
      <c r="M538" s="6" t="s">
        <v>475</v>
      </c>
      <c r="N538" s="12"/>
      <c r="O538" s="12" t="e">
        <v>#VALUE!</v>
      </c>
      <c r="P538" s="12" t="e">
        <v>#VALUE!</v>
      </c>
      <c r="Q538" s="12"/>
      <c r="R538" s="12">
        <v>0</v>
      </c>
      <c r="S538" s="12" t="e">
        <v>#VALUE!</v>
      </c>
      <c r="T538" s="12" t="e">
        <v>#VALUE!</v>
      </c>
      <c r="U538" s="12"/>
      <c r="V538" s="12" t="e">
        <v>#VALUE!</v>
      </c>
      <c r="W538" s="12" t="e">
        <v>#VALUE!</v>
      </c>
      <c r="X538" s="12"/>
      <c r="Y538" s="12" t="e">
        <v>#VALUE!</v>
      </c>
    </row>
    <row r="539" spans="13:25" x14ac:dyDescent="0.35">
      <c r="M539" s="6" t="s">
        <v>474</v>
      </c>
      <c r="N539" s="12"/>
      <c r="O539" s="12" t="e">
        <v>#VALUE!</v>
      </c>
      <c r="P539" s="12" t="e">
        <v>#VALUE!</v>
      </c>
      <c r="Q539" s="12"/>
      <c r="R539" s="12">
        <v>0</v>
      </c>
      <c r="S539" s="12" t="e">
        <v>#VALUE!</v>
      </c>
      <c r="T539" s="12" t="e">
        <v>#VALUE!</v>
      </c>
      <c r="U539" s="12"/>
      <c r="V539" s="12" t="e">
        <v>#VALUE!</v>
      </c>
      <c r="W539" s="12" t="e">
        <v>#VALUE!</v>
      </c>
      <c r="X539" s="12"/>
      <c r="Y539" s="12" t="e">
        <v>#VALUE!</v>
      </c>
    </row>
    <row r="540" spans="13:25" x14ac:dyDescent="0.35">
      <c r="M540" s="6" t="s">
        <v>473</v>
      </c>
      <c r="N540" s="12"/>
      <c r="O540" s="12" t="e">
        <v>#VALUE!</v>
      </c>
      <c r="P540" s="12" t="e">
        <v>#VALUE!</v>
      </c>
      <c r="Q540" s="12"/>
      <c r="R540" s="12">
        <v>0</v>
      </c>
      <c r="S540" s="12" t="e">
        <v>#VALUE!</v>
      </c>
      <c r="T540" s="12" t="e">
        <v>#VALUE!</v>
      </c>
      <c r="U540" s="12"/>
      <c r="V540" s="12" t="e">
        <v>#VALUE!</v>
      </c>
      <c r="W540" s="12" t="e">
        <v>#VALUE!</v>
      </c>
      <c r="X540" s="12"/>
      <c r="Y540" s="12" t="e">
        <v>#VALUE!</v>
      </c>
    </row>
    <row r="541" spans="13:25" x14ac:dyDescent="0.35">
      <c r="M541" s="6" t="s">
        <v>472</v>
      </c>
      <c r="N541" s="12"/>
      <c r="O541" s="12" t="e">
        <v>#VALUE!</v>
      </c>
      <c r="P541" s="12" t="e">
        <v>#VALUE!</v>
      </c>
      <c r="Q541" s="12"/>
      <c r="R541" s="12">
        <v>0</v>
      </c>
      <c r="S541" s="12" t="e">
        <v>#VALUE!</v>
      </c>
      <c r="T541" s="12" t="e">
        <v>#VALUE!</v>
      </c>
      <c r="U541" s="12"/>
      <c r="V541" s="12" t="e">
        <v>#VALUE!</v>
      </c>
      <c r="W541" s="12" t="e">
        <v>#VALUE!</v>
      </c>
      <c r="X541" s="12"/>
      <c r="Y541" s="12" t="e">
        <v>#VALUE!</v>
      </c>
    </row>
    <row r="542" spans="13:25" x14ac:dyDescent="0.35">
      <c r="M542" s="6" t="s">
        <v>471</v>
      </c>
      <c r="N542" s="12"/>
      <c r="O542" s="12" t="e">
        <v>#VALUE!</v>
      </c>
      <c r="P542" s="12" t="e">
        <v>#VALUE!</v>
      </c>
      <c r="Q542" s="12"/>
      <c r="R542" s="12">
        <v>0</v>
      </c>
      <c r="S542" s="12" t="e">
        <v>#VALUE!</v>
      </c>
      <c r="T542" s="12" t="e">
        <v>#VALUE!</v>
      </c>
      <c r="U542" s="12"/>
      <c r="V542" s="12" t="e">
        <v>#VALUE!</v>
      </c>
      <c r="W542" s="12" t="e">
        <v>#VALUE!</v>
      </c>
      <c r="X542" s="12"/>
      <c r="Y542" s="12" t="e">
        <v>#VALUE!</v>
      </c>
    </row>
    <row r="543" spans="13:25" x14ac:dyDescent="0.35">
      <c r="M543" s="6" t="s">
        <v>66</v>
      </c>
      <c r="N543" s="12"/>
      <c r="O543" s="12">
        <v>0</v>
      </c>
      <c r="P543" s="12">
        <v>0</v>
      </c>
      <c r="Q543" s="12"/>
      <c r="R543" s="12">
        <v>0</v>
      </c>
      <c r="S543" s="12">
        <v>0</v>
      </c>
      <c r="T543" s="12">
        <v>0</v>
      </c>
      <c r="U543" s="12"/>
      <c r="V543" s="12">
        <v>0</v>
      </c>
      <c r="W543" s="12">
        <v>0</v>
      </c>
      <c r="X543" s="12"/>
      <c r="Y543" s="12">
        <v>0</v>
      </c>
    </row>
    <row r="544" spans="13:25" x14ac:dyDescent="0.35">
      <c r="M544" s="6" t="s">
        <v>168</v>
      </c>
      <c r="N544" s="12"/>
      <c r="O544" s="12">
        <v>0</v>
      </c>
      <c r="P544" s="12">
        <v>0</v>
      </c>
      <c r="Q544" s="12"/>
      <c r="R544" s="12">
        <v>0</v>
      </c>
      <c r="S544" s="12">
        <v>0</v>
      </c>
      <c r="T544" s="12">
        <v>0</v>
      </c>
      <c r="U544" s="12"/>
      <c r="V544" s="12">
        <v>0</v>
      </c>
      <c r="W544" s="12">
        <v>0</v>
      </c>
      <c r="X544" s="12"/>
      <c r="Y544" s="12">
        <v>0</v>
      </c>
    </row>
    <row r="545" spans="13:25" x14ac:dyDescent="0.35">
      <c r="M545" s="6" t="s">
        <v>179</v>
      </c>
      <c r="N545" s="12"/>
      <c r="O545" s="12">
        <v>0</v>
      </c>
      <c r="P545" s="12">
        <v>0</v>
      </c>
      <c r="Q545" s="12"/>
      <c r="R545" s="12">
        <v>0</v>
      </c>
      <c r="S545" s="12">
        <v>0</v>
      </c>
      <c r="T545" s="12">
        <v>0</v>
      </c>
      <c r="U545" s="12"/>
      <c r="V545" s="12">
        <v>0</v>
      </c>
      <c r="W545" s="12">
        <v>0</v>
      </c>
      <c r="X545" s="12"/>
      <c r="Y545" s="12">
        <v>0</v>
      </c>
    </row>
    <row r="546" spans="13:25" x14ac:dyDescent="0.35">
      <c r="M546" s="6" t="s">
        <v>177</v>
      </c>
      <c r="N546" s="12"/>
      <c r="O546" s="12">
        <v>0</v>
      </c>
      <c r="P546" s="12">
        <v>0</v>
      </c>
      <c r="Q546" s="12"/>
      <c r="R546" s="12">
        <v>0</v>
      </c>
      <c r="S546" s="12">
        <v>0</v>
      </c>
      <c r="T546" s="12">
        <v>0</v>
      </c>
      <c r="U546" s="12"/>
      <c r="V546" s="12">
        <v>0</v>
      </c>
      <c r="W546" s="12">
        <v>0</v>
      </c>
      <c r="X546" s="12"/>
      <c r="Y546" s="12">
        <v>0</v>
      </c>
    </row>
    <row r="547" spans="13:25" x14ac:dyDescent="0.35">
      <c r="M547" s="6" t="s">
        <v>164</v>
      </c>
      <c r="N547" s="12"/>
      <c r="O547" s="12">
        <v>0</v>
      </c>
      <c r="P547" s="12">
        <v>0</v>
      </c>
      <c r="Q547" s="12"/>
      <c r="R547" s="12">
        <v>0</v>
      </c>
      <c r="S547" s="12">
        <v>0</v>
      </c>
      <c r="T547" s="12">
        <v>0</v>
      </c>
      <c r="U547" s="12"/>
      <c r="V547" s="12">
        <v>0</v>
      </c>
      <c r="W547" s="12">
        <v>0</v>
      </c>
      <c r="X547" s="12"/>
      <c r="Y547" s="12">
        <v>0</v>
      </c>
    </row>
    <row r="548" spans="13:25" x14ac:dyDescent="0.35">
      <c r="M548" s="6" t="s">
        <v>162</v>
      </c>
      <c r="N548" s="12"/>
      <c r="O548" s="12">
        <v>0</v>
      </c>
      <c r="P548" s="12">
        <v>0</v>
      </c>
      <c r="Q548" s="12"/>
      <c r="R548" s="12">
        <v>0</v>
      </c>
      <c r="S548" s="12">
        <v>0</v>
      </c>
      <c r="T548" s="12">
        <v>0</v>
      </c>
      <c r="U548" s="12"/>
      <c r="V548" s="12">
        <v>0</v>
      </c>
      <c r="W548" s="12">
        <v>0</v>
      </c>
      <c r="X548" s="12"/>
      <c r="Y548" s="12">
        <v>0</v>
      </c>
    </row>
    <row r="549" spans="13:25" x14ac:dyDescent="0.35">
      <c r="M549" s="6" t="s">
        <v>154</v>
      </c>
      <c r="N549" s="12"/>
      <c r="O549" s="12">
        <v>0</v>
      </c>
      <c r="P549" s="12">
        <v>0</v>
      </c>
      <c r="Q549" s="12"/>
      <c r="R549" s="12">
        <v>0</v>
      </c>
      <c r="S549" s="12">
        <v>0</v>
      </c>
      <c r="T549" s="12">
        <v>0</v>
      </c>
      <c r="U549" s="12"/>
      <c r="V549" s="12">
        <v>0</v>
      </c>
      <c r="W549" s="12">
        <v>0</v>
      </c>
      <c r="X549" s="12"/>
      <c r="Y549" s="12">
        <v>0</v>
      </c>
    </row>
    <row r="550" spans="13:25" x14ac:dyDescent="0.35">
      <c r="M550" s="6" t="s">
        <v>144</v>
      </c>
      <c r="N550" s="12"/>
      <c r="O550" s="12">
        <v>0</v>
      </c>
      <c r="P550" s="12">
        <v>0</v>
      </c>
      <c r="Q550" s="12"/>
      <c r="R550" s="12">
        <v>0</v>
      </c>
      <c r="S550" s="12">
        <v>0</v>
      </c>
      <c r="T550" s="12">
        <v>0</v>
      </c>
      <c r="U550" s="12"/>
      <c r="V550" s="12">
        <v>0</v>
      </c>
      <c r="W550" s="12">
        <v>0</v>
      </c>
      <c r="X550" s="12"/>
      <c r="Y550" s="12">
        <v>0</v>
      </c>
    </row>
    <row r="551" spans="13:25" x14ac:dyDescent="0.35">
      <c r="M551" s="6" t="s">
        <v>160</v>
      </c>
      <c r="N551" s="12"/>
      <c r="O551" s="12">
        <v>0</v>
      </c>
      <c r="P551" s="12">
        <v>0</v>
      </c>
      <c r="Q551" s="12"/>
      <c r="R551" s="12">
        <v>0</v>
      </c>
      <c r="S551" s="12">
        <v>0</v>
      </c>
      <c r="T551" s="12">
        <v>0</v>
      </c>
      <c r="U551" s="12"/>
      <c r="V551" s="12">
        <v>0</v>
      </c>
      <c r="W551" s="12">
        <v>0</v>
      </c>
      <c r="X551" s="12"/>
      <c r="Y551" s="12">
        <v>0</v>
      </c>
    </row>
    <row r="552" spans="13:25" x14ac:dyDescent="0.35">
      <c r="M552" s="6" t="s">
        <v>157</v>
      </c>
      <c r="N552" s="12"/>
      <c r="O552" s="12">
        <v>0</v>
      </c>
      <c r="P552" s="12">
        <v>0</v>
      </c>
      <c r="Q552" s="12"/>
      <c r="R552" s="12">
        <v>0</v>
      </c>
      <c r="S552" s="12">
        <v>0</v>
      </c>
      <c r="T552" s="12">
        <v>0</v>
      </c>
      <c r="U552" s="12"/>
      <c r="V552" s="12">
        <v>0</v>
      </c>
      <c r="W552" s="12">
        <v>0</v>
      </c>
      <c r="X552" s="12"/>
      <c r="Y552" s="12">
        <v>0</v>
      </c>
    </row>
    <row r="553" spans="13:25" x14ac:dyDescent="0.35">
      <c r="M553" s="6" t="s">
        <v>173</v>
      </c>
      <c r="N553" s="12"/>
      <c r="O553" s="12">
        <v>0</v>
      </c>
      <c r="P553" s="12">
        <v>0</v>
      </c>
      <c r="Q553" s="12"/>
      <c r="R553" s="12">
        <v>0</v>
      </c>
      <c r="S553" s="12">
        <v>0</v>
      </c>
      <c r="T553" s="12">
        <v>0</v>
      </c>
      <c r="U553" s="12"/>
      <c r="V553" s="12">
        <v>0</v>
      </c>
      <c r="W553" s="12">
        <v>0</v>
      </c>
      <c r="X553" s="12"/>
      <c r="Y553" s="12">
        <v>0</v>
      </c>
    </row>
    <row r="554" spans="13:25" x14ac:dyDescent="0.35">
      <c r="M554" s="6" t="s">
        <v>176</v>
      </c>
      <c r="N554" s="12"/>
      <c r="O554" s="12">
        <v>0</v>
      </c>
      <c r="P554" s="12">
        <v>0</v>
      </c>
      <c r="Q554" s="12"/>
      <c r="R554" s="12">
        <v>0</v>
      </c>
      <c r="S554" s="12">
        <v>0</v>
      </c>
      <c r="T554" s="12">
        <v>0</v>
      </c>
      <c r="U554" s="12"/>
      <c r="V554" s="12">
        <v>0</v>
      </c>
      <c r="W554" s="12">
        <v>0</v>
      </c>
      <c r="X554" s="12"/>
      <c r="Y554" s="12">
        <v>0</v>
      </c>
    </row>
    <row r="555" spans="13:25" x14ac:dyDescent="0.35">
      <c r="M555" s="6" t="s">
        <v>163</v>
      </c>
      <c r="N555" s="12"/>
      <c r="O555" s="12">
        <v>0</v>
      </c>
      <c r="P555" s="12">
        <v>0</v>
      </c>
      <c r="Q555" s="12"/>
      <c r="R555" s="12">
        <v>0</v>
      </c>
      <c r="S555" s="12">
        <v>0</v>
      </c>
      <c r="T555" s="12">
        <v>0</v>
      </c>
      <c r="U555" s="12"/>
      <c r="V555" s="12">
        <v>0</v>
      </c>
      <c r="W555" s="12">
        <v>0</v>
      </c>
      <c r="X555" s="12"/>
      <c r="Y555" s="12">
        <v>0</v>
      </c>
    </row>
    <row r="556" spans="13:25" x14ac:dyDescent="0.35">
      <c r="M556" s="6" t="s">
        <v>153</v>
      </c>
      <c r="N556" s="12"/>
      <c r="O556" s="12">
        <v>0</v>
      </c>
      <c r="P556" s="12">
        <v>0</v>
      </c>
      <c r="Q556" s="12"/>
      <c r="R556" s="12">
        <v>0</v>
      </c>
      <c r="S556" s="12">
        <v>0</v>
      </c>
      <c r="T556" s="12">
        <v>0</v>
      </c>
      <c r="U556" s="12"/>
      <c r="V556" s="12">
        <v>0</v>
      </c>
      <c r="W556" s="12">
        <v>0</v>
      </c>
      <c r="X556" s="12"/>
      <c r="Y556" s="12">
        <v>0</v>
      </c>
    </row>
    <row r="557" spans="13:25" x14ac:dyDescent="0.35">
      <c r="M557" s="6" t="s">
        <v>143</v>
      </c>
      <c r="N557" s="12"/>
      <c r="O557" s="12">
        <v>0</v>
      </c>
      <c r="P557" s="12">
        <v>0</v>
      </c>
      <c r="Q557" s="12"/>
      <c r="R557" s="12">
        <v>0</v>
      </c>
      <c r="S557" s="12">
        <v>0</v>
      </c>
      <c r="T557" s="12">
        <v>0</v>
      </c>
      <c r="U557" s="12"/>
      <c r="V557" s="12">
        <v>0</v>
      </c>
      <c r="W557" s="12">
        <v>0</v>
      </c>
      <c r="X557" s="12"/>
      <c r="Y557" s="12">
        <v>0</v>
      </c>
    </row>
    <row r="558" spans="13:25" x14ac:dyDescent="0.35">
      <c r="M558" s="6" t="s">
        <v>121</v>
      </c>
      <c r="N558" s="12"/>
      <c r="O558" s="12">
        <v>0</v>
      </c>
      <c r="P558" s="12">
        <v>0</v>
      </c>
      <c r="Q558" s="12"/>
      <c r="R558" s="12">
        <v>0</v>
      </c>
      <c r="S558" s="12">
        <v>0</v>
      </c>
      <c r="T558" s="12">
        <v>0</v>
      </c>
      <c r="U558" s="12"/>
      <c r="V558" s="12">
        <v>0</v>
      </c>
      <c r="W558" s="12">
        <v>0</v>
      </c>
      <c r="X558" s="12"/>
      <c r="Y558" s="12">
        <v>0</v>
      </c>
    </row>
    <row r="559" spans="13:25" x14ac:dyDescent="0.35">
      <c r="M559" s="6" t="s">
        <v>161</v>
      </c>
      <c r="N559" s="12"/>
      <c r="O559" s="12">
        <v>0</v>
      </c>
      <c r="P559" s="12">
        <v>0</v>
      </c>
      <c r="Q559" s="12"/>
      <c r="R559" s="12">
        <v>0</v>
      </c>
      <c r="S559" s="12">
        <v>0</v>
      </c>
      <c r="T559" s="12">
        <v>0</v>
      </c>
      <c r="U559" s="12"/>
      <c r="V559" s="12">
        <v>0</v>
      </c>
      <c r="W559" s="12">
        <v>0</v>
      </c>
      <c r="X559" s="12"/>
      <c r="Y559" s="12">
        <v>0</v>
      </c>
    </row>
    <row r="560" spans="13:25" x14ac:dyDescent="0.35">
      <c r="M560" s="6" t="s">
        <v>120</v>
      </c>
      <c r="N560" s="12"/>
      <c r="O560" s="12">
        <v>0</v>
      </c>
      <c r="P560" s="12">
        <v>0</v>
      </c>
      <c r="Q560" s="12"/>
      <c r="R560" s="12">
        <v>0</v>
      </c>
      <c r="S560" s="12">
        <v>0</v>
      </c>
      <c r="T560" s="12">
        <v>0</v>
      </c>
      <c r="U560" s="12"/>
      <c r="V560" s="12">
        <v>0</v>
      </c>
      <c r="W560" s="12">
        <v>0</v>
      </c>
      <c r="X560" s="12"/>
      <c r="Y560" s="12">
        <v>0</v>
      </c>
    </row>
    <row r="561" spans="13:25" x14ac:dyDescent="0.35">
      <c r="M561" s="6" t="s">
        <v>108</v>
      </c>
      <c r="N561" s="12"/>
      <c r="O561" s="12">
        <v>0</v>
      </c>
      <c r="P561" s="12">
        <v>0</v>
      </c>
      <c r="Q561" s="12"/>
      <c r="R561" s="12">
        <v>0</v>
      </c>
      <c r="S561" s="12">
        <v>0</v>
      </c>
      <c r="T561" s="12">
        <v>0</v>
      </c>
      <c r="U561" s="12"/>
      <c r="V561" s="12">
        <v>0</v>
      </c>
      <c r="W561" s="12">
        <v>0</v>
      </c>
      <c r="X561" s="12"/>
      <c r="Y561" s="12">
        <v>0</v>
      </c>
    </row>
    <row r="562" spans="13:25" x14ac:dyDescent="0.35">
      <c r="M562" s="6" t="s">
        <v>534</v>
      </c>
      <c r="N562" s="12"/>
      <c r="O562" s="12">
        <v>0</v>
      </c>
      <c r="P562" s="12">
        <v>0</v>
      </c>
      <c r="Q562" s="12"/>
      <c r="R562" s="12">
        <v>0</v>
      </c>
      <c r="S562" s="12">
        <v>0</v>
      </c>
      <c r="T562" s="12">
        <v>0</v>
      </c>
      <c r="U562" s="12"/>
      <c r="V562" s="12">
        <v>0</v>
      </c>
      <c r="W562" s="12">
        <v>0</v>
      </c>
      <c r="X562" s="12"/>
      <c r="Y562" s="12">
        <v>0</v>
      </c>
    </row>
    <row r="563" spans="13:25" x14ac:dyDescent="0.35">
      <c r="M563" s="6" t="s">
        <v>533</v>
      </c>
      <c r="N563" s="12"/>
      <c r="O563" s="12">
        <v>0</v>
      </c>
      <c r="P563" s="12">
        <v>0</v>
      </c>
      <c r="Q563" s="12"/>
      <c r="R563" s="12">
        <v>0</v>
      </c>
      <c r="S563" s="12">
        <v>0</v>
      </c>
      <c r="T563" s="12">
        <v>0</v>
      </c>
      <c r="U563" s="12"/>
      <c r="V563" s="12">
        <v>0</v>
      </c>
      <c r="W563" s="12">
        <v>0</v>
      </c>
      <c r="X563" s="12"/>
      <c r="Y563" s="12">
        <v>0</v>
      </c>
    </row>
    <row r="564" spans="13:25" x14ac:dyDescent="0.35">
      <c r="M564" s="6" t="s">
        <v>43</v>
      </c>
      <c r="N564" s="12"/>
      <c r="O564" s="12">
        <v>0</v>
      </c>
      <c r="P564" s="12">
        <v>0</v>
      </c>
      <c r="Q564" s="12"/>
      <c r="R564" s="12">
        <v>0</v>
      </c>
      <c r="S564" s="12">
        <v>0</v>
      </c>
      <c r="T564" s="12">
        <v>0</v>
      </c>
      <c r="U564" s="12"/>
      <c r="V564" s="12">
        <v>0</v>
      </c>
      <c r="W564" s="12">
        <v>0</v>
      </c>
      <c r="X564" s="12"/>
      <c r="Y564" s="12">
        <v>0</v>
      </c>
    </row>
    <row r="565" spans="13:25" x14ac:dyDescent="0.35">
      <c r="M565" s="6" t="s">
        <v>532</v>
      </c>
      <c r="N565" s="12"/>
      <c r="O565" s="12">
        <v>0</v>
      </c>
      <c r="P565" s="12">
        <v>0</v>
      </c>
      <c r="Q565" s="12"/>
      <c r="R565" s="12">
        <v>0</v>
      </c>
      <c r="S565" s="12">
        <v>0</v>
      </c>
      <c r="T565" s="12">
        <v>0</v>
      </c>
      <c r="U565" s="12"/>
      <c r="V565" s="12" t="e">
        <v>#VALUE!</v>
      </c>
      <c r="W565" s="12" t="e">
        <v>#VALUE!</v>
      </c>
      <c r="X565" s="12"/>
      <c r="Y565" s="12">
        <v>0</v>
      </c>
    </row>
    <row r="566" spans="13:25" x14ac:dyDescent="0.35">
      <c r="M566" s="6" t="s">
        <v>40</v>
      </c>
      <c r="N566" s="12"/>
      <c r="O566" s="12">
        <v>0</v>
      </c>
      <c r="P566" s="12">
        <v>0</v>
      </c>
      <c r="Q566" s="12"/>
      <c r="R566" s="12">
        <v>0</v>
      </c>
      <c r="S566" s="12">
        <v>0</v>
      </c>
      <c r="T566" s="12">
        <v>0</v>
      </c>
      <c r="U566" s="12"/>
      <c r="V566" s="12">
        <v>0</v>
      </c>
      <c r="W566" s="12">
        <v>0</v>
      </c>
      <c r="X566" s="12"/>
      <c r="Y566" s="12">
        <v>0</v>
      </c>
    </row>
    <row r="567" spans="13:25" x14ac:dyDescent="0.35">
      <c r="M567" s="6" t="s">
        <v>126</v>
      </c>
      <c r="N567" s="12"/>
      <c r="O567" s="12">
        <v>0</v>
      </c>
      <c r="P567" s="12">
        <v>0</v>
      </c>
      <c r="Q567" s="12"/>
      <c r="R567" s="12">
        <v>0</v>
      </c>
      <c r="S567" s="12">
        <v>0</v>
      </c>
      <c r="T567" s="12">
        <v>0</v>
      </c>
      <c r="U567" s="12"/>
      <c r="V567" s="12">
        <v>0</v>
      </c>
      <c r="W567" s="12">
        <v>0</v>
      </c>
      <c r="X567" s="12"/>
      <c r="Y567" s="12">
        <v>0</v>
      </c>
    </row>
    <row r="568" spans="13:25" x14ac:dyDescent="0.35">
      <c r="M568" s="6" t="s">
        <v>96</v>
      </c>
      <c r="N568" s="12"/>
      <c r="O568" s="12">
        <v>0</v>
      </c>
      <c r="P568" s="12">
        <v>0</v>
      </c>
      <c r="Q568" s="12"/>
      <c r="R568" s="12">
        <v>0</v>
      </c>
      <c r="S568" s="12">
        <v>0</v>
      </c>
      <c r="T568" s="12">
        <v>0</v>
      </c>
      <c r="U568" s="12"/>
      <c r="V568" s="12">
        <v>0</v>
      </c>
      <c r="W568" s="12">
        <v>0</v>
      </c>
      <c r="X568" s="12"/>
      <c r="Y568" s="12">
        <v>0</v>
      </c>
    </row>
    <row r="569" spans="13:25" x14ac:dyDescent="0.35">
      <c r="M569" s="6" t="s">
        <v>95</v>
      </c>
      <c r="N569" s="12"/>
      <c r="O569" s="12">
        <v>0</v>
      </c>
      <c r="P569" s="12">
        <v>0</v>
      </c>
      <c r="Q569" s="12"/>
      <c r="R569" s="12">
        <v>0</v>
      </c>
      <c r="S569" s="12">
        <v>0</v>
      </c>
      <c r="T569" s="12">
        <v>0</v>
      </c>
      <c r="U569" s="12"/>
      <c r="V569" s="12">
        <v>0</v>
      </c>
      <c r="W569" s="12">
        <v>0</v>
      </c>
      <c r="X569" s="12"/>
      <c r="Y569" s="12">
        <v>0</v>
      </c>
    </row>
    <row r="570" spans="13:25" x14ac:dyDescent="0.35">
      <c r="M570" s="6" t="s">
        <v>528</v>
      </c>
      <c r="N570" s="12"/>
      <c r="O570" s="12" t="e">
        <v>#VALUE!</v>
      </c>
      <c r="P570" s="12" t="e">
        <v>#VALUE!</v>
      </c>
      <c r="Q570" s="12"/>
      <c r="R570" s="12">
        <v>0</v>
      </c>
      <c r="S570" s="12" t="e">
        <v>#VALUE!</v>
      </c>
      <c r="T570" s="12" t="e">
        <v>#VALUE!</v>
      </c>
      <c r="U570" s="12"/>
      <c r="V570" s="12" t="e">
        <v>#VALUE!</v>
      </c>
      <c r="W570" s="12" t="e">
        <v>#VALUE!</v>
      </c>
      <c r="X570" s="12"/>
      <c r="Y570" s="12" t="e">
        <v>#VALUE!</v>
      </c>
    </row>
    <row r="571" spans="13:25" x14ac:dyDescent="0.35">
      <c r="M571" s="6" t="s">
        <v>481</v>
      </c>
      <c r="N571" s="12"/>
      <c r="O571" s="12" t="e">
        <v>#VALUE!</v>
      </c>
      <c r="P571" s="12" t="e">
        <v>#VALUE!</v>
      </c>
      <c r="Q571" s="12"/>
      <c r="R571" s="12">
        <v>0</v>
      </c>
      <c r="S571" s="12" t="e">
        <v>#VALUE!</v>
      </c>
      <c r="T571" s="12" t="e">
        <v>#VALUE!</v>
      </c>
      <c r="U571" s="12"/>
      <c r="V571" s="12" t="e">
        <v>#VALUE!</v>
      </c>
      <c r="W571" s="12" t="e">
        <v>#VALUE!</v>
      </c>
      <c r="X571" s="12"/>
      <c r="Y571" s="12">
        <v>0</v>
      </c>
    </row>
    <row r="572" spans="13:25" x14ac:dyDescent="0.35">
      <c r="M572" s="6" t="s">
        <v>489</v>
      </c>
      <c r="N572" s="12"/>
      <c r="O572" s="12" t="e">
        <v>#VALUE!</v>
      </c>
      <c r="P572" s="12" t="e">
        <v>#VALUE!</v>
      </c>
      <c r="Q572" s="12"/>
      <c r="R572" s="12">
        <v>0</v>
      </c>
      <c r="S572" s="12" t="e">
        <v>#VALUE!</v>
      </c>
      <c r="T572" s="12" t="e">
        <v>#VALUE!</v>
      </c>
      <c r="U572" s="12"/>
      <c r="V572" s="12" t="e">
        <v>#VALUE!</v>
      </c>
      <c r="W572" s="12" t="e">
        <v>#VALUE!</v>
      </c>
      <c r="X572" s="12"/>
      <c r="Y572" s="12" t="e">
        <v>#VALUE!</v>
      </c>
    </row>
    <row r="573" spans="13:25" x14ac:dyDescent="0.35">
      <c r="M573" s="6" t="s">
        <v>480</v>
      </c>
      <c r="N573" s="12"/>
      <c r="O573" s="12" t="e">
        <v>#VALUE!</v>
      </c>
      <c r="P573" s="12" t="e">
        <v>#VALUE!</v>
      </c>
      <c r="Q573" s="12"/>
      <c r="R573" s="12">
        <v>0</v>
      </c>
      <c r="S573" s="12" t="e">
        <v>#VALUE!</v>
      </c>
      <c r="T573" s="12" t="e">
        <v>#VALUE!</v>
      </c>
      <c r="U573" s="12"/>
      <c r="V573" s="12" t="e">
        <v>#VALUE!</v>
      </c>
      <c r="W573" s="12" t="e">
        <v>#VALUE!</v>
      </c>
      <c r="X573" s="12"/>
      <c r="Y573" s="12">
        <v>0</v>
      </c>
    </row>
    <row r="574" spans="13:25" x14ac:dyDescent="0.35">
      <c r="M574" s="6" t="s">
        <v>478</v>
      </c>
      <c r="N574" s="12"/>
      <c r="O574" s="12" t="e">
        <v>#VALUE!</v>
      </c>
      <c r="P574" s="12" t="e">
        <v>#VALUE!</v>
      </c>
      <c r="Q574" s="12"/>
      <c r="R574" s="12">
        <v>0</v>
      </c>
      <c r="S574" s="12" t="e">
        <v>#VALUE!</v>
      </c>
      <c r="T574" s="12" t="e">
        <v>#VALUE!</v>
      </c>
      <c r="U574" s="12"/>
      <c r="V574" s="12" t="e">
        <v>#VALUE!</v>
      </c>
      <c r="W574" s="12" t="e">
        <v>#VALUE!</v>
      </c>
      <c r="X574" s="12"/>
      <c r="Y574" s="12">
        <v>0</v>
      </c>
    </row>
    <row r="575" spans="13:25" x14ac:dyDescent="0.35">
      <c r="M575" s="6" t="s">
        <v>483</v>
      </c>
      <c r="N575" s="12"/>
      <c r="O575" s="12" t="e">
        <v>#VALUE!</v>
      </c>
      <c r="P575" s="12" t="e">
        <v>#VALUE!</v>
      </c>
      <c r="Q575" s="12"/>
      <c r="R575" s="12">
        <v>0</v>
      </c>
      <c r="S575" s="12" t="e">
        <v>#VALUE!</v>
      </c>
      <c r="T575" s="12" t="e">
        <v>#VALUE!</v>
      </c>
      <c r="U575" s="12"/>
      <c r="V575" s="12" t="e">
        <v>#VALUE!</v>
      </c>
      <c r="W575" s="12" t="e">
        <v>#VALUE!</v>
      </c>
      <c r="X575" s="12"/>
      <c r="Y575" s="12">
        <v>0</v>
      </c>
    </row>
    <row r="576" spans="13:25" x14ac:dyDescent="0.35">
      <c r="M576" s="6" t="s">
        <v>529</v>
      </c>
      <c r="N576" s="12"/>
      <c r="O576" s="12" t="e">
        <v>#VALUE!</v>
      </c>
      <c r="P576" s="12" t="e">
        <v>#VALUE!</v>
      </c>
      <c r="Q576" s="12"/>
      <c r="R576" s="12">
        <v>0</v>
      </c>
      <c r="S576" s="12">
        <v>0</v>
      </c>
      <c r="T576" s="12" t="e">
        <v>#VALUE!</v>
      </c>
      <c r="U576" s="12"/>
      <c r="V576" s="12" t="e">
        <v>#VALUE!</v>
      </c>
      <c r="W576" s="12" t="e">
        <v>#VALUE!</v>
      </c>
      <c r="X576" s="12"/>
      <c r="Y576" s="12" t="e">
        <v>#VALUE!</v>
      </c>
    </row>
    <row r="577" spans="13:25" x14ac:dyDescent="0.35">
      <c r="M577" s="6" t="s">
        <v>527</v>
      </c>
      <c r="N577" s="12"/>
      <c r="O577" s="12" t="e">
        <v>#VALUE!</v>
      </c>
      <c r="P577" s="12" t="e">
        <v>#VALUE!</v>
      </c>
      <c r="Q577" s="12"/>
      <c r="R577" s="12">
        <v>0</v>
      </c>
      <c r="S577" s="12" t="e">
        <v>#VALUE!</v>
      </c>
      <c r="T577" s="12" t="e">
        <v>#VALUE!</v>
      </c>
      <c r="U577" s="12"/>
      <c r="V577" s="12" t="e">
        <v>#VALUE!</v>
      </c>
      <c r="W577" s="12" t="e">
        <v>#VALUE!</v>
      </c>
      <c r="X577" s="12"/>
      <c r="Y577" s="12" t="e">
        <v>#VALUE!</v>
      </c>
    </row>
    <row r="578" spans="13:25" x14ac:dyDescent="0.35">
      <c r="M578" s="6" t="s">
        <v>479</v>
      </c>
      <c r="N578" s="12"/>
      <c r="O578" s="12" t="e">
        <v>#VALUE!</v>
      </c>
      <c r="P578" s="12" t="e">
        <v>#VALUE!</v>
      </c>
      <c r="Q578" s="12"/>
      <c r="R578" s="12">
        <v>0</v>
      </c>
      <c r="S578" s="12" t="e">
        <v>#VALUE!</v>
      </c>
      <c r="T578" s="12" t="e">
        <v>#VALUE!</v>
      </c>
      <c r="U578" s="12"/>
      <c r="V578" s="12" t="e">
        <v>#VALUE!</v>
      </c>
      <c r="W578" s="12" t="e">
        <v>#VALUE!</v>
      </c>
      <c r="X578" s="12"/>
      <c r="Y578" s="12">
        <v>0</v>
      </c>
    </row>
    <row r="579" spans="13:25" x14ac:dyDescent="0.35">
      <c r="M579" s="6" t="s">
        <v>490</v>
      </c>
      <c r="N579" s="12"/>
      <c r="O579" s="12" t="e">
        <v>#VALUE!</v>
      </c>
      <c r="P579" s="12" t="e">
        <v>#VALUE!</v>
      </c>
      <c r="Q579" s="12"/>
      <c r="R579" s="12">
        <v>0</v>
      </c>
      <c r="S579" s="12" t="e">
        <v>#VALUE!</v>
      </c>
      <c r="T579" s="12" t="e">
        <v>#VALUE!</v>
      </c>
      <c r="U579" s="12"/>
      <c r="V579" s="12" t="e">
        <v>#VALUE!</v>
      </c>
      <c r="W579" s="12" t="e">
        <v>#VALUE!</v>
      </c>
      <c r="X579" s="12"/>
      <c r="Y579" s="12" t="e">
        <v>#VALUE!</v>
      </c>
    </row>
    <row r="580" spans="13:25" x14ac:dyDescent="0.35">
      <c r="M580" s="6" t="s">
        <v>526</v>
      </c>
      <c r="N580" s="12"/>
      <c r="O580" s="12" t="e">
        <v>#VALUE!</v>
      </c>
      <c r="P580" s="12" t="e">
        <v>#VALUE!</v>
      </c>
      <c r="Q580" s="12"/>
      <c r="R580" s="12">
        <v>0</v>
      </c>
      <c r="S580" s="12" t="e">
        <v>#VALUE!</v>
      </c>
      <c r="T580" s="12" t="e">
        <v>#VALUE!</v>
      </c>
      <c r="U580" s="12"/>
      <c r="V580" s="12" t="e">
        <v>#VALUE!</v>
      </c>
      <c r="W580" s="12" t="e">
        <v>#VALUE!</v>
      </c>
      <c r="X580" s="12"/>
      <c r="Y580" s="12" t="e">
        <v>#VALUE!</v>
      </c>
    </row>
    <row r="581" spans="13:25" x14ac:dyDescent="0.35">
      <c r="M581" s="6" t="s">
        <v>482</v>
      </c>
      <c r="N581" s="12"/>
      <c r="O581" s="12" t="e">
        <v>#VALUE!</v>
      </c>
      <c r="P581" s="12" t="e">
        <v>#VALUE!</v>
      </c>
      <c r="Q581" s="12"/>
      <c r="R581" s="12">
        <v>0</v>
      </c>
      <c r="S581" s="12" t="e">
        <v>#VALUE!</v>
      </c>
      <c r="T581" s="12" t="e">
        <v>#VALUE!</v>
      </c>
      <c r="U581" s="12"/>
      <c r="V581" s="12" t="e">
        <v>#VALUE!</v>
      </c>
      <c r="W581" s="12" t="e">
        <v>#VALUE!</v>
      </c>
      <c r="X581" s="12"/>
      <c r="Y581" s="12">
        <v>0</v>
      </c>
    </row>
    <row r="582" spans="13:25" x14ac:dyDescent="0.35">
      <c r="M582" s="6" t="s">
        <v>485</v>
      </c>
      <c r="N582" s="12"/>
      <c r="O582" s="12" t="e">
        <v>#VALUE!</v>
      </c>
      <c r="P582" s="12" t="e">
        <v>#VALUE!</v>
      </c>
      <c r="Q582" s="12"/>
      <c r="R582" s="12">
        <v>0</v>
      </c>
      <c r="S582" s="12" t="e">
        <v>#VALUE!</v>
      </c>
      <c r="T582" s="12" t="e">
        <v>#VALUE!</v>
      </c>
      <c r="U582" s="12"/>
      <c r="V582" s="12" t="e">
        <v>#VALUE!</v>
      </c>
      <c r="W582" s="12" t="e">
        <v>#VALUE!</v>
      </c>
      <c r="X582" s="12"/>
      <c r="Y582" s="12" t="e">
        <v>#VALUE!</v>
      </c>
    </row>
    <row r="583" spans="13:25" x14ac:dyDescent="0.35">
      <c r="M583" s="6" t="s">
        <v>487</v>
      </c>
      <c r="N583" s="12"/>
      <c r="O583" s="12" t="e">
        <v>#VALUE!</v>
      </c>
      <c r="P583" s="12" t="e">
        <v>#VALUE!</v>
      </c>
      <c r="Q583" s="12"/>
      <c r="R583" s="12">
        <v>0</v>
      </c>
      <c r="S583" s="12" t="e">
        <v>#VALUE!</v>
      </c>
      <c r="T583" s="12" t="e">
        <v>#VALUE!</v>
      </c>
      <c r="U583" s="12"/>
      <c r="V583" s="12" t="e">
        <v>#VALUE!</v>
      </c>
      <c r="W583" s="12" t="e">
        <v>#VALUE!</v>
      </c>
      <c r="X583" s="12"/>
      <c r="Y583" s="12" t="e">
        <v>#VALUE!</v>
      </c>
    </row>
    <row r="584" spans="13:25" x14ac:dyDescent="0.35">
      <c r="M584" s="6" t="s">
        <v>484</v>
      </c>
      <c r="N584" s="12"/>
      <c r="O584" s="12" t="e">
        <v>#VALUE!</v>
      </c>
      <c r="P584" s="12" t="e">
        <v>#VALUE!</v>
      </c>
      <c r="Q584" s="12"/>
      <c r="R584" s="12">
        <v>0</v>
      </c>
      <c r="S584" s="12" t="e">
        <v>#VALUE!</v>
      </c>
      <c r="T584" s="12" t="e">
        <v>#VALUE!</v>
      </c>
      <c r="U584" s="12"/>
      <c r="V584" s="12" t="e">
        <v>#VALUE!</v>
      </c>
      <c r="W584" s="12" t="e">
        <v>#VALUE!</v>
      </c>
      <c r="X584" s="12"/>
      <c r="Y584" s="12" t="e">
        <v>#VALUE!</v>
      </c>
    </row>
    <row r="585" spans="13:25" x14ac:dyDescent="0.35">
      <c r="M585" s="6" t="s">
        <v>486</v>
      </c>
      <c r="N585" s="12"/>
      <c r="O585" s="12" t="e">
        <v>#VALUE!</v>
      </c>
      <c r="P585" s="12" t="e">
        <v>#VALUE!</v>
      </c>
      <c r="Q585" s="12"/>
      <c r="R585" s="12">
        <v>0</v>
      </c>
      <c r="S585" s="12" t="e">
        <v>#VALUE!</v>
      </c>
      <c r="T585" s="12" t="e">
        <v>#VALUE!</v>
      </c>
      <c r="U585" s="12"/>
      <c r="V585" s="12" t="e">
        <v>#VALUE!</v>
      </c>
      <c r="W585" s="12" t="e">
        <v>#VALUE!</v>
      </c>
      <c r="X585" s="12"/>
      <c r="Y585" s="12" t="e">
        <v>#VALUE!</v>
      </c>
    </row>
    <row r="586" spans="13:25" x14ac:dyDescent="0.35">
      <c r="M586" s="6" t="s">
        <v>488</v>
      </c>
      <c r="N586" s="12"/>
      <c r="O586" s="12" t="e">
        <v>#VALUE!</v>
      </c>
      <c r="P586" s="12" t="e">
        <v>#VALUE!</v>
      </c>
      <c r="Q586" s="12"/>
      <c r="R586" s="12">
        <v>0</v>
      </c>
      <c r="S586" s="12" t="e">
        <v>#VALUE!</v>
      </c>
      <c r="T586" s="12" t="e">
        <v>#VALUE!</v>
      </c>
      <c r="U586" s="12"/>
      <c r="V586" s="12" t="e">
        <v>#VALUE!</v>
      </c>
      <c r="W586" s="12" t="e">
        <v>#VALUE!</v>
      </c>
      <c r="X586" s="12"/>
      <c r="Y586" s="12" t="e">
        <v>#VALUE!</v>
      </c>
    </row>
    <row r="587" spans="13:25" x14ac:dyDescent="0.35">
      <c r="M587" s="6" t="s">
        <v>118</v>
      </c>
      <c r="N587" s="12"/>
      <c r="O587" s="12">
        <v>0</v>
      </c>
      <c r="P587" s="12">
        <v>0</v>
      </c>
      <c r="Q587" s="12"/>
      <c r="R587" s="12">
        <v>0</v>
      </c>
      <c r="S587" s="12">
        <v>0</v>
      </c>
      <c r="T587" s="12">
        <v>0</v>
      </c>
      <c r="U587" s="12"/>
      <c r="V587" s="12">
        <v>0</v>
      </c>
      <c r="W587" s="12">
        <v>0</v>
      </c>
      <c r="X587" s="12"/>
      <c r="Y587" s="12">
        <v>0</v>
      </c>
    </row>
    <row r="588" spans="13:25" x14ac:dyDescent="0.35">
      <c r="M588" s="6" t="s">
        <v>93</v>
      </c>
      <c r="N588" s="12"/>
      <c r="O588" s="12">
        <v>0</v>
      </c>
      <c r="P588" s="12">
        <v>0</v>
      </c>
      <c r="Q588" s="12"/>
      <c r="R588" s="12">
        <v>0</v>
      </c>
      <c r="S588" s="12">
        <v>0</v>
      </c>
      <c r="T588" s="12">
        <v>0</v>
      </c>
      <c r="U588" s="12"/>
      <c r="V588" s="12">
        <v>0</v>
      </c>
      <c r="W588" s="12">
        <v>0</v>
      </c>
      <c r="X588" s="12"/>
      <c r="Y588" s="12">
        <v>0</v>
      </c>
    </row>
    <row r="589" spans="13:25" x14ac:dyDescent="0.35">
      <c r="M589" s="6" t="s">
        <v>139</v>
      </c>
      <c r="N589" s="12"/>
      <c r="O589" s="12">
        <v>0</v>
      </c>
      <c r="P589" s="12">
        <v>0</v>
      </c>
      <c r="Q589" s="12"/>
      <c r="R589" s="12">
        <v>0</v>
      </c>
      <c r="S589" s="12">
        <v>0</v>
      </c>
      <c r="T589" s="12">
        <v>0</v>
      </c>
      <c r="U589" s="12"/>
      <c r="V589" s="12">
        <v>0</v>
      </c>
      <c r="W589" s="12">
        <v>0</v>
      </c>
      <c r="X589" s="12"/>
      <c r="Y589" s="12">
        <v>0</v>
      </c>
    </row>
    <row r="590" spans="13:25" x14ac:dyDescent="0.35">
      <c r="M590" s="6" t="s">
        <v>150</v>
      </c>
      <c r="N590" s="12"/>
      <c r="O590" s="12">
        <v>0</v>
      </c>
      <c r="P590" s="12">
        <v>0</v>
      </c>
      <c r="Q590" s="12"/>
      <c r="R590" s="12">
        <v>0</v>
      </c>
      <c r="S590" s="12">
        <v>0</v>
      </c>
      <c r="T590" s="12">
        <v>0</v>
      </c>
      <c r="U590" s="12"/>
      <c r="V590" s="12">
        <v>0</v>
      </c>
      <c r="W590" s="12">
        <v>0</v>
      </c>
      <c r="X590" s="12"/>
      <c r="Y590" s="12">
        <v>0</v>
      </c>
    </row>
    <row r="591" spans="13:25" x14ac:dyDescent="0.35">
      <c r="M591" s="6" t="s">
        <v>94</v>
      </c>
      <c r="N591" s="12"/>
      <c r="O591" s="12">
        <v>0</v>
      </c>
      <c r="P591" s="12">
        <v>0</v>
      </c>
      <c r="Q591" s="12"/>
      <c r="R591" s="12">
        <v>0</v>
      </c>
      <c r="S591" s="12">
        <v>0</v>
      </c>
      <c r="T591" s="12">
        <v>0</v>
      </c>
      <c r="U591" s="12"/>
      <c r="V591" s="12">
        <v>0</v>
      </c>
      <c r="W591" s="12">
        <v>0</v>
      </c>
      <c r="X591" s="12"/>
      <c r="Y591" s="12">
        <v>0</v>
      </c>
    </row>
    <row r="592" spans="13:25" x14ac:dyDescent="0.35">
      <c r="M592" s="6" t="s">
        <v>452</v>
      </c>
      <c r="N592" s="12"/>
      <c r="O592" s="12">
        <v>0</v>
      </c>
      <c r="P592" s="12">
        <v>0</v>
      </c>
      <c r="Q592" s="12"/>
      <c r="R592" s="12">
        <v>0</v>
      </c>
      <c r="S592" s="12">
        <v>0</v>
      </c>
      <c r="T592" s="12" t="e">
        <v>#VALUE!</v>
      </c>
      <c r="U592" s="12"/>
      <c r="V592" s="12">
        <v>0</v>
      </c>
      <c r="W592" s="12">
        <v>0</v>
      </c>
      <c r="X592" s="12"/>
      <c r="Y592" s="12">
        <v>0</v>
      </c>
    </row>
    <row r="593" spans="13:25" x14ac:dyDescent="0.35">
      <c r="M593" s="6" t="s">
        <v>600</v>
      </c>
      <c r="N593" s="12">
        <v>0</v>
      </c>
      <c r="O593" s="12">
        <v>0</v>
      </c>
      <c r="P593" s="12">
        <v>0</v>
      </c>
      <c r="Q593" s="12">
        <v>0</v>
      </c>
      <c r="R593" s="12">
        <v>0</v>
      </c>
      <c r="S593" s="12">
        <v>0</v>
      </c>
      <c r="T593" s="12">
        <v>0</v>
      </c>
      <c r="U593" s="12">
        <v>0</v>
      </c>
      <c r="V593" s="12">
        <v>0</v>
      </c>
      <c r="W593" s="12">
        <v>0</v>
      </c>
      <c r="X593" s="12">
        <v>0</v>
      </c>
      <c r="Y593" s="12">
        <v>0</v>
      </c>
    </row>
    <row r="594" spans="13:25" x14ac:dyDescent="0.35">
      <c r="M594" s="6" t="s">
        <v>606</v>
      </c>
      <c r="N594" s="12"/>
      <c r="O594" s="12">
        <v>0</v>
      </c>
      <c r="P594" s="12">
        <v>0</v>
      </c>
      <c r="Q594" s="12"/>
      <c r="R594" s="12">
        <v>0</v>
      </c>
      <c r="S594" s="12">
        <v>0</v>
      </c>
      <c r="T594" s="12">
        <v>0</v>
      </c>
      <c r="U594" s="12"/>
      <c r="V594" s="12">
        <v>0</v>
      </c>
      <c r="W594" s="12">
        <v>0</v>
      </c>
      <c r="X594" s="12"/>
      <c r="Y594" s="12">
        <v>0</v>
      </c>
    </row>
    <row r="595" spans="13:25" x14ac:dyDescent="0.35">
      <c r="M595" s="6" t="s">
        <v>611</v>
      </c>
      <c r="N595" s="12"/>
      <c r="O595" s="12" t="e">
        <v>#VALUE!</v>
      </c>
      <c r="P595" s="12" t="e">
        <v>#VALUE!</v>
      </c>
      <c r="Q595" s="12"/>
      <c r="R595" s="12">
        <v>0</v>
      </c>
      <c r="S595" s="12">
        <v>0</v>
      </c>
      <c r="T595" s="12" t="e">
        <v>#VALUE!</v>
      </c>
      <c r="U595" s="12"/>
      <c r="V595" s="12" t="e">
        <v>#VALUE!</v>
      </c>
      <c r="W595" s="12" t="e">
        <v>#VALUE!</v>
      </c>
      <c r="X595" s="12"/>
      <c r="Y595" s="12">
        <v>0</v>
      </c>
    </row>
    <row r="596" spans="13:25" x14ac:dyDescent="0.35">
      <c r="M596" s="6" t="s">
        <v>617</v>
      </c>
      <c r="N596" s="12"/>
      <c r="O596" s="12" t="e">
        <v>#VALUE!</v>
      </c>
      <c r="P596" s="12" t="e">
        <v>#VALUE!</v>
      </c>
      <c r="Q596" s="12"/>
      <c r="R596" s="12">
        <v>0</v>
      </c>
      <c r="S596" s="12">
        <v>0</v>
      </c>
      <c r="T596" s="12" t="e">
        <v>#VALUE!</v>
      </c>
      <c r="U596" s="12"/>
      <c r="V596" s="12" t="e">
        <v>#VALUE!</v>
      </c>
      <c r="W596" s="12" t="e">
        <v>#VALUE!</v>
      </c>
      <c r="X596" s="12"/>
      <c r="Y596" s="12">
        <v>0</v>
      </c>
    </row>
    <row r="597" spans="13:25" x14ac:dyDescent="0.35">
      <c r="M597" s="6" t="s">
        <v>619</v>
      </c>
      <c r="N597" s="12"/>
      <c r="O597" s="12" t="e">
        <v>#VALUE!</v>
      </c>
      <c r="P597" s="12" t="e">
        <v>#VALUE!</v>
      </c>
      <c r="Q597" s="12"/>
      <c r="R597" s="12">
        <v>0</v>
      </c>
      <c r="S597" s="12">
        <v>0</v>
      </c>
      <c r="T597" s="12" t="e">
        <v>#VALUE!</v>
      </c>
      <c r="U597" s="12"/>
      <c r="V597" s="12" t="e">
        <v>#VALUE!</v>
      </c>
      <c r="W597" s="12" t="e">
        <v>#VALUE!</v>
      </c>
      <c r="X597" s="12"/>
      <c r="Y597" s="12">
        <v>0</v>
      </c>
    </row>
    <row r="598" spans="13:25" x14ac:dyDescent="0.35">
      <c r="M598" s="6" t="s">
        <v>621</v>
      </c>
      <c r="N598" s="12"/>
      <c r="O598" s="12" t="e">
        <v>#VALUE!</v>
      </c>
      <c r="P598" s="12" t="e">
        <v>#VALUE!</v>
      </c>
      <c r="Q598" s="12"/>
      <c r="R598" s="12">
        <v>0</v>
      </c>
      <c r="S598" s="12">
        <v>0</v>
      </c>
      <c r="T598" s="12" t="e">
        <v>#VALUE!</v>
      </c>
      <c r="U598" s="12"/>
      <c r="V598" s="12" t="e">
        <v>#VALUE!</v>
      </c>
      <c r="W598" s="12" t="e">
        <v>#VALUE!</v>
      </c>
      <c r="X598" s="12"/>
      <c r="Y598" s="12">
        <v>0</v>
      </c>
    </row>
    <row r="599" spans="13:25" x14ac:dyDescent="0.35">
      <c r="M599" s="6" t="s">
        <v>623</v>
      </c>
      <c r="N599" s="12"/>
      <c r="O599" s="12" t="e">
        <v>#VALUE!</v>
      </c>
      <c r="P599" s="12" t="e">
        <v>#VALUE!</v>
      </c>
      <c r="Q599" s="12"/>
      <c r="R599" s="12">
        <v>0</v>
      </c>
      <c r="S599" s="12">
        <v>0</v>
      </c>
      <c r="T599" s="12" t="e">
        <v>#VALUE!</v>
      </c>
      <c r="U599" s="12"/>
      <c r="V599" s="12" t="e">
        <v>#VALUE!</v>
      </c>
      <c r="W599" s="12" t="e">
        <v>#VALUE!</v>
      </c>
      <c r="X599" s="12"/>
      <c r="Y599" s="12" t="e">
        <v>#VALUE!</v>
      </c>
    </row>
    <row r="600" spans="13:25" x14ac:dyDescent="0.35">
      <c r="M600" s="6" t="s">
        <v>633</v>
      </c>
      <c r="N600" s="12"/>
      <c r="O600" s="12" t="e">
        <v>#VALUE!</v>
      </c>
      <c r="P600" s="12" t="e">
        <v>#VALUE!</v>
      </c>
      <c r="Q600" s="12"/>
      <c r="R600" s="12">
        <v>0</v>
      </c>
      <c r="S600" s="12" t="e">
        <v>#VALUE!</v>
      </c>
      <c r="T600" s="12" t="e">
        <v>#VALUE!</v>
      </c>
      <c r="U600" s="12"/>
      <c r="V600" s="12">
        <v>0</v>
      </c>
      <c r="W600" s="12">
        <v>0</v>
      </c>
      <c r="X600" s="12"/>
      <c r="Y600" s="12">
        <v>0</v>
      </c>
    </row>
    <row r="601" spans="13:25" x14ac:dyDescent="0.35">
      <c r="M601" s="6" t="s">
        <v>636</v>
      </c>
      <c r="N601" s="12"/>
      <c r="O601" s="12" t="e">
        <v>#VALUE!</v>
      </c>
      <c r="P601" s="12" t="e">
        <v>#VALUE!</v>
      </c>
      <c r="Q601" s="12"/>
      <c r="R601" s="12">
        <v>0</v>
      </c>
      <c r="S601" s="12" t="e">
        <v>#VALUE!</v>
      </c>
      <c r="T601" s="12" t="e">
        <v>#VALUE!</v>
      </c>
      <c r="U601" s="12"/>
      <c r="V601" s="12">
        <v>0</v>
      </c>
      <c r="W601" s="12">
        <v>0</v>
      </c>
      <c r="X601" s="12"/>
      <c r="Y601" s="12">
        <v>0</v>
      </c>
    </row>
    <row r="602" spans="13:25" x14ac:dyDescent="0.35">
      <c r="M602" s="6" t="s">
        <v>639</v>
      </c>
      <c r="N602" s="12"/>
      <c r="O602" s="12">
        <v>0</v>
      </c>
      <c r="P602" s="12">
        <v>0</v>
      </c>
      <c r="Q602" s="12"/>
      <c r="R602" s="12">
        <v>0</v>
      </c>
      <c r="S602" s="12">
        <v>0</v>
      </c>
      <c r="T602" s="12">
        <v>0</v>
      </c>
      <c r="U602" s="12"/>
      <c r="V602" s="12">
        <v>0</v>
      </c>
      <c r="W602" s="12">
        <v>0</v>
      </c>
      <c r="X602" s="12"/>
      <c r="Y602" s="12">
        <v>0</v>
      </c>
    </row>
    <row r="603" spans="13:25" x14ac:dyDescent="0.35">
      <c r="M603" s="6" t="s">
        <v>644</v>
      </c>
      <c r="N603" s="12"/>
      <c r="O603" s="12">
        <v>0</v>
      </c>
      <c r="P603" s="12">
        <v>0</v>
      </c>
      <c r="Q603" s="12"/>
      <c r="R603" s="12">
        <v>0</v>
      </c>
      <c r="S603" s="12">
        <v>0</v>
      </c>
      <c r="T603" s="12">
        <v>0</v>
      </c>
      <c r="U603" s="12"/>
      <c r="V603" s="12">
        <v>0</v>
      </c>
      <c r="W603" s="12">
        <v>0</v>
      </c>
      <c r="X603" s="12"/>
      <c r="Y603" s="12">
        <v>0</v>
      </c>
    </row>
    <row r="604" spans="13:25" x14ac:dyDescent="0.35">
      <c r="M604" s="6" t="s">
        <v>647</v>
      </c>
      <c r="N604" s="12"/>
      <c r="O604" s="12">
        <v>0</v>
      </c>
      <c r="P604" s="12">
        <v>0</v>
      </c>
      <c r="Q604" s="12"/>
      <c r="R604" s="12">
        <v>0</v>
      </c>
      <c r="S604" s="12">
        <v>0</v>
      </c>
      <c r="T604" s="12">
        <v>0</v>
      </c>
      <c r="U604" s="12"/>
      <c r="V604" s="12">
        <v>0</v>
      </c>
      <c r="W604" s="12">
        <v>0</v>
      </c>
      <c r="X604" s="12"/>
      <c r="Y604" s="12">
        <v>0</v>
      </c>
    </row>
    <row r="605" spans="13:25" x14ac:dyDescent="0.35">
      <c r="M605" s="6" t="s">
        <v>649</v>
      </c>
      <c r="N605" s="12"/>
      <c r="O605" s="12">
        <v>0</v>
      </c>
      <c r="P605" s="12">
        <v>0</v>
      </c>
      <c r="Q605" s="12"/>
      <c r="R605" s="12">
        <v>0</v>
      </c>
      <c r="S605" s="12">
        <v>0</v>
      </c>
      <c r="T605" s="12">
        <v>0</v>
      </c>
      <c r="U605" s="12"/>
      <c r="V605" s="12">
        <v>0</v>
      </c>
      <c r="W605" s="12">
        <v>0</v>
      </c>
      <c r="X605" s="12"/>
      <c r="Y605" s="12">
        <v>0</v>
      </c>
    </row>
    <row r="606" spans="13:25" x14ac:dyDescent="0.35">
      <c r="M606" s="6" t="s">
        <v>651</v>
      </c>
      <c r="N606" s="12"/>
      <c r="O606" s="12">
        <v>0</v>
      </c>
      <c r="P606" s="12">
        <v>0</v>
      </c>
      <c r="Q606" s="12"/>
      <c r="R606" s="12">
        <v>0</v>
      </c>
      <c r="S606" s="12">
        <v>0</v>
      </c>
      <c r="T606" s="12">
        <v>0</v>
      </c>
      <c r="U606" s="12"/>
      <c r="V606" s="12">
        <v>0</v>
      </c>
      <c r="W606" s="12">
        <v>0</v>
      </c>
      <c r="X606" s="12"/>
      <c r="Y606" s="12">
        <v>0</v>
      </c>
    </row>
    <row r="607" spans="13:25" x14ac:dyDescent="0.35">
      <c r="M607" s="6" t="s">
        <v>653</v>
      </c>
      <c r="N607" s="12"/>
      <c r="O607" s="12">
        <v>0</v>
      </c>
      <c r="P607" s="12">
        <v>0</v>
      </c>
      <c r="Q607" s="12"/>
      <c r="R607" s="12">
        <v>0</v>
      </c>
      <c r="S607" s="12">
        <v>0</v>
      </c>
      <c r="T607" s="12">
        <v>0</v>
      </c>
      <c r="U607" s="12"/>
      <c r="V607" s="12">
        <v>0</v>
      </c>
      <c r="W607" s="12">
        <v>0</v>
      </c>
      <c r="X607" s="12"/>
      <c r="Y607" s="12">
        <v>0</v>
      </c>
    </row>
    <row r="608" spans="13:25" x14ac:dyDescent="0.35">
      <c r="M608" s="6" t="s">
        <v>655</v>
      </c>
      <c r="N608" s="12"/>
      <c r="O608" s="12">
        <v>0</v>
      </c>
      <c r="P608" s="12">
        <v>0</v>
      </c>
      <c r="Q608" s="12"/>
      <c r="R608" s="12">
        <v>0</v>
      </c>
      <c r="S608" s="12">
        <v>0</v>
      </c>
      <c r="T608" s="12">
        <v>0</v>
      </c>
      <c r="U608" s="12"/>
      <c r="V608" s="12">
        <v>0</v>
      </c>
      <c r="W608" s="12">
        <v>0</v>
      </c>
      <c r="X608" s="12"/>
      <c r="Y608" s="12">
        <v>0</v>
      </c>
    </row>
    <row r="609" spans="13:25" x14ac:dyDescent="0.35">
      <c r="M609" s="6" t="s">
        <v>657</v>
      </c>
      <c r="N609" s="12"/>
      <c r="O609" s="12">
        <v>0</v>
      </c>
      <c r="P609" s="12">
        <v>0</v>
      </c>
      <c r="Q609" s="12"/>
      <c r="R609" s="12">
        <v>0</v>
      </c>
      <c r="S609" s="12">
        <v>0</v>
      </c>
      <c r="T609" s="12">
        <v>0</v>
      </c>
      <c r="U609" s="12"/>
      <c r="V609" s="12">
        <v>0</v>
      </c>
      <c r="W609" s="12">
        <v>0</v>
      </c>
      <c r="X609" s="12"/>
      <c r="Y609" s="12">
        <v>0</v>
      </c>
    </row>
    <row r="610" spans="13:25" x14ac:dyDescent="0.35">
      <c r="M610" s="6" t="s">
        <v>659</v>
      </c>
      <c r="N610" s="12"/>
      <c r="O610" s="12">
        <v>0</v>
      </c>
      <c r="P610" s="12">
        <v>0</v>
      </c>
      <c r="Q610" s="12"/>
      <c r="R610" s="12">
        <v>0</v>
      </c>
      <c r="S610" s="12">
        <v>0</v>
      </c>
      <c r="T610" s="12">
        <v>0</v>
      </c>
      <c r="U610" s="12"/>
      <c r="V610" s="12">
        <v>0</v>
      </c>
      <c r="W610" s="12">
        <v>0</v>
      </c>
      <c r="X610" s="12"/>
      <c r="Y610" s="12">
        <v>0</v>
      </c>
    </row>
    <row r="611" spans="13:25" x14ac:dyDescent="0.35">
      <c r="M611" s="6" t="s">
        <v>661</v>
      </c>
      <c r="N611" s="12"/>
      <c r="O611" s="12">
        <v>0</v>
      </c>
      <c r="P611" s="12">
        <v>0</v>
      </c>
      <c r="Q611" s="12"/>
      <c r="R611" s="12">
        <v>0</v>
      </c>
      <c r="S611" s="12">
        <v>0</v>
      </c>
      <c r="T611" s="12">
        <v>0</v>
      </c>
      <c r="U611" s="12"/>
      <c r="V611" s="12">
        <v>0</v>
      </c>
      <c r="W611" s="12">
        <v>0</v>
      </c>
      <c r="X611" s="12"/>
      <c r="Y611" s="12">
        <v>0</v>
      </c>
    </row>
    <row r="612" spans="13:25" x14ac:dyDescent="0.35">
      <c r="M612" s="6" t="s">
        <v>663</v>
      </c>
      <c r="N612" s="12"/>
      <c r="O612" s="12">
        <v>0</v>
      </c>
      <c r="P612" s="12">
        <v>0</v>
      </c>
      <c r="Q612" s="12"/>
      <c r="R612" s="12">
        <v>0</v>
      </c>
      <c r="S612" s="12">
        <v>0</v>
      </c>
      <c r="T612" s="12">
        <v>0</v>
      </c>
      <c r="U612" s="12"/>
      <c r="V612" s="12">
        <v>0</v>
      </c>
      <c r="W612" s="12">
        <v>0</v>
      </c>
      <c r="X612" s="12"/>
      <c r="Y612" s="12">
        <v>0</v>
      </c>
    </row>
    <row r="613" spans="13:25" x14ac:dyDescent="0.35">
      <c r="M613" s="6" t="s">
        <v>666</v>
      </c>
      <c r="N613" s="12"/>
      <c r="O613" s="12">
        <v>0</v>
      </c>
      <c r="P613" s="12">
        <v>0</v>
      </c>
      <c r="Q613" s="12"/>
      <c r="R613" s="12">
        <v>0</v>
      </c>
      <c r="S613" s="12">
        <v>0</v>
      </c>
      <c r="T613" s="12">
        <v>0</v>
      </c>
      <c r="U613" s="12"/>
      <c r="V613" s="12">
        <v>0</v>
      </c>
      <c r="W613" s="12">
        <v>0</v>
      </c>
      <c r="X613" s="12"/>
      <c r="Y613" s="12">
        <v>0</v>
      </c>
    </row>
    <row r="614" spans="13:25" x14ac:dyDescent="0.35">
      <c r="M614" s="6" t="s">
        <v>668</v>
      </c>
      <c r="N614" s="12"/>
      <c r="O614" s="12">
        <v>0</v>
      </c>
      <c r="P614" s="12">
        <v>0</v>
      </c>
      <c r="Q614" s="12"/>
      <c r="R614" s="12">
        <v>0</v>
      </c>
      <c r="S614" s="12">
        <v>0</v>
      </c>
      <c r="T614" s="12">
        <v>0</v>
      </c>
      <c r="U614" s="12"/>
      <c r="V614" s="12">
        <v>0</v>
      </c>
      <c r="W614" s="12">
        <v>0</v>
      </c>
      <c r="X614" s="12"/>
      <c r="Y614" s="12">
        <v>0</v>
      </c>
    </row>
    <row r="615" spans="13:25" x14ac:dyDescent="0.35">
      <c r="M615" s="6" t="s">
        <v>670</v>
      </c>
      <c r="N615" s="12"/>
      <c r="O615" s="12">
        <v>0</v>
      </c>
      <c r="P615" s="12">
        <v>0</v>
      </c>
      <c r="Q615" s="12"/>
      <c r="R615" s="12">
        <v>0</v>
      </c>
      <c r="S615" s="12">
        <v>0</v>
      </c>
      <c r="T615" s="12">
        <v>0</v>
      </c>
      <c r="U615" s="12"/>
      <c r="V615" s="12">
        <v>0</v>
      </c>
      <c r="W615" s="12">
        <v>0</v>
      </c>
      <c r="X615" s="12"/>
      <c r="Y615" s="12">
        <v>0</v>
      </c>
    </row>
    <row r="616" spans="13:25" x14ac:dyDescent="0.35">
      <c r="M616" s="6" t="s">
        <v>672</v>
      </c>
      <c r="N616" s="12"/>
      <c r="O616" s="12">
        <v>0</v>
      </c>
      <c r="P616" s="12">
        <v>0</v>
      </c>
      <c r="Q616" s="12"/>
      <c r="R616" s="12">
        <v>0</v>
      </c>
      <c r="S616" s="12">
        <v>0</v>
      </c>
      <c r="T616" s="12">
        <v>0</v>
      </c>
      <c r="U616" s="12"/>
      <c r="V616" s="12">
        <v>0</v>
      </c>
      <c r="W616" s="12">
        <v>0</v>
      </c>
      <c r="X616" s="12"/>
      <c r="Y616" s="12">
        <v>0</v>
      </c>
    </row>
    <row r="617" spans="13:25" x14ac:dyDescent="0.35">
      <c r="M617" s="6" t="s">
        <v>675</v>
      </c>
      <c r="N617" s="12"/>
      <c r="O617" s="12">
        <v>0</v>
      </c>
      <c r="P617" s="12">
        <v>0</v>
      </c>
      <c r="Q617" s="12"/>
      <c r="R617" s="12">
        <v>0</v>
      </c>
      <c r="S617" s="12">
        <v>0</v>
      </c>
      <c r="T617" s="12">
        <v>0</v>
      </c>
      <c r="U617" s="12"/>
      <c r="V617" s="12">
        <v>0</v>
      </c>
      <c r="W617" s="12">
        <v>0</v>
      </c>
      <c r="X617" s="12"/>
      <c r="Y617" s="12">
        <v>0</v>
      </c>
    </row>
    <row r="618" spans="13:25" x14ac:dyDescent="0.35">
      <c r="M618" s="6" t="s">
        <v>677</v>
      </c>
      <c r="N618" s="12"/>
      <c r="O618" s="12">
        <v>0</v>
      </c>
      <c r="P618" s="12">
        <v>0</v>
      </c>
      <c r="Q618" s="12"/>
      <c r="R618" s="12">
        <v>0</v>
      </c>
      <c r="S618" s="12">
        <v>0</v>
      </c>
      <c r="T618" s="12">
        <v>0</v>
      </c>
      <c r="U618" s="12"/>
      <c r="V618" s="12">
        <v>0</v>
      </c>
      <c r="W618" s="12">
        <v>0</v>
      </c>
      <c r="X618" s="12"/>
      <c r="Y618" s="12">
        <v>0</v>
      </c>
    </row>
    <row r="619" spans="13:25" x14ac:dyDescent="0.35">
      <c r="M619" s="6" t="s">
        <v>679</v>
      </c>
      <c r="N619" s="12"/>
      <c r="O619" s="12">
        <v>0</v>
      </c>
      <c r="P619" s="12">
        <v>0</v>
      </c>
      <c r="Q619" s="12"/>
      <c r="R619" s="12">
        <v>0</v>
      </c>
      <c r="S619" s="12">
        <v>0</v>
      </c>
      <c r="T619" s="12">
        <v>0</v>
      </c>
      <c r="U619" s="12"/>
      <c r="V619" s="12">
        <v>0</v>
      </c>
      <c r="W619" s="12">
        <v>0</v>
      </c>
      <c r="X619" s="12"/>
      <c r="Y619" s="12">
        <v>0</v>
      </c>
    </row>
    <row r="620" spans="13:25" x14ac:dyDescent="0.35">
      <c r="M620" s="6" t="s">
        <v>685</v>
      </c>
      <c r="N620" s="12"/>
      <c r="O620" s="12">
        <v>0</v>
      </c>
      <c r="P620" s="12">
        <v>0</v>
      </c>
      <c r="Q620" s="12"/>
      <c r="R620" s="12">
        <v>0</v>
      </c>
      <c r="S620" s="12">
        <v>0</v>
      </c>
      <c r="T620" s="12">
        <v>0</v>
      </c>
      <c r="U620" s="12"/>
      <c r="V620" s="12">
        <v>0</v>
      </c>
      <c r="W620" s="12">
        <v>0</v>
      </c>
      <c r="X620" s="12"/>
      <c r="Y620" s="12">
        <v>0</v>
      </c>
    </row>
    <row r="621" spans="13:25" x14ac:dyDescent="0.35">
      <c r="M621" s="6" t="s">
        <v>687</v>
      </c>
      <c r="N621" s="12"/>
      <c r="O621" s="12">
        <v>0</v>
      </c>
      <c r="P621" s="12">
        <v>0</v>
      </c>
      <c r="Q621" s="12"/>
      <c r="R621" s="12">
        <v>0</v>
      </c>
      <c r="S621" s="12">
        <v>0</v>
      </c>
      <c r="T621" s="12">
        <v>0</v>
      </c>
      <c r="U621" s="12"/>
      <c r="V621" s="12">
        <v>0</v>
      </c>
      <c r="W621" s="12">
        <v>0</v>
      </c>
      <c r="X621" s="12"/>
      <c r="Y621" s="12">
        <v>0</v>
      </c>
    </row>
    <row r="622" spans="13:25" x14ac:dyDescent="0.35">
      <c r="M622" s="6" t="s">
        <v>689</v>
      </c>
      <c r="N622" s="12"/>
      <c r="O622" s="12">
        <v>0</v>
      </c>
      <c r="P622" s="12">
        <v>0</v>
      </c>
      <c r="Q622" s="12"/>
      <c r="R622" s="12">
        <v>0</v>
      </c>
      <c r="S622" s="12">
        <v>0</v>
      </c>
      <c r="T622" s="12">
        <v>0</v>
      </c>
      <c r="U622" s="12"/>
      <c r="V622" s="12">
        <v>0</v>
      </c>
      <c r="W622" s="12">
        <v>0</v>
      </c>
      <c r="X622" s="12"/>
      <c r="Y622" s="12">
        <v>0</v>
      </c>
    </row>
    <row r="623" spans="13:25" x14ac:dyDescent="0.35">
      <c r="M623" s="6" t="s">
        <v>692</v>
      </c>
      <c r="N623" s="12"/>
      <c r="O623" s="12">
        <v>0</v>
      </c>
      <c r="P623" s="12">
        <v>0</v>
      </c>
      <c r="Q623" s="12"/>
      <c r="R623" s="12">
        <v>0</v>
      </c>
      <c r="S623" s="12">
        <v>0</v>
      </c>
      <c r="T623" s="12">
        <v>0</v>
      </c>
      <c r="U623" s="12"/>
      <c r="V623" s="12">
        <v>0</v>
      </c>
      <c r="W623" s="12">
        <v>0</v>
      </c>
      <c r="X623" s="12"/>
      <c r="Y623" s="12">
        <v>0</v>
      </c>
    </row>
    <row r="624" spans="13:25" x14ac:dyDescent="0.35">
      <c r="M624" s="6" t="s">
        <v>694</v>
      </c>
      <c r="N624" s="12"/>
      <c r="O624" s="12">
        <v>0</v>
      </c>
      <c r="P624" s="12">
        <v>0</v>
      </c>
      <c r="Q624" s="12"/>
      <c r="R624" s="12">
        <v>0</v>
      </c>
      <c r="S624" s="12">
        <v>0</v>
      </c>
      <c r="T624" s="12">
        <v>0</v>
      </c>
      <c r="U624" s="12"/>
      <c r="V624" s="12">
        <v>0</v>
      </c>
      <c r="W624" s="12">
        <v>0</v>
      </c>
      <c r="X624" s="12"/>
      <c r="Y624" s="12">
        <v>0</v>
      </c>
    </row>
    <row r="625" spans="13:25" x14ac:dyDescent="0.35">
      <c r="M625" s="6" t="s">
        <v>696</v>
      </c>
      <c r="N625" s="12"/>
      <c r="O625" s="12">
        <v>0</v>
      </c>
      <c r="P625" s="12">
        <v>0</v>
      </c>
      <c r="Q625" s="12"/>
      <c r="R625" s="12">
        <v>0</v>
      </c>
      <c r="S625" s="12">
        <v>0</v>
      </c>
      <c r="T625" s="12">
        <v>0</v>
      </c>
      <c r="U625" s="12"/>
      <c r="V625" s="12">
        <v>0</v>
      </c>
      <c r="W625" s="12">
        <v>0</v>
      </c>
      <c r="X625" s="12"/>
      <c r="Y625" s="12">
        <v>0</v>
      </c>
    </row>
    <row r="626" spans="13:25" x14ac:dyDescent="0.35">
      <c r="M626" s="6" t="s">
        <v>698</v>
      </c>
      <c r="N626" s="12"/>
      <c r="O626" s="12">
        <v>0</v>
      </c>
      <c r="P626" s="12">
        <v>0</v>
      </c>
      <c r="Q626" s="12"/>
      <c r="R626" s="12">
        <v>0</v>
      </c>
      <c r="S626" s="12">
        <v>0</v>
      </c>
      <c r="T626" s="12">
        <v>0</v>
      </c>
      <c r="U626" s="12"/>
      <c r="V626" s="12">
        <v>0</v>
      </c>
      <c r="W626" s="12">
        <v>0</v>
      </c>
      <c r="X626" s="12"/>
      <c r="Y626" s="12">
        <v>0</v>
      </c>
    </row>
    <row r="627" spans="13:25" x14ac:dyDescent="0.35">
      <c r="M627" s="6" t="s">
        <v>700</v>
      </c>
      <c r="N627" s="12"/>
      <c r="O627" s="12">
        <v>0</v>
      </c>
      <c r="P627" s="12">
        <v>0</v>
      </c>
      <c r="Q627" s="12"/>
      <c r="R627" s="12">
        <v>0</v>
      </c>
      <c r="S627" s="12">
        <v>0</v>
      </c>
      <c r="T627" s="12">
        <v>0</v>
      </c>
      <c r="U627" s="12"/>
      <c r="V627" s="12">
        <v>0</v>
      </c>
      <c r="W627" s="12">
        <v>0</v>
      </c>
      <c r="X627" s="12"/>
      <c r="Y627" s="12">
        <v>0</v>
      </c>
    </row>
    <row r="628" spans="13:25" x14ac:dyDescent="0.35">
      <c r="M628" s="6" t="s">
        <v>702</v>
      </c>
      <c r="N628" s="12"/>
      <c r="O628" s="12">
        <v>0</v>
      </c>
      <c r="P628" s="12">
        <v>0</v>
      </c>
      <c r="Q628" s="12"/>
      <c r="R628" s="12">
        <v>0</v>
      </c>
      <c r="S628" s="12">
        <v>0</v>
      </c>
      <c r="T628" s="12">
        <v>0</v>
      </c>
      <c r="U628" s="12"/>
      <c r="V628" s="12">
        <v>0</v>
      </c>
      <c r="W628" s="12">
        <v>0</v>
      </c>
      <c r="X628" s="12"/>
      <c r="Y628" s="12">
        <v>0</v>
      </c>
    </row>
    <row r="629" spans="13:25" x14ac:dyDescent="0.35">
      <c r="M629" s="6" t="s">
        <v>704</v>
      </c>
      <c r="N629" s="12"/>
      <c r="O629" s="12">
        <v>0</v>
      </c>
      <c r="P629" s="12">
        <v>0</v>
      </c>
      <c r="Q629" s="12"/>
      <c r="R629" s="12">
        <v>0</v>
      </c>
      <c r="S629" s="12">
        <v>0</v>
      </c>
      <c r="T629" s="12">
        <v>0</v>
      </c>
      <c r="U629" s="12"/>
      <c r="V629" s="12">
        <v>0</v>
      </c>
      <c r="W629" s="12">
        <v>0</v>
      </c>
      <c r="X629" s="12"/>
      <c r="Y629" s="12">
        <v>0</v>
      </c>
    </row>
    <row r="630" spans="13:25" x14ac:dyDescent="0.35">
      <c r="M630" s="6" t="s">
        <v>706</v>
      </c>
      <c r="N630" s="12"/>
      <c r="O630" s="12">
        <v>0</v>
      </c>
      <c r="P630" s="12">
        <v>0</v>
      </c>
      <c r="Q630" s="12"/>
      <c r="R630" s="12">
        <v>0</v>
      </c>
      <c r="S630" s="12">
        <v>0</v>
      </c>
      <c r="T630" s="12">
        <v>0</v>
      </c>
      <c r="U630" s="12"/>
      <c r="V630" s="12">
        <v>0</v>
      </c>
      <c r="W630" s="12">
        <v>0</v>
      </c>
      <c r="X630" s="12"/>
      <c r="Y630" s="12">
        <v>0</v>
      </c>
    </row>
    <row r="631" spans="13:25" x14ac:dyDescent="0.35">
      <c r="M631" s="6" t="s">
        <v>708</v>
      </c>
      <c r="N631" s="12"/>
      <c r="O631" s="12">
        <v>0</v>
      </c>
      <c r="P631" s="12">
        <v>0</v>
      </c>
      <c r="Q631" s="12"/>
      <c r="R631" s="12">
        <v>0</v>
      </c>
      <c r="S631" s="12">
        <v>0</v>
      </c>
      <c r="T631" s="12">
        <v>0</v>
      </c>
      <c r="U631" s="12"/>
      <c r="V631" s="12">
        <v>0</v>
      </c>
      <c r="W631" s="12">
        <v>0</v>
      </c>
      <c r="X631" s="12"/>
      <c r="Y631" s="12">
        <v>0</v>
      </c>
    </row>
    <row r="632" spans="13:25" x14ac:dyDescent="0.35">
      <c r="M632" s="6" t="s">
        <v>710</v>
      </c>
      <c r="N632" s="12"/>
      <c r="O632" s="12">
        <v>0</v>
      </c>
      <c r="P632" s="12">
        <v>0</v>
      </c>
      <c r="Q632" s="12"/>
      <c r="R632" s="12">
        <v>0</v>
      </c>
      <c r="S632" s="12">
        <v>0</v>
      </c>
      <c r="T632" s="12">
        <v>0</v>
      </c>
      <c r="U632" s="12"/>
      <c r="V632" s="12">
        <v>0</v>
      </c>
      <c r="W632" s="12">
        <v>0</v>
      </c>
      <c r="X632" s="12"/>
      <c r="Y632" s="12">
        <v>0</v>
      </c>
    </row>
    <row r="633" spans="13:25" x14ac:dyDescent="0.35">
      <c r="M633" s="6" t="s">
        <v>712</v>
      </c>
      <c r="N633" s="12"/>
      <c r="O633" s="12">
        <v>0</v>
      </c>
      <c r="P633" s="12">
        <v>0</v>
      </c>
      <c r="Q633" s="12"/>
      <c r="R633" s="12">
        <v>0</v>
      </c>
      <c r="S633" s="12">
        <v>0</v>
      </c>
      <c r="T633" s="12">
        <v>0</v>
      </c>
      <c r="U633" s="12"/>
      <c r="V633" s="12">
        <v>0</v>
      </c>
      <c r="W633" s="12">
        <v>0</v>
      </c>
      <c r="X633" s="12"/>
      <c r="Y633" s="12">
        <v>0</v>
      </c>
    </row>
    <row r="634" spans="13:25" x14ac:dyDescent="0.35">
      <c r="M634" s="6" t="s">
        <v>714</v>
      </c>
      <c r="N634" s="12"/>
      <c r="O634" s="12">
        <v>0</v>
      </c>
      <c r="P634" s="12">
        <v>0</v>
      </c>
      <c r="Q634" s="12"/>
      <c r="R634" s="12">
        <v>0</v>
      </c>
      <c r="S634" s="12">
        <v>0</v>
      </c>
      <c r="T634" s="12">
        <v>0</v>
      </c>
      <c r="U634" s="12"/>
      <c r="V634" s="12">
        <v>0</v>
      </c>
      <c r="W634" s="12">
        <v>0</v>
      </c>
      <c r="X634" s="12"/>
      <c r="Y634" s="12">
        <v>0</v>
      </c>
    </row>
    <row r="635" spans="13:25" x14ac:dyDescent="0.35">
      <c r="M635" s="6" t="s">
        <v>716</v>
      </c>
      <c r="N635" s="12"/>
      <c r="O635" s="12">
        <v>0</v>
      </c>
      <c r="P635" s="12">
        <v>0</v>
      </c>
      <c r="Q635" s="12"/>
      <c r="R635" s="12">
        <v>0</v>
      </c>
      <c r="S635" s="12">
        <v>0</v>
      </c>
      <c r="T635" s="12">
        <v>0</v>
      </c>
      <c r="U635" s="12"/>
      <c r="V635" s="12">
        <v>0</v>
      </c>
      <c r="W635" s="12">
        <v>0</v>
      </c>
      <c r="X635" s="12"/>
      <c r="Y635" s="12">
        <v>0</v>
      </c>
    </row>
    <row r="636" spans="13:25" x14ac:dyDescent="0.35">
      <c r="M636" s="6" t="s">
        <v>718</v>
      </c>
      <c r="N636" s="12"/>
      <c r="O636" s="12">
        <v>0</v>
      </c>
      <c r="P636" s="12">
        <v>0</v>
      </c>
      <c r="Q636" s="12"/>
      <c r="R636" s="12">
        <v>0</v>
      </c>
      <c r="S636" s="12">
        <v>0</v>
      </c>
      <c r="T636" s="12">
        <v>0</v>
      </c>
      <c r="U636" s="12"/>
      <c r="V636" s="12">
        <v>0</v>
      </c>
      <c r="W636" s="12">
        <v>0</v>
      </c>
      <c r="X636" s="12"/>
      <c r="Y636" s="12">
        <v>0</v>
      </c>
    </row>
    <row r="637" spans="13:25" x14ac:dyDescent="0.35">
      <c r="M637" s="6" t="s">
        <v>720</v>
      </c>
      <c r="N637" s="12"/>
      <c r="O637" s="12">
        <v>0</v>
      </c>
      <c r="P637" s="12">
        <v>0</v>
      </c>
      <c r="Q637" s="12"/>
      <c r="R637" s="12">
        <v>0</v>
      </c>
      <c r="S637" s="12">
        <v>0</v>
      </c>
      <c r="T637" s="12">
        <v>0</v>
      </c>
      <c r="U637" s="12"/>
      <c r="V637" s="12">
        <v>0</v>
      </c>
      <c r="W637" s="12">
        <v>0</v>
      </c>
      <c r="X637" s="12"/>
      <c r="Y637" s="12">
        <v>0</v>
      </c>
    </row>
    <row r="638" spans="13:25" x14ac:dyDescent="0.35">
      <c r="M638" s="6" t="s">
        <v>722</v>
      </c>
      <c r="N638" s="12"/>
      <c r="O638" s="12">
        <v>0</v>
      </c>
      <c r="P638" s="12">
        <v>0</v>
      </c>
      <c r="Q638" s="12"/>
      <c r="R638" s="12">
        <v>0</v>
      </c>
      <c r="S638" s="12">
        <v>0</v>
      </c>
      <c r="T638" s="12">
        <v>0</v>
      </c>
      <c r="U638" s="12"/>
      <c r="V638" s="12">
        <v>0</v>
      </c>
      <c r="W638" s="12">
        <v>0</v>
      </c>
      <c r="X638" s="12"/>
      <c r="Y638" s="12">
        <v>0</v>
      </c>
    </row>
    <row r="639" spans="13:25" x14ac:dyDescent="0.35">
      <c r="M639" s="6" t="s">
        <v>724</v>
      </c>
      <c r="N639" s="12"/>
      <c r="O639" s="12">
        <v>0</v>
      </c>
      <c r="P639" s="12">
        <v>0</v>
      </c>
      <c r="Q639" s="12"/>
      <c r="R639" s="12">
        <v>0</v>
      </c>
      <c r="S639" s="12">
        <v>0</v>
      </c>
      <c r="T639" s="12">
        <v>0</v>
      </c>
      <c r="U639" s="12"/>
      <c r="V639" s="12">
        <v>0</v>
      </c>
      <c r="W639" s="12">
        <v>0</v>
      </c>
      <c r="X639" s="12"/>
      <c r="Y639" s="12">
        <v>0</v>
      </c>
    </row>
    <row r="640" spans="13:25" x14ac:dyDescent="0.35">
      <c r="M640" s="6" t="s">
        <v>726</v>
      </c>
      <c r="N640" s="12"/>
      <c r="O640" s="12">
        <v>0</v>
      </c>
      <c r="P640" s="12">
        <v>0</v>
      </c>
      <c r="Q640" s="12"/>
      <c r="R640" s="12">
        <v>0</v>
      </c>
      <c r="S640" s="12">
        <v>0</v>
      </c>
      <c r="T640" s="12">
        <v>0</v>
      </c>
      <c r="U640" s="12"/>
      <c r="V640" s="12">
        <v>0</v>
      </c>
      <c r="W640" s="12">
        <v>0</v>
      </c>
      <c r="X640" s="12"/>
      <c r="Y640" s="12">
        <v>0</v>
      </c>
    </row>
    <row r="641" spans="13:25" x14ac:dyDescent="0.35">
      <c r="M641" s="6" t="s">
        <v>728</v>
      </c>
      <c r="N641" s="12"/>
      <c r="O641" s="12">
        <v>0</v>
      </c>
      <c r="P641" s="12">
        <v>0</v>
      </c>
      <c r="Q641" s="12"/>
      <c r="R641" s="12">
        <v>0</v>
      </c>
      <c r="S641" s="12">
        <v>0</v>
      </c>
      <c r="T641" s="12">
        <v>0</v>
      </c>
      <c r="U641" s="12"/>
      <c r="V641" s="12">
        <v>0</v>
      </c>
      <c r="W641" s="12">
        <v>0</v>
      </c>
      <c r="X641" s="12"/>
      <c r="Y641" s="12">
        <v>0</v>
      </c>
    </row>
    <row r="642" spans="13:25" x14ac:dyDescent="0.35">
      <c r="M642" s="6" t="s">
        <v>730</v>
      </c>
      <c r="N642" s="12"/>
      <c r="O642" s="12">
        <v>0</v>
      </c>
      <c r="P642" s="12">
        <v>0</v>
      </c>
      <c r="Q642" s="12"/>
      <c r="R642" s="12">
        <v>0</v>
      </c>
      <c r="S642" s="12">
        <v>0</v>
      </c>
      <c r="T642" s="12">
        <v>0</v>
      </c>
      <c r="U642" s="12"/>
      <c r="V642" s="12">
        <v>0</v>
      </c>
      <c r="W642" s="12">
        <v>0</v>
      </c>
      <c r="X642" s="12"/>
      <c r="Y642" s="12">
        <v>0</v>
      </c>
    </row>
    <row r="643" spans="13:25" x14ac:dyDescent="0.35">
      <c r="M643" s="6" t="s">
        <v>732</v>
      </c>
      <c r="N643" s="12"/>
      <c r="O643" s="12">
        <v>0</v>
      </c>
      <c r="P643" s="12">
        <v>0</v>
      </c>
      <c r="Q643" s="12"/>
      <c r="R643" s="12">
        <v>0</v>
      </c>
      <c r="S643" s="12">
        <v>0</v>
      </c>
      <c r="T643" s="12">
        <v>0</v>
      </c>
      <c r="U643" s="12"/>
      <c r="V643" s="12">
        <v>0</v>
      </c>
      <c r="W643" s="12">
        <v>0</v>
      </c>
      <c r="X643" s="12"/>
      <c r="Y643" s="12">
        <v>0</v>
      </c>
    </row>
    <row r="644" spans="13:25" x14ac:dyDescent="0.35">
      <c r="M644" s="6" t="s">
        <v>734</v>
      </c>
      <c r="N644" s="12"/>
      <c r="O644" s="12">
        <v>0</v>
      </c>
      <c r="P644" s="12">
        <v>0</v>
      </c>
      <c r="Q644" s="12"/>
      <c r="R644" s="12">
        <v>0</v>
      </c>
      <c r="S644" s="12">
        <v>0</v>
      </c>
      <c r="T644" s="12">
        <v>0</v>
      </c>
      <c r="U644" s="12"/>
      <c r="V644" s="12">
        <v>0</v>
      </c>
      <c r="W644" s="12">
        <v>0</v>
      </c>
      <c r="X644" s="12"/>
      <c r="Y644" s="12">
        <v>0</v>
      </c>
    </row>
    <row r="645" spans="13:25" x14ac:dyDescent="0.35">
      <c r="M645" s="6" t="s">
        <v>736</v>
      </c>
      <c r="N645" s="12"/>
      <c r="O645" s="12">
        <v>0</v>
      </c>
      <c r="P645" s="12">
        <v>0</v>
      </c>
      <c r="Q645" s="12"/>
      <c r="R645" s="12">
        <v>0</v>
      </c>
      <c r="S645" s="12">
        <v>0</v>
      </c>
      <c r="T645" s="12">
        <v>0</v>
      </c>
      <c r="U645" s="12"/>
      <c r="V645" s="12">
        <v>0</v>
      </c>
      <c r="W645" s="12">
        <v>0</v>
      </c>
      <c r="X645" s="12"/>
      <c r="Y645" s="12">
        <v>0</v>
      </c>
    </row>
    <row r="646" spans="13:25" x14ac:dyDescent="0.35">
      <c r="M646" s="6" t="s">
        <v>738</v>
      </c>
      <c r="N646" s="12"/>
      <c r="O646" s="12">
        <v>0</v>
      </c>
      <c r="P646" s="12">
        <v>0</v>
      </c>
      <c r="Q646" s="12"/>
      <c r="R646" s="12">
        <v>0</v>
      </c>
      <c r="S646" s="12">
        <v>0</v>
      </c>
      <c r="T646" s="12">
        <v>0</v>
      </c>
      <c r="U646" s="12"/>
      <c r="V646" s="12">
        <v>0</v>
      </c>
      <c r="W646" s="12">
        <v>0</v>
      </c>
      <c r="X646" s="12"/>
      <c r="Y646" s="12">
        <v>0</v>
      </c>
    </row>
    <row r="647" spans="13:25" x14ac:dyDescent="0.35">
      <c r="M647" s="6" t="s">
        <v>740</v>
      </c>
      <c r="N647" s="12"/>
      <c r="O647" s="12">
        <v>0</v>
      </c>
      <c r="P647" s="12">
        <v>0</v>
      </c>
      <c r="Q647" s="12"/>
      <c r="R647" s="12">
        <v>0</v>
      </c>
      <c r="S647" s="12">
        <v>0</v>
      </c>
      <c r="T647" s="12">
        <v>0</v>
      </c>
      <c r="U647" s="12"/>
      <c r="V647" s="12">
        <v>0</v>
      </c>
      <c r="W647" s="12">
        <v>0</v>
      </c>
      <c r="X647" s="12"/>
      <c r="Y647" s="12">
        <v>0</v>
      </c>
    </row>
    <row r="648" spans="13:25" x14ac:dyDescent="0.35">
      <c r="M648" s="6" t="s">
        <v>743</v>
      </c>
      <c r="N648" s="12"/>
      <c r="O648" s="12">
        <v>0</v>
      </c>
      <c r="P648" s="12">
        <v>0</v>
      </c>
      <c r="Q648" s="12"/>
      <c r="R648" s="12">
        <v>0</v>
      </c>
      <c r="S648" s="12">
        <v>0</v>
      </c>
      <c r="T648" s="12">
        <v>0</v>
      </c>
      <c r="U648" s="12"/>
      <c r="V648" s="12">
        <v>0</v>
      </c>
      <c r="W648" s="12">
        <v>0</v>
      </c>
      <c r="X648" s="12"/>
      <c r="Y648" s="12">
        <v>0</v>
      </c>
    </row>
    <row r="649" spans="13:25" x14ac:dyDescent="0.35">
      <c r="M649" s="6" t="s">
        <v>745</v>
      </c>
      <c r="N649" s="12"/>
      <c r="O649" s="12">
        <v>0</v>
      </c>
      <c r="P649" s="12">
        <v>0</v>
      </c>
      <c r="Q649" s="12"/>
      <c r="R649" s="12">
        <v>0</v>
      </c>
      <c r="S649" s="12">
        <v>0</v>
      </c>
      <c r="T649" s="12">
        <v>0</v>
      </c>
      <c r="U649" s="12"/>
      <c r="V649" s="12">
        <v>0</v>
      </c>
      <c r="W649" s="12">
        <v>0</v>
      </c>
      <c r="X649" s="12"/>
      <c r="Y649" s="12">
        <v>0</v>
      </c>
    </row>
    <row r="650" spans="13:25" x14ac:dyDescent="0.35">
      <c r="M650" s="6" t="s">
        <v>747</v>
      </c>
      <c r="N650" s="12"/>
      <c r="O650" s="12">
        <v>0</v>
      </c>
      <c r="P650" s="12">
        <v>0</v>
      </c>
      <c r="Q650" s="12"/>
      <c r="R650" s="12">
        <v>0</v>
      </c>
      <c r="S650" s="12">
        <v>0</v>
      </c>
      <c r="T650" s="12">
        <v>0</v>
      </c>
      <c r="U650" s="12"/>
      <c r="V650" s="12">
        <v>0</v>
      </c>
      <c r="W650" s="12">
        <v>0</v>
      </c>
      <c r="X650" s="12"/>
      <c r="Y650" s="12">
        <v>0</v>
      </c>
    </row>
    <row r="651" spans="13:25" x14ac:dyDescent="0.35">
      <c r="M651" s="6" t="s">
        <v>749</v>
      </c>
      <c r="N651" s="12"/>
      <c r="O651" s="12">
        <v>0</v>
      </c>
      <c r="P651" s="12">
        <v>0</v>
      </c>
      <c r="Q651" s="12"/>
      <c r="R651" s="12">
        <v>0</v>
      </c>
      <c r="S651" s="12">
        <v>0</v>
      </c>
      <c r="T651" s="12">
        <v>0</v>
      </c>
      <c r="U651" s="12"/>
      <c r="V651" s="12">
        <v>0</v>
      </c>
      <c r="W651" s="12">
        <v>0</v>
      </c>
      <c r="X651" s="12"/>
      <c r="Y651" s="12">
        <v>0</v>
      </c>
    </row>
    <row r="652" spans="13:25" x14ac:dyDescent="0.35">
      <c r="M652" s="6" t="s">
        <v>751</v>
      </c>
      <c r="N652" s="12"/>
      <c r="O652" s="12">
        <v>0</v>
      </c>
      <c r="P652" s="12">
        <v>0</v>
      </c>
      <c r="Q652" s="12"/>
      <c r="R652" s="12">
        <v>0</v>
      </c>
      <c r="S652" s="12">
        <v>0</v>
      </c>
      <c r="T652" s="12">
        <v>0</v>
      </c>
      <c r="U652" s="12"/>
      <c r="V652" s="12">
        <v>0</v>
      </c>
      <c r="W652" s="12">
        <v>0</v>
      </c>
      <c r="X652" s="12"/>
      <c r="Y652" s="12">
        <v>0</v>
      </c>
    </row>
    <row r="653" spans="13:25" x14ac:dyDescent="0.35">
      <c r="M653" s="6" t="s">
        <v>753</v>
      </c>
      <c r="N653" s="12"/>
      <c r="O653" s="12">
        <v>0</v>
      </c>
      <c r="P653" s="12">
        <v>0</v>
      </c>
      <c r="Q653" s="12"/>
      <c r="R653" s="12">
        <v>0</v>
      </c>
      <c r="S653" s="12">
        <v>0</v>
      </c>
      <c r="T653" s="12">
        <v>0</v>
      </c>
      <c r="U653" s="12"/>
      <c r="V653" s="12">
        <v>0</v>
      </c>
      <c r="W653" s="12">
        <v>0</v>
      </c>
      <c r="X653" s="12"/>
      <c r="Y653" s="12">
        <v>0</v>
      </c>
    </row>
    <row r="654" spans="13:25" x14ac:dyDescent="0.35">
      <c r="M654" s="6" t="s">
        <v>755</v>
      </c>
      <c r="N654" s="12"/>
      <c r="O654" s="12">
        <v>0</v>
      </c>
      <c r="P654" s="12">
        <v>0</v>
      </c>
      <c r="Q654" s="12"/>
      <c r="R654" s="12">
        <v>0</v>
      </c>
      <c r="S654" s="12">
        <v>0</v>
      </c>
      <c r="T654" s="12">
        <v>0</v>
      </c>
      <c r="U654" s="12"/>
      <c r="V654" s="12">
        <v>0</v>
      </c>
      <c r="W654" s="12">
        <v>0</v>
      </c>
      <c r="X654" s="12"/>
      <c r="Y654" s="12">
        <v>0</v>
      </c>
    </row>
    <row r="655" spans="13:25" x14ac:dyDescent="0.35">
      <c r="M655" s="6" t="s">
        <v>757</v>
      </c>
      <c r="N655" s="12"/>
      <c r="O655" s="12">
        <v>0</v>
      </c>
      <c r="P655" s="12">
        <v>0</v>
      </c>
      <c r="Q655" s="12"/>
      <c r="R655" s="12">
        <v>0</v>
      </c>
      <c r="S655" s="12">
        <v>0</v>
      </c>
      <c r="T655" s="12">
        <v>0</v>
      </c>
      <c r="U655" s="12"/>
      <c r="V655" s="12">
        <v>0</v>
      </c>
      <c r="W655" s="12">
        <v>0</v>
      </c>
      <c r="X655" s="12"/>
      <c r="Y655" s="12">
        <v>0</v>
      </c>
    </row>
    <row r="656" spans="13:25" x14ac:dyDescent="0.35">
      <c r="M656" s="6" t="s">
        <v>759</v>
      </c>
      <c r="N656" s="12"/>
      <c r="O656" s="12">
        <v>0</v>
      </c>
      <c r="P656" s="12">
        <v>0</v>
      </c>
      <c r="Q656" s="12"/>
      <c r="R656" s="12">
        <v>0</v>
      </c>
      <c r="S656" s="12">
        <v>0</v>
      </c>
      <c r="T656" s="12">
        <v>0</v>
      </c>
      <c r="U656" s="12"/>
      <c r="V656" s="12">
        <v>0</v>
      </c>
      <c r="W656" s="12">
        <v>0</v>
      </c>
      <c r="X656" s="12"/>
      <c r="Y656" s="12">
        <v>0</v>
      </c>
    </row>
    <row r="657" spans="13:25" x14ac:dyDescent="0.35">
      <c r="M657" s="6" t="s">
        <v>761</v>
      </c>
      <c r="N657" s="12"/>
      <c r="O657" s="12">
        <v>0</v>
      </c>
      <c r="P657" s="12">
        <v>0</v>
      </c>
      <c r="Q657" s="12"/>
      <c r="R657" s="12">
        <v>0</v>
      </c>
      <c r="S657" s="12">
        <v>0</v>
      </c>
      <c r="T657" s="12">
        <v>0</v>
      </c>
      <c r="U657" s="12"/>
      <c r="V657" s="12">
        <v>0</v>
      </c>
      <c r="W657" s="12">
        <v>0</v>
      </c>
      <c r="X657" s="12"/>
      <c r="Y657" s="12">
        <v>0</v>
      </c>
    </row>
    <row r="658" spans="13:25" x14ac:dyDescent="0.35">
      <c r="M658" s="6" t="s">
        <v>764</v>
      </c>
      <c r="N658" s="12"/>
      <c r="O658" s="12">
        <v>0</v>
      </c>
      <c r="P658" s="12">
        <v>0</v>
      </c>
      <c r="Q658" s="12"/>
      <c r="R658" s="12">
        <v>0</v>
      </c>
      <c r="S658" s="12">
        <v>0</v>
      </c>
      <c r="T658" s="12">
        <v>0</v>
      </c>
      <c r="U658" s="12"/>
      <c r="V658" s="12">
        <v>0</v>
      </c>
      <c r="W658" s="12">
        <v>0</v>
      </c>
      <c r="X658" s="12"/>
      <c r="Y658" s="12">
        <v>0</v>
      </c>
    </row>
    <row r="659" spans="13:25" x14ac:dyDescent="0.35">
      <c r="M659" s="6" t="s">
        <v>766</v>
      </c>
      <c r="N659" s="12"/>
      <c r="O659" s="12">
        <v>0</v>
      </c>
      <c r="P659" s="12">
        <v>0</v>
      </c>
      <c r="Q659" s="12"/>
      <c r="R659" s="12">
        <v>0</v>
      </c>
      <c r="S659" s="12">
        <v>0</v>
      </c>
      <c r="T659" s="12">
        <v>0</v>
      </c>
      <c r="U659" s="12"/>
      <c r="V659" s="12">
        <v>0</v>
      </c>
      <c r="W659" s="12">
        <v>0</v>
      </c>
      <c r="X659" s="12"/>
      <c r="Y659" s="12">
        <v>0</v>
      </c>
    </row>
    <row r="660" spans="13:25" x14ac:dyDescent="0.35">
      <c r="M660" s="6" t="s">
        <v>768</v>
      </c>
      <c r="N660" s="12"/>
      <c r="O660" s="12">
        <v>0</v>
      </c>
      <c r="P660" s="12">
        <v>0</v>
      </c>
      <c r="Q660" s="12"/>
      <c r="R660" s="12">
        <v>0</v>
      </c>
      <c r="S660" s="12">
        <v>0</v>
      </c>
      <c r="T660" s="12">
        <v>0</v>
      </c>
      <c r="U660" s="12"/>
      <c r="V660" s="12">
        <v>0</v>
      </c>
      <c r="W660" s="12">
        <v>0</v>
      </c>
      <c r="X660" s="12"/>
      <c r="Y660" s="12">
        <v>0</v>
      </c>
    </row>
    <row r="661" spans="13:25" x14ac:dyDescent="0.35">
      <c r="M661" s="6" t="s">
        <v>770</v>
      </c>
      <c r="N661" s="12"/>
      <c r="O661" s="12">
        <v>0</v>
      </c>
      <c r="P661" s="12">
        <v>0</v>
      </c>
      <c r="Q661" s="12"/>
      <c r="R661" s="12">
        <v>0</v>
      </c>
      <c r="S661" s="12">
        <v>0</v>
      </c>
      <c r="T661" s="12">
        <v>0</v>
      </c>
      <c r="U661" s="12"/>
      <c r="V661" s="12">
        <v>0</v>
      </c>
      <c r="W661" s="12">
        <v>0</v>
      </c>
      <c r="X661" s="12"/>
      <c r="Y661" s="12">
        <v>0</v>
      </c>
    </row>
    <row r="662" spans="13:25" x14ac:dyDescent="0.35">
      <c r="M662" s="6" t="s">
        <v>772</v>
      </c>
      <c r="N662" s="12"/>
      <c r="O662" s="12">
        <v>0</v>
      </c>
      <c r="P662" s="12">
        <v>0</v>
      </c>
      <c r="Q662" s="12"/>
      <c r="R662" s="12">
        <v>0</v>
      </c>
      <c r="S662" s="12">
        <v>0</v>
      </c>
      <c r="T662" s="12">
        <v>0</v>
      </c>
      <c r="U662" s="12"/>
      <c r="V662" s="12">
        <v>0</v>
      </c>
      <c r="W662" s="12">
        <v>0</v>
      </c>
      <c r="X662" s="12"/>
      <c r="Y662" s="12">
        <v>0</v>
      </c>
    </row>
    <row r="663" spans="13:25" x14ac:dyDescent="0.35">
      <c r="M663" s="6" t="s">
        <v>774</v>
      </c>
      <c r="N663" s="12"/>
      <c r="O663" s="12">
        <v>0</v>
      </c>
      <c r="P663" s="12">
        <v>0</v>
      </c>
      <c r="Q663" s="12"/>
      <c r="R663" s="12">
        <v>0</v>
      </c>
      <c r="S663" s="12">
        <v>0</v>
      </c>
      <c r="T663" s="12">
        <v>0</v>
      </c>
      <c r="U663" s="12"/>
      <c r="V663" s="12">
        <v>0</v>
      </c>
      <c r="W663" s="12">
        <v>0</v>
      </c>
      <c r="X663" s="12"/>
      <c r="Y663" s="12">
        <v>0</v>
      </c>
    </row>
    <row r="664" spans="13:25" x14ac:dyDescent="0.35">
      <c r="M664" s="6" t="s">
        <v>776</v>
      </c>
      <c r="N664" s="12"/>
      <c r="O664" s="12">
        <v>0</v>
      </c>
      <c r="P664" s="12">
        <v>0</v>
      </c>
      <c r="Q664" s="12"/>
      <c r="R664" s="12">
        <v>0</v>
      </c>
      <c r="S664" s="12">
        <v>0</v>
      </c>
      <c r="T664" s="12">
        <v>0</v>
      </c>
      <c r="U664" s="12"/>
      <c r="V664" s="12">
        <v>0</v>
      </c>
      <c r="W664" s="12">
        <v>0</v>
      </c>
      <c r="X664" s="12"/>
      <c r="Y664" s="12">
        <v>0</v>
      </c>
    </row>
    <row r="665" spans="13:25" x14ac:dyDescent="0.35">
      <c r="M665" s="6" t="s">
        <v>778</v>
      </c>
      <c r="N665" s="12"/>
      <c r="O665" s="12">
        <v>0</v>
      </c>
      <c r="P665" s="12">
        <v>0</v>
      </c>
      <c r="Q665" s="12"/>
      <c r="R665" s="12">
        <v>0</v>
      </c>
      <c r="S665" s="12">
        <v>0</v>
      </c>
      <c r="T665" s="12">
        <v>0</v>
      </c>
      <c r="U665" s="12"/>
      <c r="V665" s="12">
        <v>0</v>
      </c>
      <c r="W665" s="12">
        <v>0</v>
      </c>
      <c r="X665" s="12"/>
      <c r="Y665" s="12">
        <v>0</v>
      </c>
    </row>
    <row r="666" spans="13:25" x14ac:dyDescent="0.35">
      <c r="M666" s="6" t="s">
        <v>780</v>
      </c>
      <c r="N666" s="12"/>
      <c r="O666" s="12">
        <v>0</v>
      </c>
      <c r="P666" s="12">
        <v>0</v>
      </c>
      <c r="Q666" s="12"/>
      <c r="R666" s="12">
        <v>0</v>
      </c>
      <c r="S666" s="12">
        <v>0</v>
      </c>
      <c r="T666" s="12">
        <v>0</v>
      </c>
      <c r="U666" s="12"/>
      <c r="V666" s="12">
        <v>0</v>
      </c>
      <c r="W666" s="12">
        <v>0</v>
      </c>
      <c r="X666" s="12"/>
      <c r="Y666" s="12">
        <v>0</v>
      </c>
    </row>
    <row r="667" spans="13:25" x14ac:dyDescent="0.35">
      <c r="M667" s="6" t="s">
        <v>782</v>
      </c>
      <c r="N667" s="12"/>
      <c r="O667" s="12">
        <v>0</v>
      </c>
      <c r="P667" s="12">
        <v>0</v>
      </c>
      <c r="Q667" s="12"/>
      <c r="R667" s="12">
        <v>0</v>
      </c>
      <c r="S667" s="12">
        <v>0</v>
      </c>
      <c r="T667" s="12">
        <v>0</v>
      </c>
      <c r="U667" s="12"/>
      <c r="V667" s="12">
        <v>0</v>
      </c>
      <c r="W667" s="12">
        <v>0</v>
      </c>
      <c r="X667" s="12"/>
      <c r="Y667" s="12">
        <v>0</v>
      </c>
    </row>
    <row r="668" spans="13:25" x14ac:dyDescent="0.35">
      <c r="M668" s="6" t="s">
        <v>784</v>
      </c>
      <c r="N668" s="12"/>
      <c r="O668" s="12">
        <v>0</v>
      </c>
      <c r="P668" s="12">
        <v>0</v>
      </c>
      <c r="Q668" s="12"/>
      <c r="R668" s="12">
        <v>0</v>
      </c>
      <c r="S668" s="12">
        <v>0</v>
      </c>
      <c r="T668" s="12">
        <v>0</v>
      </c>
      <c r="U668" s="12"/>
      <c r="V668" s="12">
        <v>0</v>
      </c>
      <c r="W668" s="12">
        <v>0</v>
      </c>
      <c r="X668" s="12"/>
      <c r="Y668" s="12">
        <v>0</v>
      </c>
    </row>
    <row r="669" spans="13:25" x14ac:dyDescent="0.35">
      <c r="M669" s="6" t="s">
        <v>788</v>
      </c>
      <c r="N669" s="12"/>
      <c r="O669" s="12">
        <v>0</v>
      </c>
      <c r="P669" s="12">
        <v>0</v>
      </c>
      <c r="Q669" s="12"/>
      <c r="R669" s="12">
        <v>0</v>
      </c>
      <c r="S669" s="12">
        <v>0</v>
      </c>
      <c r="T669" s="12">
        <v>0</v>
      </c>
      <c r="U669" s="12"/>
      <c r="V669" s="12">
        <v>0</v>
      </c>
      <c r="W669" s="12">
        <v>0</v>
      </c>
      <c r="X669" s="12"/>
      <c r="Y669" s="12">
        <v>0</v>
      </c>
    </row>
    <row r="670" spans="13:25" x14ac:dyDescent="0.35">
      <c r="M670" s="6" t="s">
        <v>790</v>
      </c>
      <c r="N670" s="12"/>
      <c r="O670" s="12">
        <v>0</v>
      </c>
      <c r="P670" s="12">
        <v>0</v>
      </c>
      <c r="Q670" s="12"/>
      <c r="R670" s="12">
        <v>0</v>
      </c>
      <c r="S670" s="12">
        <v>0</v>
      </c>
      <c r="T670" s="12">
        <v>0</v>
      </c>
      <c r="U670" s="12"/>
      <c r="V670" s="12">
        <v>0</v>
      </c>
      <c r="W670" s="12">
        <v>0</v>
      </c>
      <c r="X670" s="12"/>
      <c r="Y670" s="12">
        <v>0</v>
      </c>
    </row>
    <row r="671" spans="13:25" x14ac:dyDescent="0.35">
      <c r="M671" s="6" t="s">
        <v>792</v>
      </c>
      <c r="N671" s="12"/>
      <c r="O671" s="12">
        <v>0</v>
      </c>
      <c r="P671" s="12">
        <v>0</v>
      </c>
      <c r="Q671" s="12"/>
      <c r="R671" s="12">
        <v>0</v>
      </c>
      <c r="S671" s="12">
        <v>0</v>
      </c>
      <c r="T671" s="12">
        <v>0</v>
      </c>
      <c r="U671" s="12"/>
      <c r="V671" s="12">
        <v>0</v>
      </c>
      <c r="W671" s="12">
        <v>0</v>
      </c>
      <c r="X671" s="12"/>
      <c r="Y671" s="12">
        <v>0</v>
      </c>
    </row>
    <row r="672" spans="13:25" x14ac:dyDescent="0.35">
      <c r="M672" s="6" t="s">
        <v>794</v>
      </c>
      <c r="N672" s="12"/>
      <c r="O672" s="12">
        <v>0</v>
      </c>
      <c r="P672" s="12">
        <v>0</v>
      </c>
      <c r="Q672" s="12"/>
      <c r="R672" s="12">
        <v>0</v>
      </c>
      <c r="S672" s="12">
        <v>0</v>
      </c>
      <c r="T672" s="12">
        <v>0</v>
      </c>
      <c r="U672" s="12"/>
      <c r="V672" s="12">
        <v>0</v>
      </c>
      <c r="W672" s="12">
        <v>0</v>
      </c>
      <c r="X672" s="12"/>
      <c r="Y672" s="12">
        <v>0</v>
      </c>
    </row>
    <row r="673" spans="13:25" x14ac:dyDescent="0.35">
      <c r="M673" s="6" t="s">
        <v>798</v>
      </c>
      <c r="N673" s="12"/>
      <c r="O673" s="12">
        <v>0</v>
      </c>
      <c r="P673" s="12">
        <v>0</v>
      </c>
      <c r="Q673" s="12"/>
      <c r="R673" s="12">
        <v>0</v>
      </c>
      <c r="S673" s="12">
        <v>0</v>
      </c>
      <c r="T673" s="12">
        <v>0</v>
      </c>
      <c r="U673" s="12"/>
      <c r="V673" s="12">
        <v>0</v>
      </c>
      <c r="W673" s="12">
        <v>0</v>
      </c>
      <c r="X673" s="12"/>
      <c r="Y673" s="12">
        <v>0</v>
      </c>
    </row>
    <row r="674" spans="13:25" x14ac:dyDescent="0.35">
      <c r="M674" s="6" t="s">
        <v>800</v>
      </c>
      <c r="N674" s="12"/>
      <c r="O674" s="12">
        <v>0</v>
      </c>
      <c r="P674" s="12">
        <v>0</v>
      </c>
      <c r="Q674" s="12"/>
      <c r="R674" s="12">
        <v>0</v>
      </c>
      <c r="S674" s="12">
        <v>0</v>
      </c>
      <c r="T674" s="12">
        <v>0</v>
      </c>
      <c r="U674" s="12"/>
      <c r="V674" s="12">
        <v>0</v>
      </c>
      <c r="W674" s="12">
        <v>0</v>
      </c>
      <c r="X674" s="12"/>
      <c r="Y674" s="12">
        <v>0</v>
      </c>
    </row>
    <row r="675" spans="13:25" x14ac:dyDescent="0.35">
      <c r="M675" s="6" t="s">
        <v>804</v>
      </c>
      <c r="N675" s="12"/>
      <c r="O675" s="12">
        <v>0</v>
      </c>
      <c r="P675" s="12">
        <v>0</v>
      </c>
      <c r="Q675" s="12"/>
      <c r="R675" s="12">
        <v>0</v>
      </c>
      <c r="S675" s="12">
        <v>0</v>
      </c>
      <c r="T675" s="12">
        <v>0</v>
      </c>
      <c r="U675" s="12"/>
      <c r="V675" s="12">
        <v>0</v>
      </c>
      <c r="W675" s="12">
        <v>0</v>
      </c>
      <c r="X675" s="12"/>
      <c r="Y675" s="12">
        <v>0</v>
      </c>
    </row>
    <row r="676" spans="13:25" x14ac:dyDescent="0.35">
      <c r="M676" s="6" t="s">
        <v>808</v>
      </c>
      <c r="N676" s="12"/>
      <c r="O676" s="12">
        <v>0</v>
      </c>
      <c r="P676" s="12">
        <v>0</v>
      </c>
      <c r="Q676" s="12"/>
      <c r="R676" s="12">
        <v>0</v>
      </c>
      <c r="S676" s="12">
        <v>0</v>
      </c>
      <c r="T676" s="12">
        <v>0</v>
      </c>
      <c r="U676" s="12"/>
      <c r="V676" s="12">
        <v>0</v>
      </c>
      <c r="W676" s="12">
        <v>0</v>
      </c>
      <c r="X676" s="12"/>
      <c r="Y676" s="12">
        <v>0</v>
      </c>
    </row>
    <row r="677" spans="13:25" x14ac:dyDescent="0.35">
      <c r="M677" s="6" t="s">
        <v>812</v>
      </c>
      <c r="N677" s="12"/>
      <c r="O677" s="12">
        <v>0</v>
      </c>
      <c r="P677" s="12">
        <v>0</v>
      </c>
      <c r="Q677" s="12"/>
      <c r="R677" s="12">
        <v>0</v>
      </c>
      <c r="S677" s="12">
        <v>0</v>
      </c>
      <c r="T677" s="12">
        <v>0</v>
      </c>
      <c r="U677" s="12"/>
      <c r="V677" s="12">
        <v>0</v>
      </c>
      <c r="W677" s="12">
        <v>0</v>
      </c>
      <c r="X677" s="12"/>
      <c r="Y677" s="12">
        <v>0</v>
      </c>
    </row>
    <row r="678" spans="13:25" x14ac:dyDescent="0.35">
      <c r="M678" s="6" t="s">
        <v>815</v>
      </c>
      <c r="N678" s="12"/>
      <c r="O678" s="12">
        <v>0</v>
      </c>
      <c r="P678" s="12">
        <v>0</v>
      </c>
      <c r="Q678" s="12"/>
      <c r="R678" s="12">
        <v>0</v>
      </c>
      <c r="S678" s="12">
        <v>0</v>
      </c>
      <c r="T678" s="12">
        <v>0</v>
      </c>
      <c r="U678" s="12"/>
      <c r="V678" s="12">
        <v>0</v>
      </c>
      <c r="W678" s="12">
        <v>0</v>
      </c>
      <c r="X678" s="12"/>
      <c r="Y678" s="12">
        <v>0</v>
      </c>
    </row>
    <row r="679" spans="13:25" x14ac:dyDescent="0.35">
      <c r="M679" s="6" t="s">
        <v>820</v>
      </c>
      <c r="N679" s="12"/>
      <c r="O679" s="12">
        <v>0</v>
      </c>
      <c r="P679" s="12">
        <v>0</v>
      </c>
      <c r="Q679" s="12"/>
      <c r="R679" s="12">
        <v>0</v>
      </c>
      <c r="S679" s="12">
        <v>0</v>
      </c>
      <c r="T679" s="12">
        <v>0</v>
      </c>
      <c r="U679" s="12"/>
      <c r="V679" s="12">
        <v>0</v>
      </c>
      <c r="W679" s="12">
        <v>0</v>
      </c>
      <c r="X679" s="12"/>
      <c r="Y679" s="12">
        <v>0</v>
      </c>
    </row>
    <row r="680" spans="13:25" x14ac:dyDescent="0.35">
      <c r="M680" s="6" t="s">
        <v>825</v>
      </c>
      <c r="N680" s="12"/>
      <c r="O680" s="12">
        <v>0</v>
      </c>
      <c r="P680" s="12">
        <v>0</v>
      </c>
      <c r="Q680" s="12"/>
      <c r="R680" s="12">
        <v>0</v>
      </c>
      <c r="S680" s="12">
        <v>0</v>
      </c>
      <c r="T680" s="12">
        <v>0</v>
      </c>
      <c r="U680" s="12"/>
      <c r="V680" s="12">
        <v>0</v>
      </c>
      <c r="W680" s="12">
        <v>0</v>
      </c>
      <c r="X680" s="12"/>
      <c r="Y680" s="12">
        <v>0</v>
      </c>
    </row>
    <row r="681" spans="13:25" x14ac:dyDescent="0.35">
      <c r="M681" s="6" t="s">
        <v>829</v>
      </c>
      <c r="N681" s="12"/>
      <c r="O681" s="12">
        <v>0</v>
      </c>
      <c r="P681" s="12">
        <v>0</v>
      </c>
      <c r="Q681" s="12"/>
      <c r="R681" s="12">
        <v>0</v>
      </c>
      <c r="S681" s="12">
        <v>0</v>
      </c>
      <c r="T681" s="12">
        <v>0</v>
      </c>
      <c r="U681" s="12"/>
      <c r="V681" s="12">
        <v>0</v>
      </c>
      <c r="W681" s="12">
        <v>0</v>
      </c>
      <c r="X681" s="12"/>
      <c r="Y681" s="12">
        <v>0</v>
      </c>
    </row>
    <row r="682" spans="13:25" x14ac:dyDescent="0.35">
      <c r="M682" s="6" t="s">
        <v>833</v>
      </c>
      <c r="N682" s="12"/>
      <c r="O682" s="12">
        <v>0</v>
      </c>
      <c r="P682" s="12">
        <v>0</v>
      </c>
      <c r="Q682" s="12"/>
      <c r="R682" s="12">
        <v>0</v>
      </c>
      <c r="S682" s="12">
        <v>0</v>
      </c>
      <c r="T682" s="12">
        <v>0</v>
      </c>
      <c r="U682" s="12"/>
      <c r="V682" s="12">
        <v>0</v>
      </c>
      <c r="W682" s="12">
        <v>0</v>
      </c>
      <c r="X682" s="12"/>
      <c r="Y682" s="12">
        <v>0</v>
      </c>
    </row>
    <row r="683" spans="13:25" x14ac:dyDescent="0.35">
      <c r="M683" s="6" t="s">
        <v>837</v>
      </c>
      <c r="N683" s="12"/>
      <c r="O683" s="12">
        <v>0</v>
      </c>
      <c r="P683" s="12">
        <v>0</v>
      </c>
      <c r="Q683" s="12"/>
      <c r="R683" s="12">
        <v>0</v>
      </c>
      <c r="S683" s="12">
        <v>0</v>
      </c>
      <c r="T683" s="12">
        <v>0</v>
      </c>
      <c r="U683" s="12"/>
      <c r="V683" s="12">
        <v>0</v>
      </c>
      <c r="W683" s="12">
        <v>0</v>
      </c>
      <c r="X683" s="12"/>
      <c r="Y683" s="12">
        <v>0</v>
      </c>
    </row>
    <row r="684" spans="13:25" x14ac:dyDescent="0.35">
      <c r="M684" s="6" t="s">
        <v>841</v>
      </c>
      <c r="N684" s="12"/>
      <c r="O684" s="12">
        <v>0</v>
      </c>
      <c r="P684" s="12">
        <v>0</v>
      </c>
      <c r="Q684" s="12"/>
      <c r="R684" s="12">
        <v>0</v>
      </c>
      <c r="S684" s="12">
        <v>0</v>
      </c>
      <c r="T684" s="12">
        <v>0</v>
      </c>
      <c r="U684" s="12"/>
      <c r="V684" s="12">
        <v>0</v>
      </c>
      <c r="W684" s="12">
        <v>0</v>
      </c>
      <c r="X684" s="12"/>
      <c r="Y684" s="12">
        <v>0</v>
      </c>
    </row>
    <row r="685" spans="13:25" x14ac:dyDescent="0.35">
      <c r="M685" s="6" t="s">
        <v>844</v>
      </c>
      <c r="N685" s="12"/>
      <c r="O685" s="12">
        <v>0</v>
      </c>
      <c r="P685" s="12">
        <v>0</v>
      </c>
      <c r="Q685" s="12"/>
      <c r="R685" s="12">
        <v>0</v>
      </c>
      <c r="S685" s="12">
        <v>0</v>
      </c>
      <c r="T685" s="12">
        <v>0</v>
      </c>
      <c r="U685" s="12"/>
      <c r="V685" s="12">
        <v>0</v>
      </c>
      <c r="W685" s="12">
        <v>0</v>
      </c>
      <c r="X685" s="12"/>
      <c r="Y685" s="12">
        <v>0</v>
      </c>
    </row>
    <row r="686" spans="13:25" x14ac:dyDescent="0.35">
      <c r="M686" s="6" t="s">
        <v>846</v>
      </c>
      <c r="N686" s="12"/>
      <c r="O686" s="12">
        <v>0</v>
      </c>
      <c r="P686" s="12">
        <v>0</v>
      </c>
      <c r="Q686" s="12"/>
      <c r="R686" s="12">
        <v>0</v>
      </c>
      <c r="S686" s="12">
        <v>0</v>
      </c>
      <c r="T686" s="12">
        <v>0</v>
      </c>
      <c r="U686" s="12"/>
      <c r="V686" s="12">
        <v>0</v>
      </c>
      <c r="W686" s="12">
        <v>0</v>
      </c>
      <c r="X686" s="12"/>
      <c r="Y686" s="12">
        <v>0</v>
      </c>
    </row>
    <row r="687" spans="13:25" x14ac:dyDescent="0.35">
      <c r="M687" s="6" t="s">
        <v>850</v>
      </c>
      <c r="N687" s="12"/>
      <c r="O687" s="12">
        <v>0</v>
      </c>
      <c r="P687" s="12">
        <v>0</v>
      </c>
      <c r="Q687" s="12"/>
      <c r="R687" s="12">
        <v>0</v>
      </c>
      <c r="S687" s="12">
        <v>0</v>
      </c>
      <c r="T687" s="12">
        <v>0</v>
      </c>
      <c r="U687" s="12"/>
      <c r="V687" s="12">
        <v>0</v>
      </c>
      <c r="W687" s="12">
        <v>0</v>
      </c>
      <c r="X687" s="12"/>
      <c r="Y687" s="12">
        <v>0</v>
      </c>
    </row>
    <row r="688" spans="13:25" x14ac:dyDescent="0.35">
      <c r="M688" s="6" t="s">
        <v>852</v>
      </c>
      <c r="N688" s="12"/>
      <c r="O688" s="12">
        <v>0</v>
      </c>
      <c r="P688" s="12">
        <v>0</v>
      </c>
      <c r="Q688" s="12"/>
      <c r="R688" s="12">
        <v>0</v>
      </c>
      <c r="S688" s="12">
        <v>0</v>
      </c>
      <c r="T688" s="12">
        <v>0</v>
      </c>
      <c r="U688" s="12"/>
      <c r="V688" s="12">
        <v>0</v>
      </c>
      <c r="W688" s="12">
        <v>0</v>
      </c>
      <c r="X688" s="12"/>
      <c r="Y688" s="12">
        <v>0</v>
      </c>
    </row>
    <row r="689" spans="13:25" x14ac:dyDescent="0.35">
      <c r="M689" s="6" t="s">
        <v>856</v>
      </c>
      <c r="N689" s="12"/>
      <c r="O689" s="12">
        <v>0</v>
      </c>
      <c r="P689" s="12">
        <v>0</v>
      </c>
      <c r="Q689" s="12"/>
      <c r="R689" s="12">
        <v>0</v>
      </c>
      <c r="S689" s="12">
        <v>0</v>
      </c>
      <c r="T689" s="12">
        <v>0</v>
      </c>
      <c r="U689" s="12"/>
      <c r="V689" s="12">
        <v>0</v>
      </c>
      <c r="W689" s="12">
        <v>0</v>
      </c>
      <c r="X689" s="12"/>
      <c r="Y689" s="12">
        <v>0</v>
      </c>
    </row>
    <row r="690" spans="13:25" x14ac:dyDescent="0.35">
      <c r="M690" s="6" t="s">
        <v>859</v>
      </c>
      <c r="N690" s="12"/>
      <c r="O690" s="12" t="e">
        <v>#VALUE!</v>
      </c>
      <c r="P690" s="12" t="e">
        <v>#VALUE!</v>
      </c>
      <c r="Q690" s="12"/>
      <c r="R690" s="12">
        <v>0</v>
      </c>
      <c r="S690" s="12">
        <v>0</v>
      </c>
      <c r="T690" s="12">
        <v>0</v>
      </c>
      <c r="U690" s="12"/>
      <c r="V690" s="12">
        <v>0</v>
      </c>
      <c r="W690" s="12">
        <v>0</v>
      </c>
      <c r="X690" s="12"/>
      <c r="Y690" s="12">
        <v>0</v>
      </c>
    </row>
    <row r="691" spans="13:25" x14ac:dyDescent="0.35">
      <c r="M691" s="6" t="s">
        <v>864</v>
      </c>
      <c r="N691" s="12"/>
      <c r="O691" s="12" t="e">
        <v>#VALUE!</v>
      </c>
      <c r="P691" s="12" t="e">
        <v>#VALUE!</v>
      </c>
      <c r="Q691" s="12"/>
      <c r="R691" s="12" t="e">
        <v>#VALUE!</v>
      </c>
      <c r="S691" s="12">
        <v>0</v>
      </c>
      <c r="T691" s="12">
        <v>0</v>
      </c>
      <c r="U691" s="12"/>
      <c r="V691" s="12">
        <v>0</v>
      </c>
      <c r="W691" s="12">
        <v>0</v>
      </c>
      <c r="X691" s="12"/>
      <c r="Y691" s="12">
        <v>0</v>
      </c>
    </row>
    <row r="692" spans="13:25" x14ac:dyDescent="0.35">
      <c r="M692" s="6" t="s">
        <v>869</v>
      </c>
      <c r="N692" s="12"/>
      <c r="O692" s="12">
        <v>0</v>
      </c>
      <c r="P692" s="12">
        <v>0</v>
      </c>
      <c r="Q692" s="12"/>
      <c r="R692" s="12">
        <v>0</v>
      </c>
      <c r="S692" s="12">
        <v>0</v>
      </c>
      <c r="T692" s="12">
        <v>0</v>
      </c>
      <c r="U692" s="12"/>
      <c r="V692" s="12">
        <v>0</v>
      </c>
      <c r="W692" s="12">
        <v>0</v>
      </c>
      <c r="X692" s="12"/>
      <c r="Y692" s="12">
        <v>0</v>
      </c>
    </row>
    <row r="693" spans="13:25" x14ac:dyDescent="0.35">
      <c r="M693" s="6" t="s">
        <v>872</v>
      </c>
      <c r="N693" s="12"/>
      <c r="O693" s="12">
        <v>0</v>
      </c>
      <c r="P693" s="12">
        <v>0</v>
      </c>
      <c r="Q693" s="12"/>
      <c r="R693" s="12">
        <v>0</v>
      </c>
      <c r="S693" s="12">
        <v>0</v>
      </c>
      <c r="T693" s="12">
        <v>0</v>
      </c>
      <c r="U693" s="12"/>
      <c r="V693" s="12">
        <v>0</v>
      </c>
      <c r="W693" s="12">
        <v>0</v>
      </c>
      <c r="X693" s="12"/>
      <c r="Y693" s="12">
        <v>0</v>
      </c>
    </row>
    <row r="694" spans="13:25" x14ac:dyDescent="0.35">
      <c r="M694" s="6" t="s">
        <v>875</v>
      </c>
      <c r="N694" s="12"/>
      <c r="O694" s="12">
        <v>0</v>
      </c>
      <c r="P694" s="12">
        <v>0</v>
      </c>
      <c r="Q694" s="12"/>
      <c r="R694" s="12">
        <v>0</v>
      </c>
      <c r="S694" s="12">
        <v>0</v>
      </c>
      <c r="T694" s="12">
        <v>0</v>
      </c>
      <c r="U694" s="12"/>
      <c r="V694" s="12">
        <v>0</v>
      </c>
      <c r="W694" s="12">
        <v>0</v>
      </c>
      <c r="X694" s="12"/>
      <c r="Y694" s="12">
        <v>0</v>
      </c>
    </row>
    <row r="695" spans="13:25" x14ac:dyDescent="0.35">
      <c r="M695" s="6" t="s">
        <v>879</v>
      </c>
      <c r="N695" s="12"/>
      <c r="O695" s="12">
        <v>0</v>
      </c>
      <c r="P695" s="12">
        <v>0</v>
      </c>
      <c r="Q695" s="12"/>
      <c r="R695" s="12">
        <v>0</v>
      </c>
      <c r="S695" s="12">
        <v>0</v>
      </c>
      <c r="T695" s="12">
        <v>0</v>
      </c>
      <c r="U695" s="12"/>
      <c r="V695" s="12">
        <v>0</v>
      </c>
      <c r="W695" s="12">
        <v>0</v>
      </c>
      <c r="X695" s="12"/>
      <c r="Y695" s="12">
        <v>0</v>
      </c>
    </row>
    <row r="696" spans="13:25" x14ac:dyDescent="0.35">
      <c r="M696" s="6" t="s">
        <v>881</v>
      </c>
      <c r="N696" s="12"/>
      <c r="O696" s="12">
        <v>0</v>
      </c>
      <c r="P696" s="12">
        <v>0</v>
      </c>
      <c r="Q696" s="12"/>
      <c r="R696" s="12">
        <v>0</v>
      </c>
      <c r="S696" s="12">
        <v>0</v>
      </c>
      <c r="T696" s="12">
        <v>0</v>
      </c>
      <c r="U696" s="12"/>
      <c r="V696" s="12">
        <v>0</v>
      </c>
      <c r="W696" s="12">
        <v>0</v>
      </c>
      <c r="X696" s="12"/>
      <c r="Y696" s="12">
        <v>0</v>
      </c>
    </row>
    <row r="697" spans="13:25" x14ac:dyDescent="0.35">
      <c r="M697" s="6" t="s">
        <v>884</v>
      </c>
      <c r="N697" s="12"/>
      <c r="O697" s="12">
        <v>0</v>
      </c>
      <c r="P697" s="12">
        <v>0</v>
      </c>
      <c r="Q697" s="12"/>
      <c r="R697" s="12">
        <v>0</v>
      </c>
      <c r="S697" s="12">
        <v>0</v>
      </c>
      <c r="T697" s="12">
        <v>0</v>
      </c>
      <c r="U697" s="12"/>
      <c r="V697" s="12">
        <v>0</v>
      </c>
      <c r="W697" s="12">
        <v>0</v>
      </c>
      <c r="X697" s="12"/>
      <c r="Y697" s="12">
        <v>0</v>
      </c>
    </row>
    <row r="698" spans="13:25" x14ac:dyDescent="0.35">
      <c r="M698" s="6" t="s">
        <v>887</v>
      </c>
      <c r="N698" s="12"/>
      <c r="O698" s="12">
        <v>0</v>
      </c>
      <c r="P698" s="12">
        <v>0</v>
      </c>
      <c r="Q698" s="12"/>
      <c r="R698" s="12">
        <v>0</v>
      </c>
      <c r="S698" s="12">
        <v>0</v>
      </c>
      <c r="T698" s="12">
        <v>0</v>
      </c>
      <c r="U698" s="12"/>
      <c r="V698" s="12">
        <v>0</v>
      </c>
      <c r="W698" s="12">
        <v>0</v>
      </c>
      <c r="X698" s="12"/>
      <c r="Y698" s="12">
        <v>0</v>
      </c>
    </row>
    <row r="699" spans="13:25" x14ac:dyDescent="0.35">
      <c r="M699" s="6" t="s">
        <v>891</v>
      </c>
      <c r="N699" s="12"/>
      <c r="O699" s="12">
        <v>0</v>
      </c>
      <c r="P699" s="12">
        <v>0</v>
      </c>
      <c r="Q699" s="12"/>
      <c r="R699" s="12">
        <v>0</v>
      </c>
      <c r="S699" s="12">
        <v>0</v>
      </c>
      <c r="T699" s="12">
        <v>0</v>
      </c>
      <c r="U699" s="12"/>
      <c r="V699" s="12">
        <v>0</v>
      </c>
      <c r="W699" s="12">
        <v>0</v>
      </c>
      <c r="X699" s="12"/>
      <c r="Y699" s="12">
        <v>0</v>
      </c>
    </row>
    <row r="700" spans="13:25" x14ac:dyDescent="0.35">
      <c r="M700" s="6" t="s">
        <v>895</v>
      </c>
      <c r="N700" s="12"/>
      <c r="O700" s="12">
        <v>0</v>
      </c>
      <c r="P700" s="12">
        <v>0</v>
      </c>
      <c r="Q700" s="12"/>
      <c r="R700" s="12">
        <v>0</v>
      </c>
      <c r="S700" s="12">
        <v>0</v>
      </c>
      <c r="T700" s="12">
        <v>0</v>
      </c>
      <c r="U700" s="12"/>
      <c r="V700" s="12">
        <v>0</v>
      </c>
      <c r="W700" s="12">
        <v>0</v>
      </c>
      <c r="X700" s="12"/>
      <c r="Y700" s="12">
        <v>0</v>
      </c>
    </row>
    <row r="701" spans="13:25" x14ac:dyDescent="0.35">
      <c r="M701" s="6" t="s">
        <v>897</v>
      </c>
      <c r="N701" s="12"/>
      <c r="O701" s="12">
        <v>0</v>
      </c>
      <c r="P701" s="12">
        <v>0</v>
      </c>
      <c r="Q701" s="12"/>
      <c r="R701" s="12">
        <v>0</v>
      </c>
      <c r="S701" s="12">
        <v>0</v>
      </c>
      <c r="T701" s="12">
        <v>0</v>
      </c>
      <c r="U701" s="12"/>
      <c r="V701" s="12">
        <v>0</v>
      </c>
      <c r="W701" s="12">
        <v>0</v>
      </c>
      <c r="X701" s="12"/>
      <c r="Y701" s="12">
        <v>0</v>
      </c>
    </row>
    <row r="702" spans="13:25" x14ac:dyDescent="0.35">
      <c r="M702" s="6" t="s">
        <v>899</v>
      </c>
      <c r="N702" s="12"/>
      <c r="O702" s="12">
        <v>0</v>
      </c>
      <c r="P702" s="12">
        <v>0</v>
      </c>
      <c r="Q702" s="12"/>
      <c r="R702" s="12">
        <v>0</v>
      </c>
      <c r="S702" s="12">
        <v>0</v>
      </c>
      <c r="T702" s="12">
        <v>0</v>
      </c>
      <c r="U702" s="12"/>
      <c r="V702" s="12">
        <v>0</v>
      </c>
      <c r="W702" s="12">
        <v>0</v>
      </c>
      <c r="X702" s="12"/>
      <c r="Y702" s="12">
        <v>0</v>
      </c>
    </row>
    <row r="703" spans="13:25" x14ac:dyDescent="0.35">
      <c r="M703" s="6" t="s">
        <v>901</v>
      </c>
      <c r="N703" s="12"/>
      <c r="O703" s="12">
        <v>0</v>
      </c>
      <c r="P703" s="12">
        <v>0</v>
      </c>
      <c r="Q703" s="12"/>
      <c r="R703" s="12">
        <v>0</v>
      </c>
      <c r="S703" s="12">
        <v>0</v>
      </c>
      <c r="T703" s="12">
        <v>0</v>
      </c>
      <c r="U703" s="12"/>
      <c r="V703" s="12">
        <v>0</v>
      </c>
      <c r="W703" s="12">
        <v>0</v>
      </c>
      <c r="X703" s="12"/>
      <c r="Y703" s="12">
        <v>0</v>
      </c>
    </row>
    <row r="704" spans="13:25" x14ac:dyDescent="0.35">
      <c r="M704" s="6" t="s">
        <v>903</v>
      </c>
      <c r="N704" s="12"/>
      <c r="O704" s="12">
        <v>0</v>
      </c>
      <c r="P704" s="12">
        <v>0</v>
      </c>
      <c r="Q704" s="12"/>
      <c r="R704" s="12">
        <v>0</v>
      </c>
      <c r="S704" s="12">
        <v>0</v>
      </c>
      <c r="T704" s="12">
        <v>0</v>
      </c>
      <c r="U704" s="12"/>
      <c r="V704" s="12">
        <v>0</v>
      </c>
      <c r="W704" s="12">
        <v>0</v>
      </c>
      <c r="X704" s="12"/>
      <c r="Y704" s="12">
        <v>0</v>
      </c>
    </row>
    <row r="705" spans="13:25" x14ac:dyDescent="0.35">
      <c r="M705" s="6" t="s">
        <v>913</v>
      </c>
      <c r="N705" s="12"/>
      <c r="O705" s="12" t="e">
        <v>#VALUE!</v>
      </c>
      <c r="P705" s="12" t="e">
        <v>#VALUE!</v>
      </c>
      <c r="Q705" s="12"/>
      <c r="R705" s="12">
        <v>0</v>
      </c>
      <c r="S705" s="12" t="e">
        <v>#VALUE!</v>
      </c>
      <c r="T705" s="12" t="e">
        <v>#VALUE!</v>
      </c>
      <c r="U705" s="12"/>
      <c r="V705" s="12" t="e">
        <v>#VALUE!</v>
      </c>
      <c r="W705" s="12" t="e">
        <v>#VALUE!</v>
      </c>
      <c r="X705" s="12"/>
      <c r="Y705" s="12" t="e">
        <v>#VALUE!</v>
      </c>
    </row>
    <row r="706" spans="13:25" x14ac:dyDescent="0.35">
      <c r="M706" s="6" t="s">
        <v>917</v>
      </c>
      <c r="N706" s="12"/>
      <c r="O706" s="12">
        <v>0</v>
      </c>
      <c r="P706" s="12">
        <v>0</v>
      </c>
      <c r="Q706" s="12"/>
      <c r="R706" s="12">
        <v>0</v>
      </c>
      <c r="S706" s="12">
        <v>0</v>
      </c>
      <c r="T706" s="12" t="e">
        <v>#VALUE!</v>
      </c>
      <c r="U706" s="12"/>
      <c r="V706" s="12">
        <v>0</v>
      </c>
      <c r="W706" s="12">
        <v>0</v>
      </c>
      <c r="X706" s="12"/>
      <c r="Y706" s="12">
        <v>0</v>
      </c>
    </row>
    <row r="707" spans="13:25" x14ac:dyDescent="0.35">
      <c r="M707" s="6" t="s">
        <v>922</v>
      </c>
      <c r="N707" s="12"/>
      <c r="O707" s="12">
        <v>0</v>
      </c>
      <c r="P707" s="12">
        <v>0</v>
      </c>
      <c r="Q707" s="12"/>
      <c r="R707" s="12">
        <v>0</v>
      </c>
      <c r="S707" s="12">
        <v>0</v>
      </c>
      <c r="T707" s="12" t="e">
        <v>#VALUE!</v>
      </c>
      <c r="U707" s="12"/>
      <c r="V707" s="12">
        <v>0</v>
      </c>
      <c r="W707" s="12">
        <v>0</v>
      </c>
      <c r="X707" s="12"/>
      <c r="Y707" s="12" t="e">
        <v>#VALUE!</v>
      </c>
    </row>
    <row r="708" spans="13:25" x14ac:dyDescent="0.35">
      <c r="M708" s="6" t="s">
        <v>925</v>
      </c>
      <c r="N708" s="12"/>
      <c r="O708" s="12" t="e">
        <v>#VALUE!</v>
      </c>
      <c r="P708" s="12" t="e">
        <v>#VALUE!</v>
      </c>
      <c r="Q708" s="12"/>
      <c r="R708" s="12">
        <v>0</v>
      </c>
      <c r="S708" s="12" t="e">
        <v>#VALUE!</v>
      </c>
      <c r="T708" s="12" t="e">
        <v>#VALUE!</v>
      </c>
      <c r="U708" s="12"/>
      <c r="V708" s="12">
        <v>0</v>
      </c>
      <c r="W708" s="12">
        <v>0</v>
      </c>
      <c r="X708" s="12"/>
      <c r="Y708" s="12">
        <v>0</v>
      </c>
    </row>
    <row r="709" spans="13:25" x14ac:dyDescent="0.35">
      <c r="M709" s="6" t="s">
        <v>930</v>
      </c>
      <c r="N709" s="12"/>
      <c r="O709" s="12" t="e">
        <v>#VALUE!</v>
      </c>
      <c r="P709" s="12" t="e">
        <v>#VALUE!</v>
      </c>
      <c r="Q709" s="12"/>
      <c r="R709" s="12">
        <v>0</v>
      </c>
      <c r="S709" s="12" t="e">
        <v>#VALUE!</v>
      </c>
      <c r="T709" s="12" t="e">
        <v>#VALUE!</v>
      </c>
      <c r="U709" s="12"/>
      <c r="V709" s="12">
        <v>0</v>
      </c>
      <c r="W709" s="12">
        <v>0</v>
      </c>
      <c r="X709" s="12"/>
      <c r="Y709" s="12">
        <v>0</v>
      </c>
    </row>
    <row r="710" spans="13:25" x14ac:dyDescent="0.35">
      <c r="M710" s="6" t="s">
        <v>947</v>
      </c>
      <c r="N710" s="12"/>
      <c r="O710" s="12" t="e">
        <v>#VALUE!</v>
      </c>
      <c r="P710" s="12" t="e">
        <v>#VALUE!</v>
      </c>
      <c r="Q710" s="12"/>
      <c r="R710" s="12">
        <v>0</v>
      </c>
      <c r="S710" s="12" t="e">
        <v>#VALUE!</v>
      </c>
      <c r="T710" s="12" t="e">
        <v>#VALUE!</v>
      </c>
      <c r="U710" s="12"/>
      <c r="V710" s="12">
        <v>0</v>
      </c>
      <c r="W710" s="12">
        <v>0</v>
      </c>
      <c r="X710" s="12"/>
      <c r="Y710" s="12">
        <v>0</v>
      </c>
    </row>
    <row r="711" spans="13:25" x14ac:dyDescent="0.35">
      <c r="M711" s="6" t="s">
        <v>952</v>
      </c>
      <c r="N711" s="12"/>
      <c r="O711" s="12" t="e">
        <v>#VALUE!</v>
      </c>
      <c r="P711" s="12" t="e">
        <v>#VALUE!</v>
      </c>
      <c r="Q711" s="12"/>
      <c r="R711" s="12">
        <v>0</v>
      </c>
      <c r="S711" s="12">
        <v>0</v>
      </c>
      <c r="T711" s="12">
        <v>0</v>
      </c>
      <c r="U711" s="12"/>
      <c r="V711" s="12">
        <v>0</v>
      </c>
      <c r="W711" s="12">
        <v>0</v>
      </c>
      <c r="X711" s="12"/>
      <c r="Y711" s="12">
        <v>0</v>
      </c>
    </row>
    <row r="712" spans="13:25" x14ac:dyDescent="0.35">
      <c r="M712" s="6" t="s">
        <v>955</v>
      </c>
      <c r="N712" s="12"/>
      <c r="O712" s="12" t="e">
        <v>#VALUE!</v>
      </c>
      <c r="P712" s="12" t="e">
        <v>#VALUE!</v>
      </c>
      <c r="Q712" s="12"/>
      <c r="R712" s="12">
        <v>0</v>
      </c>
      <c r="S712" s="12">
        <v>0</v>
      </c>
      <c r="T712" s="12">
        <v>0</v>
      </c>
      <c r="U712" s="12"/>
      <c r="V712" s="12">
        <v>0</v>
      </c>
      <c r="W712" s="12">
        <v>0</v>
      </c>
      <c r="X712" s="12"/>
      <c r="Y712" s="12">
        <v>0</v>
      </c>
    </row>
    <row r="713" spans="13:25" x14ac:dyDescent="0.35">
      <c r="M713" s="6" t="s">
        <v>959</v>
      </c>
      <c r="N713" s="12"/>
      <c r="O713" s="12" t="e">
        <v>#VALUE!</v>
      </c>
      <c r="P713" s="12" t="e">
        <v>#VALUE!</v>
      </c>
      <c r="Q713" s="12"/>
      <c r="R713" s="12">
        <v>0</v>
      </c>
      <c r="S713" s="12" t="e">
        <v>#VALUE!</v>
      </c>
      <c r="T713" s="12" t="e">
        <v>#VALUE!</v>
      </c>
      <c r="U713" s="12"/>
      <c r="V713" s="12">
        <v>0</v>
      </c>
      <c r="W713" s="12">
        <v>0</v>
      </c>
      <c r="X713" s="12"/>
      <c r="Y713" s="12">
        <v>0</v>
      </c>
    </row>
    <row r="714" spans="13:25" x14ac:dyDescent="0.35">
      <c r="M714" s="6" t="s">
        <v>965</v>
      </c>
      <c r="N714" s="12"/>
      <c r="O714" s="12" t="e">
        <v>#VALUE!</v>
      </c>
      <c r="P714" s="12" t="e">
        <v>#VALUE!</v>
      </c>
      <c r="Q714" s="12"/>
      <c r="R714" s="12">
        <v>0</v>
      </c>
      <c r="S714" s="12">
        <v>0</v>
      </c>
      <c r="T714" s="12" t="e">
        <v>#VALUE!</v>
      </c>
      <c r="U714" s="12"/>
      <c r="V714" s="12">
        <v>0</v>
      </c>
      <c r="W714" s="12">
        <v>0</v>
      </c>
      <c r="X714" s="12"/>
      <c r="Y714" s="12">
        <v>0</v>
      </c>
    </row>
    <row r="715" spans="13:25" x14ac:dyDescent="0.35">
      <c r="M715" s="6" t="s">
        <v>981</v>
      </c>
      <c r="N715" s="12"/>
      <c r="O715" s="12">
        <v>0</v>
      </c>
      <c r="P715" s="12">
        <v>0</v>
      </c>
      <c r="Q715" s="12"/>
      <c r="R715" s="12">
        <v>0</v>
      </c>
      <c r="S715" s="12" t="e">
        <v>#VALUE!</v>
      </c>
      <c r="T715" s="12" t="e">
        <v>#VALUE!</v>
      </c>
      <c r="U715" s="12"/>
      <c r="V715" s="12">
        <v>0</v>
      </c>
      <c r="W715" s="12">
        <v>0</v>
      </c>
      <c r="X715" s="12"/>
      <c r="Y715" s="12" t="e">
        <v>#VALUE!</v>
      </c>
    </row>
    <row r="716" spans="13:25" x14ac:dyDescent="0.35">
      <c r="M716" s="6" t="s">
        <v>985</v>
      </c>
      <c r="N716" s="12"/>
      <c r="O716" s="12">
        <v>0</v>
      </c>
      <c r="P716" s="12">
        <v>0</v>
      </c>
      <c r="Q716" s="12"/>
      <c r="R716" s="12">
        <v>0</v>
      </c>
      <c r="S716" s="12" t="e">
        <v>#VALUE!</v>
      </c>
      <c r="T716" s="12" t="e">
        <v>#VALUE!</v>
      </c>
      <c r="U716" s="12"/>
      <c r="V716" s="12" t="e">
        <v>#VALUE!</v>
      </c>
      <c r="W716" s="12" t="e">
        <v>#VALUE!</v>
      </c>
      <c r="X716" s="12"/>
      <c r="Y716" s="12" t="e">
        <v>#VALUE!</v>
      </c>
    </row>
    <row r="717" spans="13:25" x14ac:dyDescent="0.35">
      <c r="M717" s="6" t="s">
        <v>1043</v>
      </c>
      <c r="N717" s="12"/>
      <c r="O717" s="12" t="e">
        <v>#VALUE!</v>
      </c>
      <c r="P717" s="12" t="e">
        <v>#VALUE!</v>
      </c>
      <c r="Q717" s="12"/>
      <c r="R717" s="12">
        <v>0</v>
      </c>
      <c r="S717" s="12" t="e">
        <v>#VALUE!</v>
      </c>
      <c r="T717" s="12" t="e">
        <v>#VALUE!</v>
      </c>
      <c r="U717" s="12"/>
      <c r="V717" s="12">
        <v>0</v>
      </c>
      <c r="W717" s="12">
        <v>0</v>
      </c>
      <c r="X717" s="12"/>
      <c r="Y717" s="12" t="e">
        <v>#VALUE!</v>
      </c>
    </row>
    <row r="718" spans="13:25" x14ac:dyDescent="0.35">
      <c r="M718" s="6" t="s">
        <v>1047</v>
      </c>
      <c r="N718" s="12"/>
      <c r="O718" s="12" t="e">
        <v>#VALUE!</v>
      </c>
      <c r="P718" s="12" t="e">
        <v>#VALUE!</v>
      </c>
      <c r="Q718" s="12"/>
      <c r="R718" s="12">
        <v>0</v>
      </c>
      <c r="S718" s="12" t="e">
        <v>#VALUE!</v>
      </c>
      <c r="T718" s="12" t="e">
        <v>#VALUE!</v>
      </c>
      <c r="U718" s="12"/>
      <c r="V718" s="12">
        <v>0</v>
      </c>
      <c r="W718" s="12">
        <v>0</v>
      </c>
      <c r="X718" s="12"/>
      <c r="Y718" s="12" t="e">
        <v>#VALUE!</v>
      </c>
    </row>
    <row r="719" spans="13:25" x14ac:dyDescent="0.35">
      <c r="M719" s="6" t="s">
        <v>1051</v>
      </c>
      <c r="N719" s="12"/>
      <c r="O719" s="12" t="e">
        <v>#VALUE!</v>
      </c>
      <c r="P719" s="12" t="e">
        <v>#VALUE!</v>
      </c>
      <c r="Q719" s="12"/>
      <c r="R719" s="12">
        <v>0</v>
      </c>
      <c r="S719" s="12">
        <v>0</v>
      </c>
      <c r="T719" s="12" t="e">
        <v>#VALUE!</v>
      </c>
      <c r="U719" s="12"/>
      <c r="V719" s="12">
        <v>0</v>
      </c>
      <c r="W719" s="12">
        <v>0</v>
      </c>
      <c r="X719" s="12"/>
      <c r="Y719" s="12">
        <v>0</v>
      </c>
    </row>
    <row r="720" spans="13:25" x14ac:dyDescent="0.35">
      <c r="M720" s="6" t="s">
        <v>1065</v>
      </c>
      <c r="N720" s="12"/>
      <c r="O720" s="12">
        <v>0</v>
      </c>
      <c r="P720" s="12">
        <v>0</v>
      </c>
      <c r="Q720" s="12"/>
      <c r="R720" s="12">
        <v>0</v>
      </c>
      <c r="S720" s="12">
        <v>0</v>
      </c>
      <c r="T720" s="12" t="e">
        <v>#VALUE!</v>
      </c>
      <c r="U720" s="12"/>
      <c r="V720" s="12">
        <v>0</v>
      </c>
      <c r="W720" s="12">
        <v>0</v>
      </c>
      <c r="X720" s="12"/>
      <c r="Y720" s="12">
        <v>0</v>
      </c>
    </row>
    <row r="721" spans="13:25" x14ac:dyDescent="0.35">
      <c r="M721" s="6" t="s">
        <v>1070</v>
      </c>
      <c r="N721" s="12"/>
      <c r="O721" s="12" t="e">
        <v>#VALUE!</v>
      </c>
      <c r="P721" s="12" t="e">
        <v>#VALUE!</v>
      </c>
      <c r="Q721" s="12"/>
      <c r="R721" s="12">
        <v>0</v>
      </c>
      <c r="S721" s="12">
        <v>0</v>
      </c>
      <c r="T721" s="12" t="e">
        <v>#VALUE!</v>
      </c>
      <c r="U721" s="12"/>
      <c r="V721" s="12" t="e">
        <v>#VALUE!</v>
      </c>
      <c r="W721" s="12" t="e">
        <v>#VALUE!</v>
      </c>
      <c r="X721" s="12"/>
      <c r="Y721" s="12" t="e">
        <v>#VALUE!</v>
      </c>
    </row>
    <row r="722" spans="13:25" x14ac:dyDescent="0.35">
      <c r="M722" s="6" t="s">
        <v>1073</v>
      </c>
      <c r="N722" s="12"/>
      <c r="O722" s="12">
        <v>0</v>
      </c>
      <c r="P722" s="12">
        <v>0</v>
      </c>
      <c r="Q722" s="12"/>
      <c r="R722" s="12">
        <v>0</v>
      </c>
      <c r="S722" s="12">
        <v>0</v>
      </c>
      <c r="T722" s="12" t="e">
        <v>#VALUE!</v>
      </c>
      <c r="U722" s="12"/>
      <c r="V722" s="12">
        <v>0</v>
      </c>
      <c r="W722" s="12">
        <v>0</v>
      </c>
      <c r="X722" s="12"/>
      <c r="Y722" s="12">
        <v>0</v>
      </c>
    </row>
    <row r="723" spans="13:25" x14ac:dyDescent="0.35">
      <c r="M723" s="6" t="s">
        <v>1077</v>
      </c>
      <c r="N723" s="12"/>
      <c r="O723" s="12">
        <v>0</v>
      </c>
      <c r="P723" s="12">
        <v>0</v>
      </c>
      <c r="Q723" s="12"/>
      <c r="R723" s="12">
        <v>0</v>
      </c>
      <c r="S723" s="12">
        <v>0</v>
      </c>
      <c r="T723" s="12">
        <v>0</v>
      </c>
      <c r="U723" s="12"/>
      <c r="V723" s="12" t="e">
        <v>#VALUE!</v>
      </c>
      <c r="W723" s="12" t="e">
        <v>#VALUE!</v>
      </c>
      <c r="X723" s="12"/>
      <c r="Y723" s="12">
        <v>0</v>
      </c>
    </row>
    <row r="724" spans="13:25" x14ac:dyDescent="0.35">
      <c r="M724" s="6" t="s">
        <v>1081</v>
      </c>
      <c r="N724" s="12"/>
      <c r="O724" s="12">
        <v>0</v>
      </c>
      <c r="P724" s="12">
        <v>0</v>
      </c>
      <c r="Q724" s="12"/>
      <c r="R724" s="12">
        <v>0</v>
      </c>
      <c r="S724" s="12">
        <v>0</v>
      </c>
      <c r="T724" s="12" t="e">
        <v>#VALUE!</v>
      </c>
      <c r="U724" s="12"/>
      <c r="V724" s="12" t="e">
        <v>#VALUE!</v>
      </c>
      <c r="W724" s="12" t="e">
        <v>#VALUE!</v>
      </c>
      <c r="X724" s="12"/>
      <c r="Y724" s="12">
        <v>0</v>
      </c>
    </row>
    <row r="725" spans="13:25" x14ac:dyDescent="0.35">
      <c r="M725" s="6" t="s">
        <v>1088</v>
      </c>
      <c r="N725" s="12"/>
      <c r="O725" s="12">
        <v>0</v>
      </c>
      <c r="P725" s="12">
        <v>0</v>
      </c>
      <c r="Q725" s="12"/>
      <c r="R725" s="12">
        <v>0</v>
      </c>
      <c r="S725" s="12">
        <v>0</v>
      </c>
      <c r="T725" s="12" t="e">
        <v>#VALUE!</v>
      </c>
      <c r="U725" s="12"/>
      <c r="V725" s="12" t="e">
        <v>#VALUE!</v>
      </c>
      <c r="W725" s="12" t="e">
        <v>#VALUE!</v>
      </c>
      <c r="X725" s="12"/>
      <c r="Y725" s="12">
        <v>0</v>
      </c>
    </row>
    <row r="726" spans="13:25" x14ac:dyDescent="0.35">
      <c r="M726" s="6" t="s">
        <v>1091</v>
      </c>
      <c r="N726" s="12"/>
      <c r="O726" s="12">
        <v>0</v>
      </c>
      <c r="P726" s="12">
        <v>0</v>
      </c>
      <c r="Q726" s="12"/>
      <c r="R726" s="12">
        <v>0</v>
      </c>
      <c r="S726" s="12">
        <v>0</v>
      </c>
      <c r="T726" s="12" t="e">
        <v>#VALUE!</v>
      </c>
      <c r="U726" s="12"/>
      <c r="V726" s="12" t="e">
        <v>#VALUE!</v>
      </c>
      <c r="W726" s="12" t="e">
        <v>#VALUE!</v>
      </c>
      <c r="X726" s="12"/>
      <c r="Y726" s="12">
        <v>0</v>
      </c>
    </row>
    <row r="727" spans="13:25" x14ac:dyDescent="0.35">
      <c r="M727" s="6" t="s">
        <v>1093</v>
      </c>
      <c r="N727" s="12"/>
      <c r="O727" s="12">
        <v>0</v>
      </c>
      <c r="P727" s="12">
        <v>0</v>
      </c>
      <c r="Q727" s="12"/>
      <c r="R727" s="12">
        <v>0</v>
      </c>
      <c r="S727" s="12">
        <v>0</v>
      </c>
      <c r="T727" s="12" t="e">
        <v>#VALUE!</v>
      </c>
      <c r="U727" s="12"/>
      <c r="V727" s="12" t="e">
        <v>#VALUE!</v>
      </c>
      <c r="W727" s="12" t="e">
        <v>#VALUE!</v>
      </c>
      <c r="X727" s="12"/>
      <c r="Y727" s="12">
        <v>0</v>
      </c>
    </row>
    <row r="728" spans="13:25" x14ac:dyDescent="0.35">
      <c r="M728" s="6" t="s">
        <v>1095</v>
      </c>
      <c r="N728" s="12"/>
      <c r="O728" s="12">
        <v>0</v>
      </c>
      <c r="P728" s="12">
        <v>0</v>
      </c>
      <c r="Q728" s="12"/>
      <c r="R728" s="12">
        <v>0</v>
      </c>
      <c r="S728" s="12">
        <v>0</v>
      </c>
      <c r="T728" s="12">
        <v>0</v>
      </c>
      <c r="U728" s="12"/>
      <c r="V728" s="12" t="e">
        <v>#VALUE!</v>
      </c>
      <c r="W728" s="12" t="e">
        <v>#VALUE!</v>
      </c>
      <c r="X728" s="12"/>
      <c r="Y728" s="12">
        <v>0</v>
      </c>
    </row>
    <row r="729" spans="13:25" x14ac:dyDescent="0.35">
      <c r="M729" s="6" t="s">
        <v>1098</v>
      </c>
      <c r="N729" s="12"/>
      <c r="O729" s="12" t="e">
        <v>#VALUE!</v>
      </c>
      <c r="P729" s="12" t="e">
        <v>#VALUE!</v>
      </c>
      <c r="Q729" s="12"/>
      <c r="R729" s="12">
        <v>0</v>
      </c>
      <c r="S729" s="12">
        <v>0</v>
      </c>
      <c r="T729" s="12" t="e">
        <v>#VALUE!</v>
      </c>
      <c r="U729" s="12"/>
      <c r="V729" s="12" t="e">
        <v>#VALUE!</v>
      </c>
      <c r="W729" s="12" t="e">
        <v>#VALUE!</v>
      </c>
      <c r="X729" s="12"/>
      <c r="Y729" s="12" t="e">
        <v>#VALUE!</v>
      </c>
    </row>
    <row r="730" spans="13:25" x14ac:dyDescent="0.35">
      <c r="M730" s="6" t="s">
        <v>1101</v>
      </c>
      <c r="N730" s="12"/>
      <c r="O730" s="12">
        <v>0</v>
      </c>
      <c r="P730" s="12">
        <v>0</v>
      </c>
      <c r="Q730" s="12"/>
      <c r="R730" s="12">
        <v>0</v>
      </c>
      <c r="S730" s="12">
        <v>0</v>
      </c>
      <c r="T730" s="12" t="e">
        <v>#VALUE!</v>
      </c>
      <c r="U730" s="12"/>
      <c r="V730" s="12" t="e">
        <v>#VALUE!</v>
      </c>
      <c r="W730" s="12" t="e">
        <v>#VALUE!</v>
      </c>
      <c r="X730" s="12"/>
      <c r="Y730" s="12">
        <v>0</v>
      </c>
    </row>
    <row r="731" spans="13:25" x14ac:dyDescent="0.35">
      <c r="M731" s="6" t="s">
        <v>1105</v>
      </c>
      <c r="N731" s="12"/>
      <c r="O731" s="12">
        <v>0</v>
      </c>
      <c r="P731" s="12">
        <v>0</v>
      </c>
      <c r="Q731" s="12"/>
      <c r="R731" s="12">
        <v>0</v>
      </c>
      <c r="S731" s="12">
        <v>0</v>
      </c>
      <c r="T731" s="12" t="e">
        <v>#VALUE!</v>
      </c>
      <c r="U731" s="12"/>
      <c r="V731" s="12" t="e">
        <v>#VALUE!</v>
      </c>
      <c r="W731" s="12" t="e">
        <v>#VALUE!</v>
      </c>
      <c r="X731" s="12"/>
      <c r="Y731" s="12">
        <v>0</v>
      </c>
    </row>
    <row r="732" spans="13:25" x14ac:dyDescent="0.35">
      <c r="M732" s="6" t="s">
        <v>1107</v>
      </c>
      <c r="N732" s="12"/>
      <c r="O732" s="12" t="e">
        <v>#VALUE!</v>
      </c>
      <c r="P732" s="12" t="e">
        <v>#VALUE!</v>
      </c>
      <c r="Q732" s="12"/>
      <c r="R732" s="12">
        <v>0</v>
      </c>
      <c r="S732" s="12">
        <v>0</v>
      </c>
      <c r="T732" s="12" t="e">
        <v>#VALUE!</v>
      </c>
      <c r="U732" s="12"/>
      <c r="V732" s="12">
        <v>0</v>
      </c>
      <c r="W732" s="12">
        <v>0</v>
      </c>
      <c r="X732" s="12"/>
      <c r="Y732" s="12">
        <v>0</v>
      </c>
    </row>
    <row r="733" spans="13:25" x14ac:dyDescent="0.35">
      <c r="M733" s="6" t="s">
        <v>1111</v>
      </c>
      <c r="N733" s="12"/>
      <c r="O733" s="12" t="e">
        <v>#VALUE!</v>
      </c>
      <c r="P733" s="12" t="e">
        <v>#VALUE!</v>
      </c>
      <c r="Q733" s="12"/>
      <c r="R733" s="12">
        <v>0</v>
      </c>
      <c r="S733" s="12">
        <v>0</v>
      </c>
      <c r="T733" s="12" t="e">
        <v>#VALUE!</v>
      </c>
      <c r="U733" s="12"/>
      <c r="V733" s="12" t="e">
        <v>#VALUE!</v>
      </c>
      <c r="W733" s="12" t="e">
        <v>#VALUE!</v>
      </c>
      <c r="X733" s="12"/>
      <c r="Y733" s="12">
        <v>0</v>
      </c>
    </row>
    <row r="734" spans="13:25" x14ac:dyDescent="0.35">
      <c r="M734" s="6" t="s">
        <v>1114</v>
      </c>
      <c r="N734" s="12"/>
      <c r="O734" s="12">
        <v>0</v>
      </c>
      <c r="P734" s="12">
        <v>0</v>
      </c>
      <c r="Q734" s="12"/>
      <c r="R734" s="12">
        <v>0</v>
      </c>
      <c r="S734" s="12">
        <v>0</v>
      </c>
      <c r="T734" s="12" t="e">
        <v>#VALUE!</v>
      </c>
      <c r="U734" s="12"/>
      <c r="V734" s="12" t="e">
        <v>#VALUE!</v>
      </c>
      <c r="W734" s="12" t="e">
        <v>#VALUE!</v>
      </c>
      <c r="X734" s="12"/>
      <c r="Y734" s="12">
        <v>0</v>
      </c>
    </row>
    <row r="735" spans="13:25" x14ac:dyDescent="0.35">
      <c r="M735" s="6" t="s">
        <v>1117</v>
      </c>
      <c r="N735" s="12"/>
      <c r="O735" s="12" t="e">
        <v>#VALUE!</v>
      </c>
      <c r="P735" s="12" t="e">
        <v>#VALUE!</v>
      </c>
      <c r="Q735" s="12"/>
      <c r="R735" s="12">
        <v>0</v>
      </c>
      <c r="S735" s="12" t="e">
        <v>#VALUE!</v>
      </c>
      <c r="T735" s="12" t="e">
        <v>#VALUE!</v>
      </c>
      <c r="U735" s="12"/>
      <c r="V735" s="12" t="e">
        <v>#VALUE!</v>
      </c>
      <c r="W735" s="12" t="e">
        <v>#VALUE!</v>
      </c>
      <c r="X735" s="12"/>
      <c r="Y735" s="12" t="e">
        <v>#VALUE!</v>
      </c>
    </row>
    <row r="736" spans="13:25" x14ac:dyDescent="0.35">
      <c r="M736" s="6" t="s">
        <v>1141</v>
      </c>
      <c r="N736" s="12"/>
      <c r="O736" s="12">
        <v>0</v>
      </c>
      <c r="P736" s="12">
        <v>0</v>
      </c>
      <c r="Q736" s="12"/>
      <c r="R736" s="12">
        <v>0</v>
      </c>
      <c r="S736" s="12">
        <v>0</v>
      </c>
      <c r="T736" s="12">
        <v>0</v>
      </c>
      <c r="U736" s="12"/>
      <c r="V736" s="12">
        <v>0</v>
      </c>
      <c r="W736" s="12">
        <v>0</v>
      </c>
      <c r="X736" s="12"/>
      <c r="Y736" s="12">
        <v>0</v>
      </c>
    </row>
    <row r="737" spans="13:25" x14ac:dyDescent="0.35">
      <c r="M737" s="6" t="s">
        <v>1146</v>
      </c>
      <c r="N737" s="12"/>
      <c r="O737" s="12" t="e">
        <v>#VALUE!</v>
      </c>
      <c r="P737" s="12" t="e">
        <v>#VALUE!</v>
      </c>
      <c r="Q737" s="12"/>
      <c r="R737" s="12">
        <v>0</v>
      </c>
      <c r="S737" s="12">
        <v>0</v>
      </c>
      <c r="T737" s="12">
        <v>0</v>
      </c>
      <c r="U737" s="12"/>
      <c r="V737" s="12">
        <v>0</v>
      </c>
      <c r="W737" s="12">
        <v>0</v>
      </c>
      <c r="X737" s="12"/>
      <c r="Y737" s="12">
        <v>0</v>
      </c>
    </row>
    <row r="738" spans="13:25" x14ac:dyDescent="0.35">
      <c r="M738" s="6" t="s">
        <v>1334</v>
      </c>
      <c r="N738" s="12"/>
      <c r="O738" s="12">
        <v>0</v>
      </c>
      <c r="P738" s="12">
        <v>0</v>
      </c>
      <c r="Q738" s="12"/>
      <c r="R738" s="12">
        <v>0</v>
      </c>
      <c r="S738" s="12">
        <v>0</v>
      </c>
      <c r="T738" s="12">
        <v>0</v>
      </c>
      <c r="U738" s="12"/>
      <c r="V738" s="12">
        <v>0</v>
      </c>
      <c r="W738" s="12">
        <v>0</v>
      </c>
      <c r="X738" s="12"/>
      <c r="Y738" s="12">
        <v>0</v>
      </c>
    </row>
    <row r="739" spans="13:25" x14ac:dyDescent="0.35">
      <c r="M739" s="6" t="s">
        <v>1550</v>
      </c>
      <c r="N739" s="12"/>
      <c r="O739" s="12">
        <v>0</v>
      </c>
      <c r="P739" s="12">
        <v>0</v>
      </c>
      <c r="Q739" s="12"/>
      <c r="R739" s="12">
        <v>0</v>
      </c>
      <c r="S739" s="12">
        <v>0</v>
      </c>
      <c r="T739" s="12">
        <v>0</v>
      </c>
      <c r="U739" s="12"/>
      <c r="V739" s="12">
        <v>0</v>
      </c>
      <c r="W739" s="12">
        <v>0</v>
      </c>
      <c r="X739" s="12"/>
      <c r="Y739" s="12">
        <v>0</v>
      </c>
    </row>
    <row r="740" spans="13:25" x14ac:dyDescent="0.35">
      <c r="M740" s="6" t="s">
        <v>1645</v>
      </c>
      <c r="N740" s="12"/>
      <c r="O740" s="12">
        <v>0</v>
      </c>
      <c r="P740" s="12">
        <v>0</v>
      </c>
      <c r="Q740" s="12"/>
      <c r="R740" s="12">
        <v>0</v>
      </c>
      <c r="S740" s="12">
        <v>0</v>
      </c>
      <c r="T740" s="12">
        <v>0</v>
      </c>
      <c r="U740" s="12"/>
      <c r="V740" s="12">
        <v>0</v>
      </c>
      <c r="W740" s="12">
        <v>0</v>
      </c>
      <c r="X740" s="12"/>
      <c r="Y740" s="12">
        <v>0</v>
      </c>
    </row>
    <row r="741" spans="13:25" x14ac:dyDescent="0.35">
      <c r="M741" s="6" t="s">
        <v>2174</v>
      </c>
      <c r="N741" s="12"/>
      <c r="O741" s="12">
        <v>0</v>
      </c>
      <c r="P741" s="12">
        <v>0</v>
      </c>
      <c r="Q741" s="12"/>
      <c r="R741" s="12">
        <v>0</v>
      </c>
      <c r="S741" s="12">
        <v>0</v>
      </c>
      <c r="T741" s="12">
        <v>0</v>
      </c>
      <c r="U741" s="12"/>
      <c r="V741" s="12">
        <v>0</v>
      </c>
      <c r="W741" s="12">
        <v>0</v>
      </c>
      <c r="X741" s="12"/>
      <c r="Y741" s="12">
        <v>0</v>
      </c>
    </row>
    <row r="742" spans="13:25" x14ac:dyDescent="0.35">
      <c r="M742" s="6" t="s">
        <v>2199</v>
      </c>
      <c r="N742" s="12"/>
      <c r="O742" s="12" t="e">
        <v>#VALUE!</v>
      </c>
      <c r="P742" s="12" t="e">
        <v>#VALUE!</v>
      </c>
      <c r="Q742" s="12"/>
      <c r="R742" s="12">
        <v>0</v>
      </c>
      <c r="S742" s="12">
        <v>0</v>
      </c>
      <c r="T742" s="12" t="e">
        <v>#VALUE!</v>
      </c>
      <c r="U742" s="12"/>
      <c r="V742" s="12" t="e">
        <v>#VALUE!</v>
      </c>
      <c r="W742" s="12" t="e">
        <v>#VALUE!</v>
      </c>
      <c r="X742" s="12"/>
      <c r="Y742" s="12" t="e">
        <v>#VALUE!</v>
      </c>
    </row>
    <row r="743" spans="13:25" x14ac:dyDescent="0.35">
      <c r="M743" s="6" t="s">
        <v>2203</v>
      </c>
      <c r="N743" s="12"/>
      <c r="O743" s="12">
        <v>0</v>
      </c>
      <c r="P743" s="12">
        <v>0</v>
      </c>
      <c r="Q743" s="12"/>
      <c r="R743" s="12">
        <v>0</v>
      </c>
      <c r="S743" s="12">
        <v>0</v>
      </c>
      <c r="T743" s="12">
        <v>0</v>
      </c>
      <c r="U743" s="12"/>
      <c r="V743" s="12">
        <v>0</v>
      </c>
      <c r="W743" s="12">
        <v>0</v>
      </c>
      <c r="X743" s="12"/>
      <c r="Y743" s="12">
        <v>0</v>
      </c>
    </row>
    <row r="744" spans="13:25" x14ac:dyDescent="0.35">
      <c r="M744" s="6" t="s">
        <v>2207</v>
      </c>
      <c r="N744" s="12"/>
      <c r="O744" s="12">
        <v>0</v>
      </c>
      <c r="P744" s="12">
        <v>0</v>
      </c>
      <c r="Q744" s="12"/>
      <c r="R744" s="12">
        <v>0</v>
      </c>
      <c r="S744" s="12">
        <v>0</v>
      </c>
      <c r="T744" s="12">
        <v>0</v>
      </c>
      <c r="U744" s="12"/>
      <c r="V744" s="12">
        <v>0</v>
      </c>
      <c r="W744" s="12">
        <v>0</v>
      </c>
      <c r="X744" s="12"/>
      <c r="Y744" s="12">
        <v>0</v>
      </c>
    </row>
    <row r="745" spans="13:25" x14ac:dyDescent="0.35">
      <c r="M745" s="6" t="s">
        <v>2210</v>
      </c>
      <c r="N745" s="12"/>
      <c r="O745" s="12" t="e">
        <v>#VALUE!</v>
      </c>
      <c r="P745" s="12" t="e">
        <v>#VALUE!</v>
      </c>
      <c r="Q745" s="12"/>
      <c r="R745" s="12" t="e">
        <v>#VALUE!</v>
      </c>
      <c r="S745" s="12">
        <v>0</v>
      </c>
      <c r="T745" s="12" t="e">
        <v>#VALUE!</v>
      </c>
      <c r="U745" s="12"/>
      <c r="V745" s="12" t="e">
        <v>#VALUE!</v>
      </c>
      <c r="W745" s="12" t="e">
        <v>#VALUE!</v>
      </c>
      <c r="X745" s="12"/>
      <c r="Y745" s="12">
        <v>0</v>
      </c>
    </row>
    <row r="746" spans="13:25" x14ac:dyDescent="0.35">
      <c r="M746" s="6" t="s">
        <v>2213</v>
      </c>
      <c r="N746" s="12"/>
      <c r="O746" s="12" t="e">
        <v>#VALUE!</v>
      </c>
      <c r="P746" s="12" t="e">
        <v>#VALUE!</v>
      </c>
      <c r="Q746" s="12"/>
      <c r="R746" s="12">
        <v>0</v>
      </c>
      <c r="S746" s="12">
        <v>0</v>
      </c>
      <c r="T746" s="12" t="e">
        <v>#VALUE!</v>
      </c>
      <c r="U746" s="12"/>
      <c r="V746" s="12" t="e">
        <v>#VALUE!</v>
      </c>
      <c r="W746" s="12" t="e">
        <v>#VALUE!</v>
      </c>
      <c r="X746" s="12"/>
      <c r="Y746" s="12" t="e">
        <v>#VALUE!</v>
      </c>
    </row>
    <row r="747" spans="13:25" x14ac:dyDescent="0.35">
      <c r="M747" s="6" t="s">
        <v>2216</v>
      </c>
      <c r="N747" s="12"/>
      <c r="O747" s="12" t="e">
        <v>#VALUE!</v>
      </c>
      <c r="P747" s="12" t="e">
        <v>#VALUE!</v>
      </c>
      <c r="Q747" s="12"/>
      <c r="R747" s="12">
        <v>0</v>
      </c>
      <c r="S747" s="12">
        <v>0</v>
      </c>
      <c r="T747" s="12" t="e">
        <v>#VALUE!</v>
      </c>
      <c r="U747" s="12"/>
      <c r="V747" s="12" t="e">
        <v>#VALUE!</v>
      </c>
      <c r="W747" s="12" t="e">
        <v>#VALUE!</v>
      </c>
      <c r="X747" s="12"/>
      <c r="Y747" s="12" t="e">
        <v>#VALUE!</v>
      </c>
    </row>
    <row r="748" spans="13:25" x14ac:dyDescent="0.35">
      <c r="M748" s="6" t="s">
        <v>2219</v>
      </c>
      <c r="N748" s="12"/>
      <c r="O748" s="12">
        <v>0</v>
      </c>
      <c r="P748" s="12">
        <v>0</v>
      </c>
      <c r="Q748" s="12"/>
      <c r="R748" s="12">
        <v>0</v>
      </c>
      <c r="S748" s="12">
        <v>0</v>
      </c>
      <c r="T748" s="12">
        <v>0</v>
      </c>
      <c r="U748" s="12"/>
      <c r="V748" s="12">
        <v>0</v>
      </c>
      <c r="W748" s="12">
        <v>0</v>
      </c>
      <c r="X748" s="12"/>
      <c r="Y748" s="12">
        <v>0</v>
      </c>
    </row>
    <row r="749" spans="13:25" x14ac:dyDescent="0.35">
      <c r="M749" s="6" t="s">
        <v>2223</v>
      </c>
      <c r="N749" s="12"/>
      <c r="O749" s="12" t="e">
        <v>#VALUE!</v>
      </c>
      <c r="P749" s="12" t="e">
        <v>#VALUE!</v>
      </c>
      <c r="Q749" s="12"/>
      <c r="R749" s="12">
        <v>0</v>
      </c>
      <c r="S749" s="12">
        <v>0</v>
      </c>
      <c r="T749" s="12" t="e">
        <v>#VALUE!</v>
      </c>
      <c r="U749" s="12"/>
      <c r="V749" s="12" t="e">
        <v>#VALUE!</v>
      </c>
      <c r="W749" s="12" t="e">
        <v>#VALUE!</v>
      </c>
      <c r="X749" s="12"/>
      <c r="Y749" s="12" t="e">
        <v>#VALUE!</v>
      </c>
    </row>
    <row r="750" spans="13:25" x14ac:dyDescent="0.35">
      <c r="M750" s="6" t="s">
        <v>2227</v>
      </c>
      <c r="N750" s="12"/>
      <c r="O750" s="12">
        <v>0</v>
      </c>
      <c r="P750" s="12">
        <v>0</v>
      </c>
      <c r="Q750" s="12"/>
      <c r="R750" s="12">
        <v>0</v>
      </c>
      <c r="S750" s="12">
        <v>0</v>
      </c>
      <c r="T750" s="12">
        <v>0</v>
      </c>
      <c r="U750" s="12"/>
      <c r="V750" s="12">
        <v>0</v>
      </c>
      <c r="W750" s="12">
        <v>0</v>
      </c>
      <c r="X750" s="12"/>
      <c r="Y750" s="12">
        <v>0</v>
      </c>
    </row>
    <row r="751" spans="13:25" x14ac:dyDescent="0.35">
      <c r="M751" s="6" t="s">
        <v>2231</v>
      </c>
      <c r="N751" s="12"/>
      <c r="O751" s="12" t="e">
        <v>#VALUE!</v>
      </c>
      <c r="P751" s="12" t="e">
        <v>#VALUE!</v>
      </c>
      <c r="Q751" s="12"/>
      <c r="R751" s="12">
        <v>0</v>
      </c>
      <c r="S751" s="12">
        <v>0</v>
      </c>
      <c r="T751" s="12" t="e">
        <v>#VALUE!</v>
      </c>
      <c r="U751" s="12"/>
      <c r="V751" s="12" t="e">
        <v>#VALUE!</v>
      </c>
      <c r="W751" s="12" t="e">
        <v>#VALUE!</v>
      </c>
      <c r="X751" s="12"/>
      <c r="Y751" s="12" t="e">
        <v>#VALUE!</v>
      </c>
    </row>
    <row r="752" spans="13:25" x14ac:dyDescent="0.35">
      <c r="M752" s="6" t="s">
        <v>2234</v>
      </c>
      <c r="N752" s="12"/>
      <c r="O752" s="12" t="e">
        <v>#VALUE!</v>
      </c>
      <c r="P752" s="12" t="e">
        <v>#VALUE!</v>
      </c>
      <c r="Q752" s="12"/>
      <c r="R752" s="12">
        <v>0</v>
      </c>
      <c r="S752" s="12" t="e">
        <v>#VALUE!</v>
      </c>
      <c r="T752" s="12">
        <v>0</v>
      </c>
      <c r="U752" s="12"/>
      <c r="V752" s="12">
        <v>0</v>
      </c>
      <c r="W752" s="12">
        <v>0</v>
      </c>
      <c r="X752" s="12"/>
      <c r="Y752" s="12">
        <v>0</v>
      </c>
    </row>
    <row r="753" spans="13:25" x14ac:dyDescent="0.35">
      <c r="M753" s="6" t="s">
        <v>2237</v>
      </c>
      <c r="N753" s="12"/>
      <c r="O753" s="12">
        <v>0</v>
      </c>
      <c r="P753" s="12">
        <v>0</v>
      </c>
      <c r="Q753" s="12"/>
      <c r="R753" s="12">
        <v>0</v>
      </c>
      <c r="S753" s="12">
        <v>0</v>
      </c>
      <c r="T753" s="12">
        <v>0</v>
      </c>
      <c r="U753" s="12"/>
      <c r="V753" s="12">
        <v>0</v>
      </c>
      <c r="W753" s="12">
        <v>0</v>
      </c>
      <c r="X753" s="12"/>
      <c r="Y753" s="12">
        <v>0</v>
      </c>
    </row>
    <row r="754" spans="13:25" x14ac:dyDescent="0.35">
      <c r="M754" s="6" t="s">
        <v>2239</v>
      </c>
      <c r="N754" s="12"/>
      <c r="O754" s="12" t="e">
        <v>#VALUE!</v>
      </c>
      <c r="P754" s="12" t="e">
        <v>#VALUE!</v>
      </c>
      <c r="Q754" s="12"/>
      <c r="R754" s="12">
        <v>0</v>
      </c>
      <c r="S754" s="12">
        <v>0</v>
      </c>
      <c r="T754" s="12" t="e">
        <v>#VALUE!</v>
      </c>
      <c r="U754" s="12"/>
      <c r="V754" s="12" t="e">
        <v>#VALUE!</v>
      </c>
      <c r="W754" s="12" t="e">
        <v>#VALUE!</v>
      </c>
      <c r="X754" s="12"/>
      <c r="Y754" s="12" t="e">
        <v>#VALUE!</v>
      </c>
    </row>
    <row r="755" spans="13:25" x14ac:dyDescent="0.35">
      <c r="M755" s="6" t="s">
        <v>2242</v>
      </c>
      <c r="N755" s="12"/>
      <c r="O755" s="12" t="e">
        <v>#VALUE!</v>
      </c>
      <c r="P755" s="12" t="e">
        <v>#VALUE!</v>
      </c>
      <c r="Q755" s="12"/>
      <c r="R755" s="12">
        <v>0</v>
      </c>
      <c r="S755" s="12">
        <v>0</v>
      </c>
      <c r="T755" s="12" t="e">
        <v>#VALUE!</v>
      </c>
      <c r="U755" s="12"/>
      <c r="V755" s="12" t="e">
        <v>#VALUE!</v>
      </c>
      <c r="W755" s="12" t="e">
        <v>#VALUE!</v>
      </c>
      <c r="X755" s="12"/>
      <c r="Y755" s="12">
        <v>0</v>
      </c>
    </row>
    <row r="756" spans="13:25" x14ac:dyDescent="0.35">
      <c r="M756" s="6" t="s">
        <v>2246</v>
      </c>
      <c r="N756" s="12"/>
      <c r="O756" s="12" t="e">
        <v>#VALUE!</v>
      </c>
      <c r="P756" s="12" t="e">
        <v>#VALUE!</v>
      </c>
      <c r="Q756" s="12"/>
      <c r="R756" s="12">
        <v>0</v>
      </c>
      <c r="S756" s="12">
        <v>0</v>
      </c>
      <c r="T756" s="12" t="e">
        <v>#VALUE!</v>
      </c>
      <c r="U756" s="12"/>
      <c r="V756" s="12" t="e">
        <v>#VALUE!</v>
      </c>
      <c r="W756" s="12" t="e">
        <v>#VALUE!</v>
      </c>
      <c r="X756" s="12"/>
      <c r="Y756" s="12" t="e">
        <v>#VALUE!</v>
      </c>
    </row>
    <row r="757" spans="13:25" x14ac:dyDescent="0.35">
      <c r="M757" s="6" t="s">
        <v>2249</v>
      </c>
      <c r="N757" s="12"/>
      <c r="O757" s="12" t="e">
        <v>#VALUE!</v>
      </c>
      <c r="P757" s="12" t="e">
        <v>#VALUE!</v>
      </c>
      <c r="Q757" s="12"/>
      <c r="R757" s="12">
        <v>0</v>
      </c>
      <c r="S757" s="12">
        <v>0</v>
      </c>
      <c r="T757" s="12" t="e">
        <v>#VALUE!</v>
      </c>
      <c r="U757" s="12"/>
      <c r="V757" s="12" t="e">
        <v>#VALUE!</v>
      </c>
      <c r="W757" s="12" t="e">
        <v>#VALUE!</v>
      </c>
      <c r="X757" s="12"/>
      <c r="Y757" s="12" t="e">
        <v>#VALUE!</v>
      </c>
    </row>
    <row r="758" spans="13:25" x14ac:dyDescent="0.35">
      <c r="M758" s="6" t="s">
        <v>2252</v>
      </c>
      <c r="N758" s="12"/>
      <c r="O758" s="12">
        <v>0</v>
      </c>
      <c r="P758" s="12">
        <v>0</v>
      </c>
      <c r="Q758" s="12"/>
      <c r="R758" s="12">
        <v>0</v>
      </c>
      <c r="S758" s="12">
        <v>0</v>
      </c>
      <c r="T758" s="12">
        <v>0</v>
      </c>
      <c r="U758" s="12"/>
      <c r="V758" s="12">
        <v>0</v>
      </c>
      <c r="W758" s="12">
        <v>0</v>
      </c>
      <c r="X758" s="12"/>
      <c r="Y758" s="12">
        <v>0</v>
      </c>
    </row>
    <row r="759" spans="13:25" x14ac:dyDescent="0.35">
      <c r="M759" s="6" t="s">
        <v>2255</v>
      </c>
      <c r="N759" s="12"/>
      <c r="O759" s="12" t="e">
        <v>#VALUE!</v>
      </c>
      <c r="P759" s="12" t="e">
        <v>#VALUE!</v>
      </c>
      <c r="Q759" s="12"/>
      <c r="R759" s="12">
        <v>0</v>
      </c>
      <c r="S759" s="12">
        <v>0</v>
      </c>
      <c r="T759" s="12" t="e">
        <v>#VALUE!</v>
      </c>
      <c r="U759" s="12"/>
      <c r="V759" s="12" t="e">
        <v>#VALUE!</v>
      </c>
      <c r="W759" s="12" t="e">
        <v>#VALUE!</v>
      </c>
      <c r="X759" s="12"/>
      <c r="Y759" s="12" t="e">
        <v>#VALUE!</v>
      </c>
    </row>
    <row r="760" spans="13:25" x14ac:dyDescent="0.35">
      <c r="M760" s="6" t="s">
        <v>2258</v>
      </c>
      <c r="N760" s="12"/>
      <c r="O760" s="12" t="e">
        <v>#VALUE!</v>
      </c>
      <c r="P760" s="12" t="e">
        <v>#VALUE!</v>
      </c>
      <c r="Q760" s="12"/>
      <c r="R760" s="12">
        <v>0</v>
      </c>
      <c r="S760" s="12">
        <v>0</v>
      </c>
      <c r="T760" s="12" t="e">
        <v>#VALUE!</v>
      </c>
      <c r="U760" s="12"/>
      <c r="V760" s="12" t="e">
        <v>#VALUE!</v>
      </c>
      <c r="W760" s="12" t="e">
        <v>#VALUE!</v>
      </c>
      <c r="X760" s="12"/>
      <c r="Y760" s="12" t="e">
        <v>#VALUE!</v>
      </c>
    </row>
    <row r="761" spans="13:25" x14ac:dyDescent="0.35">
      <c r="M761" s="6" t="s">
        <v>2262</v>
      </c>
      <c r="N761" s="12"/>
      <c r="O761" s="12" t="e">
        <v>#VALUE!</v>
      </c>
      <c r="P761" s="12" t="e">
        <v>#VALUE!</v>
      </c>
      <c r="Q761" s="12"/>
      <c r="R761" s="12">
        <v>0</v>
      </c>
      <c r="S761" s="12">
        <v>0</v>
      </c>
      <c r="T761" s="12" t="e">
        <v>#VALUE!</v>
      </c>
      <c r="U761" s="12"/>
      <c r="V761" s="12" t="e">
        <v>#VALUE!</v>
      </c>
      <c r="W761" s="12" t="e">
        <v>#VALUE!</v>
      </c>
      <c r="X761" s="12"/>
      <c r="Y761" s="12" t="e">
        <v>#VALUE!</v>
      </c>
    </row>
    <row r="762" spans="13:25" x14ac:dyDescent="0.35">
      <c r="M762" s="6" t="s">
        <v>2265</v>
      </c>
      <c r="N762" s="12"/>
      <c r="O762" s="12" t="e">
        <v>#VALUE!</v>
      </c>
      <c r="P762" s="12" t="e">
        <v>#VALUE!</v>
      </c>
      <c r="Q762" s="12"/>
      <c r="R762" s="12">
        <v>0</v>
      </c>
      <c r="S762" s="12">
        <v>0</v>
      </c>
      <c r="T762" s="12" t="e">
        <v>#VALUE!</v>
      </c>
      <c r="U762" s="12"/>
      <c r="V762" s="12" t="e">
        <v>#VALUE!</v>
      </c>
      <c r="W762" s="12" t="e">
        <v>#VALUE!</v>
      </c>
      <c r="X762" s="12"/>
      <c r="Y762" s="12" t="e">
        <v>#VALUE!</v>
      </c>
    </row>
    <row r="763" spans="13:25" x14ac:dyDescent="0.35">
      <c r="M763" s="6" t="s">
        <v>2268</v>
      </c>
      <c r="N763" s="12"/>
      <c r="O763" s="12" t="e">
        <v>#VALUE!</v>
      </c>
      <c r="P763" s="12" t="e">
        <v>#VALUE!</v>
      </c>
      <c r="Q763" s="12"/>
      <c r="R763" s="12">
        <v>0</v>
      </c>
      <c r="S763" s="12">
        <v>0</v>
      </c>
      <c r="T763" s="12" t="e">
        <v>#VALUE!</v>
      </c>
      <c r="U763" s="12"/>
      <c r="V763" s="12" t="e">
        <v>#VALUE!</v>
      </c>
      <c r="W763" s="12" t="e">
        <v>#VALUE!</v>
      </c>
      <c r="X763" s="12"/>
      <c r="Y763" s="12" t="e">
        <v>#VALUE!</v>
      </c>
    </row>
    <row r="764" spans="13:25" x14ac:dyDescent="0.35">
      <c r="M764" s="6" t="s">
        <v>2271</v>
      </c>
      <c r="N764" s="12"/>
      <c r="O764" s="12" t="e">
        <v>#VALUE!</v>
      </c>
      <c r="P764" s="12" t="e">
        <v>#VALUE!</v>
      </c>
      <c r="Q764" s="12"/>
      <c r="R764" s="12">
        <v>0</v>
      </c>
      <c r="S764" s="12">
        <v>0</v>
      </c>
      <c r="T764" s="12" t="e">
        <v>#VALUE!</v>
      </c>
      <c r="U764" s="12"/>
      <c r="V764" s="12" t="e">
        <v>#VALUE!</v>
      </c>
      <c r="W764" s="12" t="e">
        <v>#VALUE!</v>
      </c>
      <c r="X764" s="12"/>
      <c r="Y764" s="12" t="e">
        <v>#VALUE!</v>
      </c>
    </row>
    <row r="765" spans="13:25" x14ac:dyDescent="0.35">
      <c r="M765" s="6" t="s">
        <v>2275</v>
      </c>
      <c r="N765" s="12"/>
      <c r="O765" s="12" t="e">
        <v>#VALUE!</v>
      </c>
      <c r="P765" s="12" t="e">
        <v>#VALUE!</v>
      </c>
      <c r="Q765" s="12"/>
      <c r="R765" s="12">
        <v>0</v>
      </c>
      <c r="S765" s="12">
        <v>0</v>
      </c>
      <c r="T765" s="12" t="e">
        <v>#VALUE!</v>
      </c>
      <c r="U765" s="12"/>
      <c r="V765" s="12" t="e">
        <v>#VALUE!</v>
      </c>
      <c r="W765" s="12" t="e">
        <v>#VALUE!</v>
      </c>
      <c r="X765" s="12"/>
      <c r="Y765" s="12" t="e">
        <v>#VALUE!</v>
      </c>
    </row>
    <row r="766" spans="13:25" x14ac:dyDescent="0.35">
      <c r="M766" s="6" t="s">
        <v>2278</v>
      </c>
      <c r="N766" s="12"/>
      <c r="O766" s="12" t="e">
        <v>#VALUE!</v>
      </c>
      <c r="P766" s="12" t="e">
        <v>#VALUE!</v>
      </c>
      <c r="Q766" s="12"/>
      <c r="R766" s="12">
        <v>0</v>
      </c>
      <c r="S766" s="12">
        <v>0</v>
      </c>
      <c r="T766" s="12" t="e">
        <v>#VALUE!</v>
      </c>
      <c r="U766" s="12"/>
      <c r="V766" s="12" t="e">
        <v>#VALUE!</v>
      </c>
      <c r="W766" s="12" t="e">
        <v>#VALUE!</v>
      </c>
      <c r="X766" s="12"/>
      <c r="Y766" s="12" t="e">
        <v>#VALUE!</v>
      </c>
    </row>
    <row r="767" spans="13:25" x14ac:dyDescent="0.35">
      <c r="M767" s="6" t="s">
        <v>2281</v>
      </c>
      <c r="N767" s="12"/>
      <c r="O767" s="12">
        <v>0</v>
      </c>
      <c r="P767" s="12">
        <v>0</v>
      </c>
      <c r="Q767" s="12"/>
      <c r="R767" s="12">
        <v>0</v>
      </c>
      <c r="S767" s="12">
        <v>0</v>
      </c>
      <c r="T767" s="12">
        <v>0</v>
      </c>
      <c r="U767" s="12"/>
      <c r="V767" s="12">
        <v>0</v>
      </c>
      <c r="W767" s="12">
        <v>0</v>
      </c>
      <c r="X767" s="12"/>
      <c r="Y767" s="12">
        <v>0</v>
      </c>
    </row>
    <row r="768" spans="13:25" x14ac:dyDescent="0.35">
      <c r="M768" s="6" t="s">
        <v>2284</v>
      </c>
      <c r="N768" s="12"/>
      <c r="O768" s="12">
        <v>0</v>
      </c>
      <c r="P768" s="12">
        <v>0</v>
      </c>
      <c r="Q768" s="12"/>
      <c r="R768" s="12">
        <v>0</v>
      </c>
      <c r="S768" s="12">
        <v>0</v>
      </c>
      <c r="T768" s="12">
        <v>0</v>
      </c>
      <c r="U768" s="12"/>
      <c r="V768" s="12">
        <v>0</v>
      </c>
      <c r="W768" s="12">
        <v>0</v>
      </c>
      <c r="X768" s="12"/>
      <c r="Y768" s="12">
        <v>0</v>
      </c>
    </row>
    <row r="769" spans="13:25" x14ac:dyDescent="0.35">
      <c r="M769" s="6" t="s">
        <v>2288</v>
      </c>
      <c r="N769" s="12"/>
      <c r="O769" s="12" t="e">
        <v>#VALUE!</v>
      </c>
      <c r="P769" s="12" t="e">
        <v>#VALUE!</v>
      </c>
      <c r="Q769" s="12"/>
      <c r="R769" s="12">
        <v>0</v>
      </c>
      <c r="S769" s="12" t="e">
        <v>#VALUE!</v>
      </c>
      <c r="T769" s="12" t="e">
        <v>#VALUE!</v>
      </c>
      <c r="U769" s="12"/>
      <c r="V769" s="12" t="e">
        <v>#VALUE!</v>
      </c>
      <c r="W769" s="12" t="e">
        <v>#VALUE!</v>
      </c>
      <c r="X769" s="12"/>
      <c r="Y769" s="12" t="e">
        <v>#VALUE!</v>
      </c>
    </row>
    <row r="770" spans="13:25" x14ac:dyDescent="0.35">
      <c r="M770" s="6" t="s">
        <v>2291</v>
      </c>
      <c r="N770" s="12"/>
      <c r="O770" s="12" t="e">
        <v>#VALUE!</v>
      </c>
      <c r="P770" s="12" t="e">
        <v>#VALUE!</v>
      </c>
      <c r="Q770" s="12"/>
      <c r="R770" s="12">
        <v>0</v>
      </c>
      <c r="S770" s="12">
        <v>0</v>
      </c>
      <c r="T770" s="12" t="e">
        <v>#VALUE!</v>
      </c>
      <c r="U770" s="12"/>
      <c r="V770" s="12" t="e">
        <v>#VALUE!</v>
      </c>
      <c r="W770" s="12" t="e">
        <v>#VALUE!</v>
      </c>
      <c r="X770" s="12"/>
      <c r="Y770" s="12" t="e">
        <v>#VALUE!</v>
      </c>
    </row>
    <row r="771" spans="13:25" x14ac:dyDescent="0.35">
      <c r="M771" s="6" t="s">
        <v>2294</v>
      </c>
      <c r="N771" s="12"/>
      <c r="O771" s="12" t="e">
        <v>#VALUE!</v>
      </c>
      <c r="P771" s="12" t="e">
        <v>#VALUE!</v>
      </c>
      <c r="Q771" s="12"/>
      <c r="R771" s="12">
        <v>0</v>
      </c>
      <c r="S771" s="12">
        <v>0</v>
      </c>
      <c r="T771" s="12" t="e">
        <v>#VALUE!</v>
      </c>
      <c r="U771" s="12"/>
      <c r="V771" s="12" t="e">
        <v>#VALUE!</v>
      </c>
      <c r="W771" s="12" t="e">
        <v>#VALUE!</v>
      </c>
      <c r="X771" s="12"/>
      <c r="Y771" s="12" t="e">
        <v>#VALUE!</v>
      </c>
    </row>
    <row r="772" spans="13:25" x14ac:dyDescent="0.35">
      <c r="M772" s="6" t="s">
        <v>2297</v>
      </c>
      <c r="N772" s="12"/>
      <c r="O772" s="12" t="e">
        <v>#VALUE!</v>
      </c>
      <c r="P772" s="12" t="e">
        <v>#VALUE!</v>
      </c>
      <c r="Q772" s="12"/>
      <c r="R772" s="12">
        <v>0</v>
      </c>
      <c r="S772" s="12">
        <v>0</v>
      </c>
      <c r="T772" s="12" t="e">
        <v>#VALUE!</v>
      </c>
      <c r="U772" s="12"/>
      <c r="V772" s="12" t="e">
        <v>#VALUE!</v>
      </c>
      <c r="W772" s="12" t="e">
        <v>#VALUE!</v>
      </c>
      <c r="X772" s="12"/>
      <c r="Y772" s="12" t="e">
        <v>#VALUE!</v>
      </c>
    </row>
    <row r="773" spans="13:25" x14ac:dyDescent="0.35">
      <c r="M773" s="6" t="s">
        <v>2301</v>
      </c>
      <c r="N773" s="12"/>
      <c r="O773" s="12" t="e">
        <v>#VALUE!</v>
      </c>
      <c r="P773" s="12" t="e">
        <v>#VALUE!</v>
      </c>
      <c r="Q773" s="12"/>
      <c r="R773" s="12">
        <v>0</v>
      </c>
      <c r="S773" s="12">
        <v>0</v>
      </c>
      <c r="T773" s="12" t="e">
        <v>#VALUE!</v>
      </c>
      <c r="U773" s="12"/>
      <c r="V773" s="12" t="e">
        <v>#VALUE!</v>
      </c>
      <c r="W773" s="12" t="e">
        <v>#VALUE!</v>
      </c>
      <c r="X773" s="12"/>
      <c r="Y773" s="12" t="e">
        <v>#VALUE!</v>
      </c>
    </row>
    <row r="774" spans="13:25" x14ac:dyDescent="0.35">
      <c r="M774" s="6" t="s">
        <v>2304</v>
      </c>
      <c r="N774" s="12"/>
      <c r="O774" s="12" t="e">
        <v>#VALUE!</v>
      </c>
      <c r="P774" s="12" t="e">
        <v>#VALUE!</v>
      </c>
      <c r="Q774" s="12"/>
      <c r="R774" s="12">
        <v>0</v>
      </c>
      <c r="S774" s="12">
        <v>0</v>
      </c>
      <c r="T774" s="12" t="e">
        <v>#VALUE!</v>
      </c>
      <c r="U774" s="12"/>
      <c r="V774" s="12" t="e">
        <v>#VALUE!</v>
      </c>
      <c r="W774" s="12" t="e">
        <v>#VALUE!</v>
      </c>
      <c r="X774" s="12"/>
      <c r="Y774" s="12" t="e">
        <v>#VALUE!</v>
      </c>
    </row>
    <row r="775" spans="13:25" x14ac:dyDescent="0.35">
      <c r="M775" s="6" t="s">
        <v>2308</v>
      </c>
      <c r="N775" s="12"/>
      <c r="O775" s="12" t="e">
        <v>#VALUE!</v>
      </c>
      <c r="P775" s="12" t="e">
        <v>#VALUE!</v>
      </c>
      <c r="Q775" s="12"/>
      <c r="R775" s="12">
        <v>0</v>
      </c>
      <c r="S775" s="12">
        <v>0</v>
      </c>
      <c r="T775" s="12" t="e">
        <v>#VALUE!</v>
      </c>
      <c r="U775" s="12"/>
      <c r="V775" s="12" t="e">
        <v>#VALUE!</v>
      </c>
      <c r="W775" s="12" t="e">
        <v>#VALUE!</v>
      </c>
      <c r="X775" s="12"/>
      <c r="Y775" s="12">
        <v>0</v>
      </c>
    </row>
    <row r="776" spans="13:25" x14ac:dyDescent="0.35">
      <c r="M776" s="6" t="s">
        <v>2313</v>
      </c>
      <c r="N776" s="12"/>
      <c r="O776" s="12" t="e">
        <v>#VALUE!</v>
      </c>
      <c r="P776" s="12" t="e">
        <v>#VALUE!</v>
      </c>
      <c r="Q776" s="12"/>
      <c r="R776" s="12">
        <v>0</v>
      </c>
      <c r="S776" s="12">
        <v>0</v>
      </c>
      <c r="T776" s="12" t="e">
        <v>#VALUE!</v>
      </c>
      <c r="U776" s="12"/>
      <c r="V776" s="12" t="e">
        <v>#VALUE!</v>
      </c>
      <c r="W776" s="12" t="e">
        <v>#VALUE!</v>
      </c>
      <c r="X776" s="12"/>
      <c r="Y776" s="12" t="e">
        <v>#VALUE!</v>
      </c>
    </row>
    <row r="777" spans="13:25" x14ac:dyDescent="0.35">
      <c r="M777" s="6" t="s">
        <v>2317</v>
      </c>
      <c r="N777" s="12"/>
      <c r="O777" s="12" t="e">
        <v>#VALUE!</v>
      </c>
      <c r="P777" s="12" t="e">
        <v>#VALUE!</v>
      </c>
      <c r="Q777" s="12"/>
      <c r="R777" s="12">
        <v>0</v>
      </c>
      <c r="S777" s="12">
        <v>0</v>
      </c>
      <c r="T777" s="12" t="e">
        <v>#VALUE!</v>
      </c>
      <c r="U777" s="12"/>
      <c r="V777" s="12" t="e">
        <v>#VALUE!</v>
      </c>
      <c r="W777" s="12" t="e">
        <v>#VALUE!</v>
      </c>
      <c r="X777" s="12"/>
      <c r="Y777" s="12" t="e">
        <v>#VALUE!</v>
      </c>
    </row>
    <row r="778" spans="13:25" x14ac:dyDescent="0.35">
      <c r="M778" s="6" t="s">
        <v>2321</v>
      </c>
      <c r="N778" s="12"/>
      <c r="O778" s="12" t="e">
        <v>#VALUE!</v>
      </c>
      <c r="P778" s="12" t="e">
        <v>#VALUE!</v>
      </c>
      <c r="Q778" s="12"/>
      <c r="R778" s="12">
        <v>0</v>
      </c>
      <c r="S778" s="12">
        <v>0</v>
      </c>
      <c r="T778" s="12" t="e">
        <v>#VALUE!</v>
      </c>
      <c r="U778" s="12"/>
      <c r="V778" s="12" t="e">
        <v>#VALUE!</v>
      </c>
      <c r="W778" s="12" t="e">
        <v>#VALUE!</v>
      </c>
      <c r="X778" s="12"/>
      <c r="Y778" s="12">
        <v>0</v>
      </c>
    </row>
    <row r="779" spans="13:25" x14ac:dyDescent="0.35">
      <c r="M779" s="6" t="s">
        <v>2324</v>
      </c>
      <c r="N779" s="12"/>
      <c r="O779" s="12" t="e">
        <v>#VALUE!</v>
      </c>
      <c r="P779" s="12" t="e">
        <v>#VALUE!</v>
      </c>
      <c r="Q779" s="12"/>
      <c r="R779" s="12">
        <v>0</v>
      </c>
      <c r="S779" s="12">
        <v>0</v>
      </c>
      <c r="T779" s="12">
        <v>0</v>
      </c>
      <c r="U779" s="12"/>
      <c r="V779" s="12">
        <v>0</v>
      </c>
      <c r="W779" s="12">
        <v>0</v>
      </c>
      <c r="X779" s="12"/>
      <c r="Y779" s="12">
        <v>0</v>
      </c>
    </row>
    <row r="780" spans="13:25" x14ac:dyDescent="0.35">
      <c r="M780" s="6" t="s">
        <v>2327</v>
      </c>
      <c r="N780" s="12"/>
      <c r="O780" s="12">
        <v>0</v>
      </c>
      <c r="P780" s="12">
        <v>0</v>
      </c>
      <c r="Q780" s="12"/>
      <c r="R780" s="12">
        <v>0</v>
      </c>
      <c r="S780" s="12">
        <v>0</v>
      </c>
      <c r="T780" s="12">
        <v>0</v>
      </c>
      <c r="U780" s="12"/>
      <c r="V780" s="12">
        <v>0</v>
      </c>
      <c r="W780" s="12">
        <v>0</v>
      </c>
      <c r="X780" s="12"/>
      <c r="Y780" s="12">
        <v>0</v>
      </c>
    </row>
    <row r="781" spans="13:25" x14ac:dyDescent="0.35">
      <c r="M781" s="6" t="s">
        <v>2331</v>
      </c>
      <c r="N781" s="12"/>
      <c r="O781" s="12" t="e">
        <v>#VALUE!</v>
      </c>
      <c r="P781" s="12" t="e">
        <v>#VALUE!</v>
      </c>
      <c r="Q781" s="12"/>
      <c r="R781" s="12">
        <v>0</v>
      </c>
      <c r="S781" s="12">
        <v>0</v>
      </c>
      <c r="T781" s="12" t="e">
        <v>#VALUE!</v>
      </c>
      <c r="U781" s="12"/>
      <c r="V781" s="12" t="e">
        <v>#VALUE!</v>
      </c>
      <c r="W781" s="12" t="e">
        <v>#VALUE!</v>
      </c>
      <c r="X781" s="12"/>
      <c r="Y781" s="12" t="e">
        <v>#VALUE!</v>
      </c>
    </row>
    <row r="782" spans="13:25" x14ac:dyDescent="0.35">
      <c r="M782" s="6" t="s">
        <v>2334</v>
      </c>
      <c r="N782" s="12"/>
      <c r="O782" s="12" t="e">
        <v>#VALUE!</v>
      </c>
      <c r="P782" s="12" t="e">
        <v>#VALUE!</v>
      </c>
      <c r="Q782" s="12"/>
      <c r="R782" s="12">
        <v>0</v>
      </c>
      <c r="S782" s="12" t="e">
        <v>#VALUE!</v>
      </c>
      <c r="T782" s="12" t="e">
        <v>#VALUE!</v>
      </c>
      <c r="U782" s="12"/>
      <c r="V782" s="12" t="e">
        <v>#VALUE!</v>
      </c>
      <c r="W782" s="12" t="e">
        <v>#VALUE!</v>
      </c>
      <c r="X782" s="12"/>
      <c r="Y782" s="12">
        <v>0</v>
      </c>
    </row>
    <row r="783" spans="13:25" x14ac:dyDescent="0.35">
      <c r="M783" s="6" t="s">
        <v>2337</v>
      </c>
      <c r="N783" s="12"/>
      <c r="O783" s="12" t="e">
        <v>#VALUE!</v>
      </c>
      <c r="P783" s="12" t="e">
        <v>#VALUE!</v>
      </c>
      <c r="Q783" s="12"/>
      <c r="R783" s="12">
        <v>0</v>
      </c>
      <c r="S783" s="12" t="e">
        <v>#VALUE!</v>
      </c>
      <c r="T783" s="12" t="e">
        <v>#VALUE!</v>
      </c>
      <c r="U783" s="12"/>
      <c r="V783" s="12" t="e">
        <v>#VALUE!</v>
      </c>
      <c r="W783" s="12" t="e">
        <v>#VALUE!</v>
      </c>
      <c r="X783" s="12"/>
      <c r="Y783" s="12">
        <v>0</v>
      </c>
    </row>
    <row r="784" spans="13:25" x14ac:dyDescent="0.35">
      <c r="M784" s="6" t="s">
        <v>2341</v>
      </c>
      <c r="N784" s="12"/>
      <c r="O784" s="12" t="e">
        <v>#VALUE!</v>
      </c>
      <c r="P784" s="12" t="e">
        <v>#VALUE!</v>
      </c>
      <c r="Q784" s="12"/>
      <c r="R784" s="12">
        <v>0</v>
      </c>
      <c r="S784" s="12">
        <v>0</v>
      </c>
      <c r="T784" s="12" t="e">
        <v>#VALUE!</v>
      </c>
      <c r="U784" s="12"/>
      <c r="V784" s="12" t="e">
        <v>#VALUE!</v>
      </c>
      <c r="W784" s="12" t="e">
        <v>#VALUE!</v>
      </c>
      <c r="X784" s="12"/>
      <c r="Y784" s="12">
        <v>0</v>
      </c>
    </row>
    <row r="785" spans="13:25" x14ac:dyDescent="0.35">
      <c r="M785" s="6" t="s">
        <v>2344</v>
      </c>
      <c r="N785" s="12"/>
      <c r="O785" s="12" t="e">
        <v>#VALUE!</v>
      </c>
      <c r="P785" s="12" t="e">
        <v>#VALUE!</v>
      </c>
      <c r="Q785" s="12"/>
      <c r="R785" s="12">
        <v>0</v>
      </c>
      <c r="S785" s="12">
        <v>0</v>
      </c>
      <c r="T785" s="12" t="e">
        <v>#VALUE!</v>
      </c>
      <c r="U785" s="12"/>
      <c r="V785" s="12" t="e">
        <v>#VALUE!</v>
      </c>
      <c r="W785" s="12" t="e">
        <v>#VALUE!</v>
      </c>
      <c r="X785" s="12"/>
      <c r="Y785" s="12" t="e">
        <v>#VALUE!</v>
      </c>
    </row>
    <row r="786" spans="13:25" x14ac:dyDescent="0.35">
      <c r="M786" s="6" t="s">
        <v>2347</v>
      </c>
      <c r="N786" s="12"/>
      <c r="O786" s="12">
        <v>0</v>
      </c>
      <c r="P786" s="12">
        <v>0</v>
      </c>
      <c r="Q786" s="12"/>
      <c r="R786" s="12">
        <v>0</v>
      </c>
      <c r="S786" s="12">
        <v>0</v>
      </c>
      <c r="T786" s="12">
        <v>0</v>
      </c>
      <c r="U786" s="12"/>
      <c r="V786" s="12">
        <v>0</v>
      </c>
      <c r="W786" s="12">
        <v>0</v>
      </c>
      <c r="X786" s="12"/>
      <c r="Y786" s="12">
        <v>0</v>
      </c>
    </row>
    <row r="787" spans="13:25" x14ac:dyDescent="0.35">
      <c r="M787" s="6" t="s">
        <v>2350</v>
      </c>
      <c r="N787" s="12"/>
      <c r="O787" s="12" t="e">
        <v>#VALUE!</v>
      </c>
      <c r="P787" s="12" t="e">
        <v>#VALUE!</v>
      </c>
      <c r="Q787" s="12"/>
      <c r="R787" s="12">
        <v>0</v>
      </c>
      <c r="S787" s="12">
        <v>0</v>
      </c>
      <c r="T787" s="12" t="e">
        <v>#VALUE!</v>
      </c>
      <c r="U787" s="12"/>
      <c r="V787" s="12" t="e">
        <v>#VALUE!</v>
      </c>
      <c r="W787" s="12" t="e">
        <v>#VALUE!</v>
      </c>
      <c r="X787" s="12"/>
      <c r="Y787" s="12">
        <v>0</v>
      </c>
    </row>
    <row r="788" spans="13:25" x14ac:dyDescent="0.35">
      <c r="M788" s="6" t="s">
        <v>2353</v>
      </c>
      <c r="N788" s="12"/>
      <c r="O788" s="12" t="e">
        <v>#VALUE!</v>
      </c>
      <c r="P788" s="12" t="e">
        <v>#VALUE!</v>
      </c>
      <c r="Q788" s="12"/>
      <c r="R788" s="12">
        <v>0</v>
      </c>
      <c r="S788" s="12">
        <v>0</v>
      </c>
      <c r="T788" s="12" t="e">
        <v>#VALUE!</v>
      </c>
      <c r="U788" s="12"/>
      <c r="V788" s="12" t="e">
        <v>#VALUE!</v>
      </c>
      <c r="W788" s="12" t="e">
        <v>#VALUE!</v>
      </c>
      <c r="X788" s="12"/>
      <c r="Y788" s="12" t="e">
        <v>#VALUE!</v>
      </c>
    </row>
    <row r="789" spans="13:25" x14ac:dyDescent="0.35">
      <c r="M789" s="6" t="s">
        <v>2357</v>
      </c>
      <c r="N789" s="12"/>
      <c r="O789" s="12" t="e">
        <v>#VALUE!</v>
      </c>
      <c r="P789" s="12" t="e">
        <v>#VALUE!</v>
      </c>
      <c r="Q789" s="12"/>
      <c r="R789" s="12">
        <v>0</v>
      </c>
      <c r="S789" s="12">
        <v>0</v>
      </c>
      <c r="T789" s="12" t="e">
        <v>#VALUE!</v>
      </c>
      <c r="U789" s="12"/>
      <c r="V789" s="12" t="e">
        <v>#VALUE!</v>
      </c>
      <c r="W789" s="12" t="e">
        <v>#VALUE!</v>
      </c>
      <c r="X789" s="12"/>
      <c r="Y789" s="12" t="e">
        <v>#VALUE!</v>
      </c>
    </row>
    <row r="790" spans="13:25" x14ac:dyDescent="0.35">
      <c r="M790" s="6" t="s">
        <v>2360</v>
      </c>
      <c r="N790" s="12"/>
      <c r="O790" s="12">
        <v>0</v>
      </c>
      <c r="P790" s="12">
        <v>0</v>
      </c>
      <c r="Q790" s="12"/>
      <c r="R790" s="12">
        <v>0</v>
      </c>
      <c r="S790" s="12">
        <v>0</v>
      </c>
      <c r="T790" s="12">
        <v>0</v>
      </c>
      <c r="U790" s="12"/>
      <c r="V790" s="12">
        <v>0</v>
      </c>
      <c r="W790" s="12">
        <v>0</v>
      </c>
      <c r="X790" s="12"/>
      <c r="Y790" s="12">
        <v>0</v>
      </c>
    </row>
    <row r="791" spans="13:25" x14ac:dyDescent="0.35">
      <c r="M791" s="6" t="s">
        <v>2363</v>
      </c>
      <c r="N791" s="12"/>
      <c r="O791" s="12" t="e">
        <v>#VALUE!</v>
      </c>
      <c r="P791" s="12" t="e">
        <v>#VALUE!</v>
      </c>
      <c r="Q791" s="12"/>
      <c r="R791" s="12">
        <v>0</v>
      </c>
      <c r="S791" s="12">
        <v>0</v>
      </c>
      <c r="T791" s="12" t="e">
        <v>#VALUE!</v>
      </c>
      <c r="U791" s="12"/>
      <c r="V791" s="12" t="e">
        <v>#VALUE!</v>
      </c>
      <c r="W791" s="12" t="e">
        <v>#VALUE!</v>
      </c>
      <c r="X791" s="12"/>
      <c r="Y791" s="12">
        <v>0</v>
      </c>
    </row>
    <row r="792" spans="13:25" x14ac:dyDescent="0.35">
      <c r="M792" s="6" t="s">
        <v>2366</v>
      </c>
      <c r="N792" s="12"/>
      <c r="O792" s="12" t="e">
        <v>#VALUE!</v>
      </c>
      <c r="P792" s="12" t="e">
        <v>#VALUE!</v>
      </c>
      <c r="Q792" s="12"/>
      <c r="R792" s="12">
        <v>0</v>
      </c>
      <c r="S792" s="12">
        <v>0</v>
      </c>
      <c r="T792" s="12">
        <v>0</v>
      </c>
      <c r="U792" s="12"/>
      <c r="V792" s="12" t="e">
        <v>#VALUE!</v>
      </c>
      <c r="W792" s="12" t="e">
        <v>#VALUE!</v>
      </c>
      <c r="X792" s="12"/>
      <c r="Y792" s="12">
        <v>0</v>
      </c>
    </row>
    <row r="793" spans="13:25" x14ac:dyDescent="0.35">
      <c r="M793" s="6" t="s">
        <v>2369</v>
      </c>
      <c r="N793" s="12"/>
      <c r="O793" s="12" t="e">
        <v>#VALUE!</v>
      </c>
      <c r="P793" s="12" t="e">
        <v>#VALUE!</v>
      </c>
      <c r="Q793" s="12"/>
      <c r="R793" s="12">
        <v>0</v>
      </c>
      <c r="S793" s="12">
        <v>0</v>
      </c>
      <c r="T793" s="12" t="e">
        <v>#VALUE!</v>
      </c>
      <c r="U793" s="12"/>
      <c r="V793" s="12" t="e">
        <v>#VALUE!</v>
      </c>
      <c r="W793" s="12" t="e">
        <v>#VALUE!</v>
      </c>
      <c r="X793" s="12"/>
      <c r="Y793" s="12" t="e">
        <v>#VALUE!</v>
      </c>
    </row>
    <row r="794" spans="13:25" x14ac:dyDescent="0.35">
      <c r="M794" s="6" t="s">
        <v>2372</v>
      </c>
      <c r="N794" s="12"/>
      <c r="O794" s="12">
        <v>0</v>
      </c>
      <c r="P794" s="12">
        <v>0</v>
      </c>
      <c r="Q794" s="12"/>
      <c r="R794" s="12">
        <v>0</v>
      </c>
      <c r="S794" s="12">
        <v>0</v>
      </c>
      <c r="T794" s="12">
        <v>0</v>
      </c>
      <c r="U794" s="12"/>
      <c r="V794" s="12">
        <v>0</v>
      </c>
      <c r="W794" s="12">
        <v>0</v>
      </c>
      <c r="X794" s="12"/>
      <c r="Y794" s="12">
        <v>0</v>
      </c>
    </row>
    <row r="795" spans="13:25" x14ac:dyDescent="0.35">
      <c r="M795" s="6" t="s">
        <v>2376</v>
      </c>
      <c r="N795" s="12"/>
      <c r="O795" s="12">
        <v>0</v>
      </c>
      <c r="P795" s="12">
        <v>0</v>
      </c>
      <c r="Q795" s="12"/>
      <c r="R795" s="12">
        <v>0</v>
      </c>
      <c r="S795" s="12">
        <v>0</v>
      </c>
      <c r="T795" s="12">
        <v>0</v>
      </c>
      <c r="U795" s="12"/>
      <c r="V795" s="12">
        <v>0</v>
      </c>
      <c r="W795" s="12">
        <v>0</v>
      </c>
      <c r="X795" s="12"/>
      <c r="Y795" s="12">
        <v>0</v>
      </c>
    </row>
    <row r="796" spans="13:25" x14ac:dyDescent="0.35">
      <c r="M796" s="6" t="s">
        <v>2379</v>
      </c>
      <c r="N796" s="12"/>
      <c r="O796" s="12">
        <v>0</v>
      </c>
      <c r="P796" s="12">
        <v>0</v>
      </c>
      <c r="Q796" s="12"/>
      <c r="R796" s="12">
        <v>0</v>
      </c>
      <c r="S796" s="12">
        <v>0</v>
      </c>
      <c r="T796" s="12">
        <v>0</v>
      </c>
      <c r="U796" s="12"/>
      <c r="V796" s="12">
        <v>0</v>
      </c>
      <c r="W796" s="12">
        <v>0</v>
      </c>
      <c r="X796" s="12"/>
      <c r="Y796" s="12">
        <v>0</v>
      </c>
    </row>
    <row r="797" spans="13:25" x14ac:dyDescent="0.35">
      <c r="M797" s="6" t="s">
        <v>2382</v>
      </c>
      <c r="N797" s="12"/>
      <c r="O797" s="12" t="e">
        <v>#VALUE!</v>
      </c>
      <c r="P797" s="12" t="e">
        <v>#VALUE!</v>
      </c>
      <c r="Q797" s="12"/>
      <c r="R797" s="12">
        <v>0</v>
      </c>
      <c r="S797" s="12">
        <v>0</v>
      </c>
      <c r="T797" s="12" t="e">
        <v>#VALUE!</v>
      </c>
      <c r="U797" s="12"/>
      <c r="V797" s="12" t="e">
        <v>#VALUE!</v>
      </c>
      <c r="W797" s="12" t="e">
        <v>#VALUE!</v>
      </c>
      <c r="X797" s="12"/>
      <c r="Y797" s="12" t="e">
        <v>#VALUE!</v>
      </c>
    </row>
    <row r="798" spans="13:25" x14ac:dyDescent="0.35">
      <c r="M798" s="6" t="s">
        <v>2385</v>
      </c>
      <c r="N798" s="12"/>
      <c r="O798" s="12">
        <v>0</v>
      </c>
      <c r="P798" s="12">
        <v>0</v>
      </c>
      <c r="Q798" s="12"/>
      <c r="R798" s="12">
        <v>0</v>
      </c>
      <c r="S798" s="12">
        <v>0</v>
      </c>
      <c r="T798" s="12">
        <v>0</v>
      </c>
      <c r="U798" s="12"/>
      <c r="V798" s="12">
        <v>0</v>
      </c>
      <c r="W798" s="12">
        <v>0</v>
      </c>
      <c r="X798" s="12"/>
      <c r="Y798" s="12">
        <v>0</v>
      </c>
    </row>
    <row r="799" spans="13:25" x14ac:dyDescent="0.35">
      <c r="M799" s="6" t="s">
        <v>2388</v>
      </c>
      <c r="N799" s="12"/>
      <c r="O799" s="12" t="e">
        <v>#VALUE!</v>
      </c>
      <c r="P799" s="12" t="e">
        <v>#VALUE!</v>
      </c>
      <c r="Q799" s="12"/>
      <c r="R799" s="12">
        <v>0</v>
      </c>
      <c r="S799" s="12">
        <v>0</v>
      </c>
      <c r="T799" s="12" t="e">
        <v>#VALUE!</v>
      </c>
      <c r="U799" s="12"/>
      <c r="V799" s="12" t="e">
        <v>#VALUE!</v>
      </c>
      <c r="W799" s="12" t="e">
        <v>#VALUE!</v>
      </c>
      <c r="X799" s="12"/>
      <c r="Y799" s="12" t="e">
        <v>#VALUE!</v>
      </c>
    </row>
    <row r="800" spans="13:25" x14ac:dyDescent="0.35">
      <c r="M800" s="6" t="s">
        <v>2392</v>
      </c>
      <c r="N800" s="12"/>
      <c r="O800" s="12" t="e">
        <v>#VALUE!</v>
      </c>
      <c r="P800" s="12" t="e">
        <v>#VALUE!</v>
      </c>
      <c r="Q800" s="12"/>
      <c r="R800" s="12">
        <v>0</v>
      </c>
      <c r="S800" s="12">
        <v>0</v>
      </c>
      <c r="T800" s="12" t="e">
        <v>#VALUE!</v>
      </c>
      <c r="U800" s="12"/>
      <c r="V800" s="12" t="e">
        <v>#VALUE!</v>
      </c>
      <c r="W800" s="12" t="e">
        <v>#VALUE!</v>
      </c>
      <c r="X800" s="12"/>
      <c r="Y800" s="12" t="e">
        <v>#VALUE!</v>
      </c>
    </row>
    <row r="801" spans="13:25" x14ac:dyDescent="0.35">
      <c r="M801" s="6" t="s">
        <v>2395</v>
      </c>
      <c r="N801" s="12"/>
      <c r="O801" s="12">
        <v>0</v>
      </c>
      <c r="P801" s="12">
        <v>0</v>
      </c>
      <c r="Q801" s="12"/>
      <c r="R801" s="12">
        <v>0</v>
      </c>
      <c r="S801" s="12">
        <v>0</v>
      </c>
      <c r="T801" s="12">
        <v>0</v>
      </c>
      <c r="U801" s="12"/>
      <c r="V801" s="12">
        <v>0</v>
      </c>
      <c r="W801" s="12">
        <v>0</v>
      </c>
      <c r="X801" s="12"/>
      <c r="Y801" s="12">
        <v>0</v>
      </c>
    </row>
    <row r="802" spans="13:25" x14ac:dyDescent="0.35">
      <c r="M802" s="6" t="s">
        <v>2398</v>
      </c>
      <c r="N802" s="12"/>
      <c r="O802" s="12" t="e">
        <v>#VALUE!</v>
      </c>
      <c r="P802" s="12" t="e">
        <v>#VALUE!</v>
      </c>
      <c r="Q802" s="12"/>
      <c r="R802" s="12">
        <v>0</v>
      </c>
      <c r="S802" s="12">
        <v>0</v>
      </c>
      <c r="T802" s="12" t="e">
        <v>#VALUE!</v>
      </c>
      <c r="U802" s="12"/>
      <c r="V802" s="12" t="e">
        <v>#VALUE!</v>
      </c>
      <c r="W802" s="12" t="e">
        <v>#VALUE!</v>
      </c>
      <c r="X802" s="12"/>
      <c r="Y802" s="12" t="e">
        <v>#VALUE!</v>
      </c>
    </row>
    <row r="803" spans="13:25" x14ac:dyDescent="0.35">
      <c r="M803" s="6" t="s">
        <v>2401</v>
      </c>
      <c r="N803" s="12"/>
      <c r="O803" s="12" t="e">
        <v>#VALUE!</v>
      </c>
      <c r="P803" s="12" t="e">
        <v>#VALUE!</v>
      </c>
      <c r="Q803" s="12"/>
      <c r="R803" s="12">
        <v>0</v>
      </c>
      <c r="S803" s="12">
        <v>0</v>
      </c>
      <c r="T803" s="12" t="e">
        <v>#VALUE!</v>
      </c>
      <c r="U803" s="12"/>
      <c r="V803" s="12" t="e">
        <v>#VALUE!</v>
      </c>
      <c r="W803" s="12" t="e">
        <v>#VALUE!</v>
      </c>
      <c r="X803" s="12"/>
      <c r="Y803" s="12">
        <v>0</v>
      </c>
    </row>
    <row r="804" spans="13:25" x14ac:dyDescent="0.35">
      <c r="M804" s="6" t="s">
        <v>2405</v>
      </c>
      <c r="N804" s="12"/>
      <c r="O804" s="12">
        <v>0</v>
      </c>
      <c r="P804" s="12">
        <v>0</v>
      </c>
      <c r="Q804" s="12"/>
      <c r="R804" s="12">
        <v>0</v>
      </c>
      <c r="S804" s="12">
        <v>0</v>
      </c>
      <c r="T804" s="12">
        <v>0</v>
      </c>
      <c r="U804" s="12"/>
      <c r="V804" s="12">
        <v>0</v>
      </c>
      <c r="W804" s="12">
        <v>0</v>
      </c>
      <c r="X804" s="12"/>
      <c r="Y804" s="12">
        <v>0</v>
      </c>
    </row>
    <row r="805" spans="13:25" x14ac:dyDescent="0.35">
      <c r="M805" s="6" t="s">
        <v>2409</v>
      </c>
      <c r="N805" s="12"/>
      <c r="O805" s="12" t="e">
        <v>#VALUE!</v>
      </c>
      <c r="P805" s="12" t="e">
        <v>#VALUE!</v>
      </c>
      <c r="Q805" s="12"/>
      <c r="R805" s="12">
        <v>0</v>
      </c>
      <c r="S805" s="12" t="e">
        <v>#VALUE!</v>
      </c>
      <c r="T805" s="12" t="e">
        <v>#VALUE!</v>
      </c>
      <c r="U805" s="12"/>
      <c r="V805" s="12" t="e">
        <v>#VALUE!</v>
      </c>
      <c r="W805" s="12" t="e">
        <v>#VALUE!</v>
      </c>
      <c r="X805" s="12"/>
      <c r="Y805" s="12" t="e">
        <v>#VALUE!</v>
      </c>
    </row>
    <row r="806" spans="13:25" x14ac:dyDescent="0.35">
      <c r="M806" s="6" t="s">
        <v>2412</v>
      </c>
      <c r="N806" s="12"/>
      <c r="O806" s="12" t="e">
        <v>#VALUE!</v>
      </c>
      <c r="P806" s="12" t="e">
        <v>#VALUE!</v>
      </c>
      <c r="Q806" s="12"/>
      <c r="R806" s="12">
        <v>0</v>
      </c>
      <c r="S806" s="12">
        <v>0</v>
      </c>
      <c r="T806" s="12" t="e">
        <v>#VALUE!</v>
      </c>
      <c r="U806" s="12"/>
      <c r="V806" s="12" t="e">
        <v>#VALUE!</v>
      </c>
      <c r="W806" s="12" t="e">
        <v>#VALUE!</v>
      </c>
      <c r="X806" s="12"/>
      <c r="Y806" s="12">
        <v>0</v>
      </c>
    </row>
    <row r="807" spans="13:25" x14ac:dyDescent="0.35">
      <c r="M807" s="6" t="s">
        <v>2415</v>
      </c>
      <c r="N807" s="12"/>
      <c r="O807" s="12" t="e">
        <v>#VALUE!</v>
      </c>
      <c r="P807" s="12" t="e">
        <v>#VALUE!</v>
      </c>
      <c r="Q807" s="12"/>
      <c r="R807" s="12">
        <v>0</v>
      </c>
      <c r="S807" s="12">
        <v>0</v>
      </c>
      <c r="T807" s="12" t="e">
        <v>#VALUE!</v>
      </c>
      <c r="U807" s="12"/>
      <c r="V807" s="12" t="e">
        <v>#VALUE!</v>
      </c>
      <c r="W807" s="12" t="e">
        <v>#VALUE!</v>
      </c>
      <c r="X807" s="12"/>
      <c r="Y807" s="12" t="e">
        <v>#VALUE!</v>
      </c>
    </row>
    <row r="808" spans="13:25" x14ac:dyDescent="0.35">
      <c r="M808" s="6" t="s">
        <v>2418</v>
      </c>
      <c r="N808" s="12"/>
      <c r="O808" s="12" t="e">
        <v>#VALUE!</v>
      </c>
      <c r="P808" s="12" t="e">
        <v>#VALUE!</v>
      </c>
      <c r="Q808" s="12"/>
      <c r="R808" s="12">
        <v>0</v>
      </c>
      <c r="S808" s="12">
        <v>0</v>
      </c>
      <c r="T808" s="12" t="e">
        <v>#VALUE!</v>
      </c>
      <c r="U808" s="12"/>
      <c r="V808" s="12" t="e">
        <v>#VALUE!</v>
      </c>
      <c r="W808" s="12" t="e">
        <v>#VALUE!</v>
      </c>
      <c r="X808" s="12"/>
      <c r="Y808" s="12" t="e">
        <v>#VALUE!</v>
      </c>
    </row>
    <row r="809" spans="13:25" x14ac:dyDescent="0.35">
      <c r="M809" s="6" t="s">
        <v>2422</v>
      </c>
      <c r="N809" s="12"/>
      <c r="O809" s="12" t="e">
        <v>#VALUE!</v>
      </c>
      <c r="P809" s="12" t="e">
        <v>#VALUE!</v>
      </c>
      <c r="Q809" s="12"/>
      <c r="R809" s="12">
        <v>0</v>
      </c>
      <c r="S809" s="12">
        <v>0</v>
      </c>
      <c r="T809" s="12" t="e">
        <v>#VALUE!</v>
      </c>
      <c r="U809" s="12"/>
      <c r="V809" s="12" t="e">
        <v>#VALUE!</v>
      </c>
      <c r="W809" s="12" t="e">
        <v>#VALUE!</v>
      </c>
      <c r="X809" s="12"/>
      <c r="Y809" s="12" t="e">
        <v>#VALUE!</v>
      </c>
    </row>
    <row r="810" spans="13:25" x14ac:dyDescent="0.35">
      <c r="M810" s="6" t="s">
        <v>2425</v>
      </c>
      <c r="N810" s="12"/>
      <c r="O810" s="12" t="e">
        <v>#VALUE!</v>
      </c>
      <c r="P810" s="12" t="e">
        <v>#VALUE!</v>
      </c>
      <c r="Q810" s="12"/>
      <c r="R810" s="12">
        <v>0</v>
      </c>
      <c r="S810" s="12">
        <v>0</v>
      </c>
      <c r="T810" s="12" t="e">
        <v>#VALUE!</v>
      </c>
      <c r="U810" s="12"/>
      <c r="V810" s="12" t="e">
        <v>#VALUE!</v>
      </c>
      <c r="W810" s="12" t="e">
        <v>#VALUE!</v>
      </c>
      <c r="X810" s="12"/>
      <c r="Y810" s="12" t="e">
        <v>#VALUE!</v>
      </c>
    </row>
    <row r="811" spans="13:25" x14ac:dyDescent="0.35">
      <c r="M811" s="6" t="s">
        <v>2428</v>
      </c>
      <c r="N811" s="12"/>
      <c r="O811" s="12" t="e">
        <v>#VALUE!</v>
      </c>
      <c r="P811" s="12" t="e">
        <v>#VALUE!</v>
      </c>
      <c r="Q811" s="12"/>
      <c r="R811" s="12">
        <v>0</v>
      </c>
      <c r="S811" s="12">
        <v>0</v>
      </c>
      <c r="T811" s="12" t="e">
        <v>#VALUE!</v>
      </c>
      <c r="U811" s="12"/>
      <c r="V811" s="12" t="e">
        <v>#VALUE!</v>
      </c>
      <c r="W811" s="12" t="e">
        <v>#VALUE!</v>
      </c>
      <c r="X811" s="12"/>
      <c r="Y811" s="12" t="e">
        <v>#VALUE!</v>
      </c>
    </row>
    <row r="812" spans="13:25" x14ac:dyDescent="0.35">
      <c r="M812" s="6" t="s">
        <v>2432</v>
      </c>
      <c r="N812" s="12"/>
      <c r="O812" s="12" t="e">
        <v>#VALUE!</v>
      </c>
      <c r="P812" s="12" t="e">
        <v>#VALUE!</v>
      </c>
      <c r="Q812" s="12"/>
      <c r="R812" s="12">
        <v>0</v>
      </c>
      <c r="S812" s="12">
        <v>0</v>
      </c>
      <c r="T812" s="12" t="e">
        <v>#VALUE!</v>
      </c>
      <c r="U812" s="12"/>
      <c r="V812" s="12" t="e">
        <v>#VALUE!</v>
      </c>
      <c r="W812" s="12" t="e">
        <v>#VALUE!</v>
      </c>
      <c r="X812" s="12"/>
      <c r="Y812" s="12" t="e">
        <v>#VALUE!</v>
      </c>
    </row>
    <row r="813" spans="13:25" x14ac:dyDescent="0.35">
      <c r="M813" s="6" t="s">
        <v>2435</v>
      </c>
      <c r="N813" s="12"/>
      <c r="O813" s="12" t="e">
        <v>#VALUE!</v>
      </c>
      <c r="P813" s="12" t="e">
        <v>#VALUE!</v>
      </c>
      <c r="Q813" s="12"/>
      <c r="R813" s="12">
        <v>0</v>
      </c>
      <c r="S813" s="12">
        <v>0</v>
      </c>
      <c r="T813" s="12" t="e">
        <v>#VALUE!</v>
      </c>
      <c r="U813" s="12"/>
      <c r="V813" s="12" t="e">
        <v>#VALUE!</v>
      </c>
      <c r="W813" s="12" t="e">
        <v>#VALUE!</v>
      </c>
      <c r="X813" s="12"/>
      <c r="Y813" s="12" t="e">
        <v>#VALUE!</v>
      </c>
    </row>
    <row r="814" spans="13:25" x14ac:dyDescent="0.35">
      <c r="M814" s="6" t="s">
        <v>2438</v>
      </c>
      <c r="N814" s="12"/>
      <c r="O814" s="12" t="e">
        <v>#VALUE!</v>
      </c>
      <c r="P814" s="12" t="e">
        <v>#VALUE!</v>
      </c>
      <c r="Q814" s="12"/>
      <c r="R814" s="12">
        <v>0</v>
      </c>
      <c r="S814" s="12">
        <v>0</v>
      </c>
      <c r="T814" s="12" t="e">
        <v>#VALUE!</v>
      </c>
      <c r="U814" s="12"/>
      <c r="V814" s="12" t="e">
        <v>#VALUE!</v>
      </c>
      <c r="W814" s="12" t="e">
        <v>#VALUE!</v>
      </c>
      <c r="X814" s="12"/>
      <c r="Y814" s="12">
        <v>0</v>
      </c>
    </row>
    <row r="815" spans="13:25" x14ac:dyDescent="0.35">
      <c r="M815" s="6" t="s">
        <v>2441</v>
      </c>
      <c r="N815" s="12"/>
      <c r="O815" s="12">
        <v>0</v>
      </c>
      <c r="P815" s="12">
        <v>0</v>
      </c>
      <c r="Q815" s="12"/>
      <c r="R815" s="12">
        <v>0</v>
      </c>
      <c r="S815" s="12">
        <v>0</v>
      </c>
      <c r="T815" s="12">
        <v>0</v>
      </c>
      <c r="U815" s="12"/>
      <c r="V815" s="12">
        <v>0</v>
      </c>
      <c r="W815" s="12">
        <v>0</v>
      </c>
      <c r="X815" s="12"/>
      <c r="Y815" s="12">
        <v>0</v>
      </c>
    </row>
    <row r="816" spans="13:25" x14ac:dyDescent="0.35">
      <c r="M816" s="6" t="s">
        <v>2444</v>
      </c>
      <c r="N816" s="12"/>
      <c r="O816" s="12">
        <v>0</v>
      </c>
      <c r="P816" s="12">
        <v>0</v>
      </c>
      <c r="Q816" s="12"/>
      <c r="R816" s="12">
        <v>0</v>
      </c>
      <c r="S816" s="12">
        <v>0</v>
      </c>
      <c r="T816" s="12">
        <v>0</v>
      </c>
      <c r="U816" s="12"/>
      <c r="V816" s="12">
        <v>0</v>
      </c>
      <c r="W816" s="12">
        <v>0</v>
      </c>
      <c r="X816" s="12"/>
      <c r="Y816" s="12">
        <v>0</v>
      </c>
    </row>
    <row r="817" spans="13:25" x14ac:dyDescent="0.35">
      <c r="M817" s="6" t="s">
        <v>2447</v>
      </c>
      <c r="N817" s="12"/>
      <c r="O817" s="12" t="e">
        <v>#VALUE!</v>
      </c>
      <c r="P817" s="12" t="e">
        <v>#VALUE!</v>
      </c>
      <c r="Q817" s="12"/>
      <c r="R817" s="12">
        <v>0</v>
      </c>
      <c r="S817" s="12">
        <v>0</v>
      </c>
      <c r="T817" s="12" t="e">
        <v>#VALUE!</v>
      </c>
      <c r="U817" s="12"/>
      <c r="V817" s="12" t="e">
        <v>#VALUE!</v>
      </c>
      <c r="W817" s="12" t="e">
        <v>#VALUE!</v>
      </c>
      <c r="X817" s="12"/>
      <c r="Y817" s="12" t="e">
        <v>#VALUE!</v>
      </c>
    </row>
    <row r="818" spans="13:25" x14ac:dyDescent="0.35">
      <c r="M818" s="6" t="s">
        <v>2450</v>
      </c>
      <c r="N818" s="12"/>
      <c r="O818" s="12" t="e">
        <v>#VALUE!</v>
      </c>
      <c r="P818" s="12" t="e">
        <v>#VALUE!</v>
      </c>
      <c r="Q818" s="12"/>
      <c r="R818" s="12">
        <v>0</v>
      </c>
      <c r="S818" s="12">
        <v>0</v>
      </c>
      <c r="T818" s="12" t="e">
        <v>#VALUE!</v>
      </c>
      <c r="U818" s="12"/>
      <c r="V818" s="12" t="e">
        <v>#VALUE!</v>
      </c>
      <c r="W818" s="12" t="e">
        <v>#VALUE!</v>
      </c>
      <c r="X818" s="12"/>
      <c r="Y818" s="12" t="e">
        <v>#VALUE!</v>
      </c>
    </row>
    <row r="819" spans="13:25" x14ac:dyDescent="0.35">
      <c r="M819" s="6" t="s">
        <v>2453</v>
      </c>
      <c r="N819" s="12"/>
      <c r="O819" s="12" t="e">
        <v>#VALUE!</v>
      </c>
      <c r="P819" s="12" t="e">
        <v>#VALUE!</v>
      </c>
      <c r="Q819" s="12"/>
      <c r="R819" s="12">
        <v>0</v>
      </c>
      <c r="S819" s="12">
        <v>0</v>
      </c>
      <c r="T819" s="12" t="e">
        <v>#VALUE!</v>
      </c>
      <c r="U819" s="12"/>
      <c r="V819" s="12" t="e">
        <v>#VALUE!</v>
      </c>
      <c r="W819" s="12" t="e">
        <v>#VALUE!</v>
      </c>
      <c r="X819" s="12"/>
      <c r="Y819" s="12" t="e">
        <v>#VALUE!</v>
      </c>
    </row>
    <row r="820" spans="13:25" x14ac:dyDescent="0.35">
      <c r="M820" s="6" t="s">
        <v>2456</v>
      </c>
      <c r="N820" s="12"/>
      <c r="O820" s="12" t="e">
        <v>#VALUE!</v>
      </c>
      <c r="P820" s="12" t="e">
        <v>#VALUE!</v>
      </c>
      <c r="Q820" s="12"/>
      <c r="R820" s="12">
        <v>0</v>
      </c>
      <c r="S820" s="12">
        <v>0</v>
      </c>
      <c r="T820" s="12" t="e">
        <v>#VALUE!</v>
      </c>
      <c r="U820" s="12"/>
      <c r="V820" s="12" t="e">
        <v>#VALUE!</v>
      </c>
      <c r="W820" s="12" t="e">
        <v>#VALUE!</v>
      </c>
      <c r="X820" s="12"/>
      <c r="Y820" s="12" t="e">
        <v>#VALUE!</v>
      </c>
    </row>
    <row r="821" spans="13:25" x14ac:dyDescent="0.35">
      <c r="M821" s="6" t="s">
        <v>2459</v>
      </c>
      <c r="N821" s="12"/>
      <c r="O821" s="12">
        <v>0</v>
      </c>
      <c r="P821" s="12">
        <v>0</v>
      </c>
      <c r="Q821" s="12"/>
      <c r="R821" s="12">
        <v>0</v>
      </c>
      <c r="S821" s="12" t="e">
        <v>#VALUE!</v>
      </c>
      <c r="T821" s="12" t="e">
        <v>#VALUE!</v>
      </c>
      <c r="U821" s="12"/>
      <c r="V821" s="12" t="e">
        <v>#VALUE!</v>
      </c>
      <c r="W821" s="12" t="e">
        <v>#VALUE!</v>
      </c>
      <c r="X821" s="12"/>
      <c r="Y821" s="12">
        <v>0</v>
      </c>
    </row>
    <row r="822" spans="13:25" x14ac:dyDescent="0.35">
      <c r="M822" s="6" t="s">
        <v>2464</v>
      </c>
      <c r="N822" s="12"/>
      <c r="O822" s="12" t="e">
        <v>#VALUE!</v>
      </c>
      <c r="P822" s="12" t="e">
        <v>#VALUE!</v>
      </c>
      <c r="Q822" s="12"/>
      <c r="R822" s="12">
        <v>0</v>
      </c>
      <c r="S822" s="12">
        <v>0</v>
      </c>
      <c r="T822" s="12" t="e">
        <v>#VALUE!</v>
      </c>
      <c r="U822" s="12"/>
      <c r="V822" s="12" t="e">
        <v>#VALUE!</v>
      </c>
      <c r="W822" s="12" t="e">
        <v>#VALUE!</v>
      </c>
      <c r="X822" s="12"/>
      <c r="Y822" s="12" t="e">
        <v>#VALUE!</v>
      </c>
    </row>
    <row r="823" spans="13:25" x14ac:dyDescent="0.35">
      <c r="M823" s="6" t="s">
        <v>2468</v>
      </c>
      <c r="N823" s="12"/>
      <c r="O823" s="12" t="e">
        <v>#VALUE!</v>
      </c>
      <c r="P823" s="12" t="e">
        <v>#VALUE!</v>
      </c>
      <c r="Q823" s="12"/>
      <c r="R823" s="12">
        <v>0</v>
      </c>
      <c r="S823" s="12">
        <v>0</v>
      </c>
      <c r="T823" s="12" t="e">
        <v>#VALUE!</v>
      </c>
      <c r="U823" s="12"/>
      <c r="V823" s="12" t="e">
        <v>#VALUE!</v>
      </c>
      <c r="W823" s="12" t="e">
        <v>#VALUE!</v>
      </c>
      <c r="X823" s="12"/>
      <c r="Y823" s="12">
        <v>0</v>
      </c>
    </row>
    <row r="824" spans="13:25" x14ac:dyDescent="0.35">
      <c r="M824" s="6" t="s">
        <v>2471</v>
      </c>
      <c r="N824" s="12"/>
      <c r="O824" s="12" t="e">
        <v>#VALUE!</v>
      </c>
      <c r="P824" s="12" t="e">
        <v>#VALUE!</v>
      </c>
      <c r="Q824" s="12"/>
      <c r="R824" s="12">
        <v>0</v>
      </c>
      <c r="S824" s="12">
        <v>0</v>
      </c>
      <c r="T824" s="12" t="e">
        <v>#VALUE!</v>
      </c>
      <c r="U824" s="12"/>
      <c r="V824" s="12" t="e">
        <v>#VALUE!</v>
      </c>
      <c r="W824" s="12" t="e">
        <v>#VALUE!</v>
      </c>
      <c r="X824" s="12"/>
      <c r="Y824" s="12">
        <v>0</v>
      </c>
    </row>
    <row r="825" spans="13:25" x14ac:dyDescent="0.35">
      <c r="M825" s="6" t="s">
        <v>2474</v>
      </c>
      <c r="N825" s="12"/>
      <c r="O825" s="12" t="e">
        <v>#VALUE!</v>
      </c>
      <c r="P825" s="12" t="e">
        <v>#VALUE!</v>
      </c>
      <c r="Q825" s="12"/>
      <c r="R825" s="12">
        <v>0</v>
      </c>
      <c r="S825" s="12">
        <v>0</v>
      </c>
      <c r="T825" s="12" t="e">
        <v>#VALUE!</v>
      </c>
      <c r="U825" s="12"/>
      <c r="V825" s="12" t="e">
        <v>#VALUE!</v>
      </c>
      <c r="W825" s="12" t="e">
        <v>#VALUE!</v>
      </c>
      <c r="X825" s="12"/>
      <c r="Y825" s="12">
        <v>0</v>
      </c>
    </row>
    <row r="826" spans="13:25" x14ac:dyDescent="0.35">
      <c r="M826" s="6" t="s">
        <v>2477</v>
      </c>
      <c r="N826" s="12"/>
      <c r="O826" s="12">
        <v>0</v>
      </c>
      <c r="P826" s="12">
        <v>0</v>
      </c>
      <c r="Q826" s="12"/>
      <c r="R826" s="12">
        <v>0</v>
      </c>
      <c r="S826" s="12">
        <v>0</v>
      </c>
      <c r="T826" s="12">
        <v>0</v>
      </c>
      <c r="U826" s="12"/>
      <c r="V826" s="12">
        <v>0</v>
      </c>
      <c r="W826" s="12">
        <v>0</v>
      </c>
      <c r="X826" s="12"/>
      <c r="Y826" s="12">
        <v>0</v>
      </c>
    </row>
    <row r="827" spans="13:25" x14ac:dyDescent="0.35">
      <c r="M827" s="6" t="s">
        <v>2480</v>
      </c>
      <c r="N827" s="12"/>
      <c r="O827" s="12" t="e">
        <v>#VALUE!</v>
      </c>
      <c r="P827" s="12" t="e">
        <v>#VALUE!</v>
      </c>
      <c r="Q827" s="12"/>
      <c r="R827" s="12">
        <v>0</v>
      </c>
      <c r="S827" s="12">
        <v>0</v>
      </c>
      <c r="T827" s="12" t="e">
        <v>#VALUE!</v>
      </c>
      <c r="U827" s="12"/>
      <c r="V827" s="12" t="e">
        <v>#VALUE!</v>
      </c>
      <c r="W827" s="12" t="e">
        <v>#VALUE!</v>
      </c>
      <c r="X827" s="12"/>
      <c r="Y827" s="12">
        <v>0</v>
      </c>
    </row>
    <row r="828" spans="13:25" x14ac:dyDescent="0.35">
      <c r="M828" s="6" t="s">
        <v>2483</v>
      </c>
      <c r="N828" s="12"/>
      <c r="O828" s="12" t="e">
        <v>#VALUE!</v>
      </c>
      <c r="P828" s="12" t="e">
        <v>#VALUE!</v>
      </c>
      <c r="Q828" s="12"/>
      <c r="R828" s="12">
        <v>0</v>
      </c>
      <c r="S828" s="12">
        <v>0</v>
      </c>
      <c r="T828" s="12" t="e">
        <v>#VALUE!</v>
      </c>
      <c r="U828" s="12"/>
      <c r="V828" s="12" t="e">
        <v>#VALUE!</v>
      </c>
      <c r="W828" s="12" t="e">
        <v>#VALUE!</v>
      </c>
      <c r="X828" s="12"/>
      <c r="Y828" s="12">
        <v>0</v>
      </c>
    </row>
    <row r="829" spans="13:25" x14ac:dyDescent="0.35">
      <c r="M829" s="6" t="s">
        <v>2486</v>
      </c>
      <c r="N829" s="12"/>
      <c r="O829" s="12" t="e">
        <v>#VALUE!</v>
      </c>
      <c r="P829" s="12" t="e">
        <v>#VALUE!</v>
      </c>
      <c r="Q829" s="12"/>
      <c r="R829" s="12">
        <v>0</v>
      </c>
      <c r="S829" s="12">
        <v>0</v>
      </c>
      <c r="T829" s="12" t="e">
        <v>#VALUE!</v>
      </c>
      <c r="U829" s="12"/>
      <c r="V829" s="12" t="e">
        <v>#VALUE!</v>
      </c>
      <c r="W829" s="12" t="e">
        <v>#VALUE!</v>
      </c>
      <c r="X829" s="12"/>
      <c r="Y829" s="12">
        <v>0</v>
      </c>
    </row>
    <row r="830" spans="13:25" x14ac:dyDescent="0.35">
      <c r="M830" s="6" t="s">
        <v>2489</v>
      </c>
      <c r="N830" s="12"/>
      <c r="O830" s="12">
        <v>0</v>
      </c>
      <c r="P830" s="12">
        <v>0</v>
      </c>
      <c r="Q830" s="12"/>
      <c r="R830" s="12">
        <v>0</v>
      </c>
      <c r="S830" s="12">
        <v>0</v>
      </c>
      <c r="T830" s="12">
        <v>0</v>
      </c>
      <c r="U830" s="12"/>
      <c r="V830" s="12">
        <v>0</v>
      </c>
      <c r="W830" s="12">
        <v>0</v>
      </c>
      <c r="X830" s="12"/>
      <c r="Y830" s="12">
        <v>0</v>
      </c>
    </row>
    <row r="831" spans="13:25" x14ac:dyDescent="0.35">
      <c r="M831" s="6" t="s">
        <v>2492</v>
      </c>
      <c r="N831" s="12"/>
      <c r="O831" s="12" t="e">
        <v>#VALUE!</v>
      </c>
      <c r="P831" s="12" t="e">
        <v>#VALUE!</v>
      </c>
      <c r="Q831" s="12"/>
      <c r="R831" s="12">
        <v>0</v>
      </c>
      <c r="S831" s="12" t="e">
        <v>#VALUE!</v>
      </c>
      <c r="T831" s="12" t="e">
        <v>#VALUE!</v>
      </c>
      <c r="U831" s="12"/>
      <c r="V831" s="12" t="e">
        <v>#VALUE!</v>
      </c>
      <c r="W831" s="12" t="e">
        <v>#VALUE!</v>
      </c>
      <c r="X831" s="12"/>
      <c r="Y831" s="12" t="e">
        <v>#VALUE!</v>
      </c>
    </row>
    <row r="832" spans="13:25" x14ac:dyDescent="0.35">
      <c r="M832" s="6" t="s">
        <v>2495</v>
      </c>
      <c r="N832" s="12"/>
      <c r="O832" s="12" t="e">
        <v>#VALUE!</v>
      </c>
      <c r="P832" s="12" t="e">
        <v>#VALUE!</v>
      </c>
      <c r="Q832" s="12"/>
      <c r="R832" s="12">
        <v>0</v>
      </c>
      <c r="S832" s="12">
        <v>0</v>
      </c>
      <c r="T832" s="12" t="e">
        <v>#VALUE!</v>
      </c>
      <c r="U832" s="12"/>
      <c r="V832" s="12" t="e">
        <v>#VALUE!</v>
      </c>
      <c r="W832" s="12" t="e">
        <v>#VALUE!</v>
      </c>
      <c r="X832" s="12"/>
      <c r="Y832" s="12">
        <v>0</v>
      </c>
    </row>
    <row r="833" spans="13:25" x14ac:dyDescent="0.35">
      <c r="M833" s="6" t="s">
        <v>2498</v>
      </c>
      <c r="N833" s="12"/>
      <c r="O833" s="12" t="e">
        <v>#VALUE!</v>
      </c>
      <c r="P833" s="12" t="e">
        <v>#VALUE!</v>
      </c>
      <c r="Q833" s="12"/>
      <c r="R833" s="12">
        <v>0</v>
      </c>
      <c r="S833" s="12">
        <v>0</v>
      </c>
      <c r="T833" s="12" t="e">
        <v>#VALUE!</v>
      </c>
      <c r="U833" s="12"/>
      <c r="V833" s="12" t="e">
        <v>#VALUE!</v>
      </c>
      <c r="W833" s="12" t="e">
        <v>#VALUE!</v>
      </c>
      <c r="X833" s="12"/>
      <c r="Y833" s="12">
        <v>0</v>
      </c>
    </row>
    <row r="834" spans="13:25" x14ac:dyDescent="0.35">
      <c r="M834" s="6" t="s">
        <v>2501</v>
      </c>
      <c r="N834" s="12"/>
      <c r="O834" s="12" t="e">
        <v>#VALUE!</v>
      </c>
      <c r="P834" s="12" t="e">
        <v>#VALUE!</v>
      </c>
      <c r="Q834" s="12"/>
      <c r="R834" s="12">
        <v>0</v>
      </c>
      <c r="S834" s="12">
        <v>0</v>
      </c>
      <c r="T834" s="12" t="e">
        <v>#VALUE!</v>
      </c>
      <c r="U834" s="12"/>
      <c r="V834" s="12" t="e">
        <v>#VALUE!</v>
      </c>
      <c r="W834" s="12" t="e">
        <v>#VALUE!</v>
      </c>
      <c r="X834" s="12"/>
      <c r="Y834" s="12" t="e">
        <v>#VALUE!</v>
      </c>
    </row>
    <row r="835" spans="13:25" x14ac:dyDescent="0.35">
      <c r="M835" s="6" t="s">
        <v>2505</v>
      </c>
      <c r="N835" s="12"/>
      <c r="O835" s="12" t="e">
        <v>#VALUE!</v>
      </c>
      <c r="P835" s="12" t="e">
        <v>#VALUE!</v>
      </c>
      <c r="Q835" s="12"/>
      <c r="R835" s="12">
        <v>0</v>
      </c>
      <c r="S835" s="12">
        <v>0</v>
      </c>
      <c r="T835" s="12" t="e">
        <v>#VALUE!</v>
      </c>
      <c r="U835" s="12"/>
      <c r="V835" s="12" t="e">
        <v>#VALUE!</v>
      </c>
      <c r="W835" s="12" t="e">
        <v>#VALUE!</v>
      </c>
      <c r="X835" s="12"/>
      <c r="Y835" s="12" t="e">
        <v>#VALUE!</v>
      </c>
    </row>
    <row r="836" spans="13:25" x14ac:dyDescent="0.35">
      <c r="M836" s="6" t="s">
        <v>2509</v>
      </c>
      <c r="N836" s="12"/>
      <c r="O836" s="12" t="e">
        <v>#VALUE!</v>
      </c>
      <c r="P836" s="12" t="e">
        <v>#VALUE!</v>
      </c>
      <c r="Q836" s="12"/>
      <c r="R836" s="12">
        <v>0</v>
      </c>
      <c r="S836" s="12" t="e">
        <v>#VALUE!</v>
      </c>
      <c r="T836" s="12" t="e">
        <v>#VALUE!</v>
      </c>
      <c r="U836" s="12"/>
      <c r="V836" s="12" t="e">
        <v>#VALUE!</v>
      </c>
      <c r="W836" s="12" t="e">
        <v>#VALUE!</v>
      </c>
      <c r="X836" s="12"/>
      <c r="Y836" s="12" t="e">
        <v>#VALUE!</v>
      </c>
    </row>
    <row r="837" spans="13:25" x14ac:dyDescent="0.35">
      <c r="M837" s="6" t="s">
        <v>2512</v>
      </c>
      <c r="N837" s="12"/>
      <c r="O837" s="12" t="e">
        <v>#VALUE!</v>
      </c>
      <c r="P837" s="12" t="e">
        <v>#VALUE!</v>
      </c>
      <c r="Q837" s="12"/>
      <c r="R837" s="12">
        <v>0</v>
      </c>
      <c r="S837" s="12" t="e">
        <v>#VALUE!</v>
      </c>
      <c r="T837" s="12" t="e">
        <v>#VALUE!</v>
      </c>
      <c r="U837" s="12"/>
      <c r="V837" s="12" t="e">
        <v>#VALUE!</v>
      </c>
      <c r="W837" s="12" t="e">
        <v>#VALUE!</v>
      </c>
      <c r="X837" s="12"/>
      <c r="Y837" s="12">
        <v>0</v>
      </c>
    </row>
    <row r="838" spans="13:25" x14ac:dyDescent="0.35">
      <c r="M838" s="6" t="s">
        <v>2516</v>
      </c>
      <c r="N838" s="12"/>
      <c r="O838" s="12" t="e">
        <v>#VALUE!</v>
      </c>
      <c r="P838" s="12" t="e">
        <v>#VALUE!</v>
      </c>
      <c r="Q838" s="12"/>
      <c r="R838" s="12">
        <v>0</v>
      </c>
      <c r="S838" s="12">
        <v>0</v>
      </c>
      <c r="T838" s="12" t="e">
        <v>#VALUE!</v>
      </c>
      <c r="U838" s="12"/>
      <c r="V838" s="12" t="e">
        <v>#VALUE!</v>
      </c>
      <c r="W838" s="12" t="e">
        <v>#VALUE!</v>
      </c>
      <c r="X838" s="12"/>
      <c r="Y838" s="12" t="e">
        <v>#VALUE!</v>
      </c>
    </row>
    <row r="839" spans="13:25" x14ac:dyDescent="0.35">
      <c r="M839" s="6" t="s">
        <v>2520</v>
      </c>
      <c r="N839" s="12"/>
      <c r="O839" s="12" t="e">
        <v>#VALUE!</v>
      </c>
      <c r="P839" s="12" t="e">
        <v>#VALUE!</v>
      </c>
      <c r="Q839" s="12"/>
      <c r="R839" s="12">
        <v>0</v>
      </c>
      <c r="S839" s="12">
        <v>0</v>
      </c>
      <c r="T839" s="12" t="e">
        <v>#VALUE!</v>
      </c>
      <c r="U839" s="12"/>
      <c r="V839" s="12" t="e">
        <v>#VALUE!</v>
      </c>
      <c r="W839" s="12" t="e">
        <v>#VALUE!</v>
      </c>
      <c r="X839" s="12"/>
      <c r="Y839" s="12" t="e">
        <v>#VALUE!</v>
      </c>
    </row>
    <row r="840" spans="13:25" x14ac:dyDescent="0.35">
      <c r="M840" s="6" t="s">
        <v>2523</v>
      </c>
      <c r="N840" s="12"/>
      <c r="O840" s="12" t="e">
        <v>#VALUE!</v>
      </c>
      <c r="P840" s="12" t="e">
        <v>#VALUE!</v>
      </c>
      <c r="Q840" s="12"/>
      <c r="R840" s="12">
        <v>0</v>
      </c>
      <c r="S840" s="12">
        <v>0</v>
      </c>
      <c r="T840" s="12" t="e">
        <v>#VALUE!</v>
      </c>
      <c r="U840" s="12"/>
      <c r="V840" s="12" t="e">
        <v>#VALUE!</v>
      </c>
      <c r="W840" s="12" t="e">
        <v>#VALUE!</v>
      </c>
      <c r="X840" s="12"/>
      <c r="Y840" s="12">
        <v>0</v>
      </c>
    </row>
    <row r="841" spans="13:25" x14ac:dyDescent="0.35">
      <c r="M841" s="6" t="s">
        <v>2527</v>
      </c>
      <c r="N841" s="12"/>
      <c r="O841" s="12" t="e">
        <v>#VALUE!</v>
      </c>
      <c r="P841" s="12" t="e">
        <v>#VALUE!</v>
      </c>
      <c r="Q841" s="12"/>
      <c r="R841" s="12">
        <v>0</v>
      </c>
      <c r="S841" s="12">
        <v>0</v>
      </c>
      <c r="T841" s="12" t="e">
        <v>#VALUE!</v>
      </c>
      <c r="U841" s="12"/>
      <c r="V841" s="12" t="e">
        <v>#VALUE!</v>
      </c>
      <c r="W841" s="12" t="e">
        <v>#VALUE!</v>
      </c>
      <c r="X841" s="12"/>
      <c r="Y841" s="12">
        <v>0</v>
      </c>
    </row>
    <row r="842" spans="13:25" x14ac:dyDescent="0.35">
      <c r="M842" s="6" t="s">
        <v>2531</v>
      </c>
      <c r="N842" s="12"/>
      <c r="O842" s="12" t="e">
        <v>#VALUE!</v>
      </c>
      <c r="P842" s="12" t="e">
        <v>#VALUE!</v>
      </c>
      <c r="Q842" s="12"/>
      <c r="R842" s="12" t="e">
        <v>#VALUE!</v>
      </c>
      <c r="S842" s="12">
        <v>0</v>
      </c>
      <c r="T842" s="12">
        <v>0</v>
      </c>
      <c r="U842" s="12"/>
      <c r="V842" s="12">
        <v>0</v>
      </c>
      <c r="W842" s="12">
        <v>0</v>
      </c>
      <c r="X842" s="12"/>
      <c r="Y842" s="12">
        <v>0</v>
      </c>
    </row>
    <row r="843" spans="13:25" x14ac:dyDescent="0.35">
      <c r="M843" s="6" t="s">
        <v>2535</v>
      </c>
      <c r="N843" s="12"/>
      <c r="O843" s="12" t="e">
        <v>#VALUE!</v>
      </c>
      <c r="P843" s="12" t="e">
        <v>#VALUE!</v>
      </c>
      <c r="Q843" s="12"/>
      <c r="R843" s="12">
        <v>0</v>
      </c>
      <c r="S843" s="12">
        <v>0</v>
      </c>
      <c r="T843" s="12" t="e">
        <v>#VALUE!</v>
      </c>
      <c r="U843" s="12"/>
      <c r="V843" s="12" t="e">
        <v>#VALUE!</v>
      </c>
      <c r="W843" s="12" t="e">
        <v>#VALUE!</v>
      </c>
      <c r="X843" s="12"/>
      <c r="Y843" s="12" t="e">
        <v>#VALUE!</v>
      </c>
    </row>
    <row r="844" spans="13:25" x14ac:dyDescent="0.35">
      <c r="M844" s="6" t="s">
        <v>2538</v>
      </c>
      <c r="N844" s="12"/>
      <c r="O844" s="12" t="e">
        <v>#VALUE!</v>
      </c>
      <c r="P844" s="12" t="e">
        <v>#VALUE!</v>
      </c>
      <c r="Q844" s="12"/>
      <c r="R844" s="12">
        <v>0</v>
      </c>
      <c r="S844" s="12">
        <v>0</v>
      </c>
      <c r="T844" s="12" t="e">
        <v>#VALUE!</v>
      </c>
      <c r="U844" s="12"/>
      <c r="V844" s="12" t="e">
        <v>#VALUE!</v>
      </c>
      <c r="W844" s="12" t="e">
        <v>#VALUE!</v>
      </c>
      <c r="X844" s="12"/>
      <c r="Y844" s="12">
        <v>0</v>
      </c>
    </row>
    <row r="845" spans="13:25" x14ac:dyDescent="0.35">
      <c r="M845" s="6" t="s">
        <v>2541</v>
      </c>
      <c r="N845" s="12"/>
      <c r="O845" s="12" t="e">
        <v>#VALUE!</v>
      </c>
      <c r="P845" s="12" t="e">
        <v>#VALUE!</v>
      </c>
      <c r="Q845" s="12"/>
      <c r="R845" s="12">
        <v>0</v>
      </c>
      <c r="S845" s="12">
        <v>0</v>
      </c>
      <c r="T845" s="12" t="e">
        <v>#VALUE!</v>
      </c>
      <c r="U845" s="12"/>
      <c r="V845" s="12" t="e">
        <v>#VALUE!</v>
      </c>
      <c r="W845" s="12" t="e">
        <v>#VALUE!</v>
      </c>
      <c r="X845" s="12"/>
      <c r="Y845" s="12" t="e">
        <v>#VALUE!</v>
      </c>
    </row>
    <row r="846" spans="13:25" x14ac:dyDescent="0.35">
      <c r="M846" s="6" t="s">
        <v>2544</v>
      </c>
      <c r="N846" s="12"/>
      <c r="O846" s="12">
        <v>0</v>
      </c>
      <c r="P846" s="12">
        <v>0</v>
      </c>
      <c r="Q846" s="12"/>
      <c r="R846" s="12">
        <v>0</v>
      </c>
      <c r="S846" s="12">
        <v>0</v>
      </c>
      <c r="T846" s="12">
        <v>0</v>
      </c>
      <c r="U846" s="12"/>
      <c r="V846" s="12">
        <v>0</v>
      </c>
      <c r="W846" s="12">
        <v>0</v>
      </c>
      <c r="X846" s="12"/>
      <c r="Y846" s="12">
        <v>0</v>
      </c>
    </row>
    <row r="847" spans="13:25" x14ac:dyDescent="0.35">
      <c r="M847" s="6" t="s">
        <v>2547</v>
      </c>
      <c r="N847" s="12"/>
      <c r="O847" s="12" t="e">
        <v>#VALUE!</v>
      </c>
      <c r="P847" s="12" t="e">
        <v>#VALUE!</v>
      </c>
      <c r="Q847" s="12"/>
      <c r="R847" s="12">
        <v>0</v>
      </c>
      <c r="S847" s="12">
        <v>0</v>
      </c>
      <c r="T847" s="12" t="e">
        <v>#VALUE!</v>
      </c>
      <c r="U847" s="12"/>
      <c r="V847" s="12" t="e">
        <v>#VALUE!</v>
      </c>
      <c r="W847" s="12" t="e">
        <v>#VALUE!</v>
      </c>
      <c r="X847" s="12"/>
      <c r="Y847" s="12">
        <v>0</v>
      </c>
    </row>
    <row r="848" spans="13:25" x14ac:dyDescent="0.35">
      <c r="M848" s="6" t="s">
        <v>2550</v>
      </c>
      <c r="N848" s="12"/>
      <c r="O848" s="12" t="e">
        <v>#VALUE!</v>
      </c>
      <c r="P848" s="12" t="e">
        <v>#VALUE!</v>
      </c>
      <c r="Q848" s="12"/>
      <c r="R848" s="12">
        <v>0</v>
      </c>
      <c r="S848" s="12" t="e">
        <v>#VALUE!</v>
      </c>
      <c r="T848" s="12" t="e">
        <v>#VALUE!</v>
      </c>
      <c r="U848" s="12"/>
      <c r="V848" s="12" t="e">
        <v>#VALUE!</v>
      </c>
      <c r="W848" s="12" t="e">
        <v>#VALUE!</v>
      </c>
      <c r="X848" s="12"/>
      <c r="Y848" s="12" t="e">
        <v>#VALUE!</v>
      </c>
    </row>
    <row r="849" spans="13:25" x14ac:dyDescent="0.35">
      <c r="M849" s="6" t="s">
        <v>2554</v>
      </c>
      <c r="N849" s="12"/>
      <c r="O849" s="12" t="e">
        <v>#VALUE!</v>
      </c>
      <c r="P849" s="12" t="e">
        <v>#VALUE!</v>
      </c>
      <c r="Q849" s="12"/>
      <c r="R849" s="12">
        <v>0</v>
      </c>
      <c r="S849" s="12">
        <v>0</v>
      </c>
      <c r="T849" s="12" t="e">
        <v>#VALUE!</v>
      </c>
      <c r="U849" s="12"/>
      <c r="V849" s="12" t="e">
        <v>#VALUE!</v>
      </c>
      <c r="W849" s="12" t="e">
        <v>#VALUE!</v>
      </c>
      <c r="X849" s="12"/>
      <c r="Y849" s="12" t="e">
        <v>#VALUE!</v>
      </c>
    </row>
    <row r="850" spans="13:25" x14ac:dyDescent="0.35">
      <c r="M850" s="6" t="s">
        <v>2557</v>
      </c>
      <c r="N850" s="12"/>
      <c r="O850" s="12" t="e">
        <v>#VALUE!</v>
      </c>
      <c r="P850" s="12" t="e">
        <v>#VALUE!</v>
      </c>
      <c r="Q850" s="12"/>
      <c r="R850" s="12">
        <v>0</v>
      </c>
      <c r="S850" s="12">
        <v>0</v>
      </c>
      <c r="T850" s="12" t="e">
        <v>#VALUE!</v>
      </c>
      <c r="U850" s="12"/>
      <c r="V850" s="12" t="e">
        <v>#VALUE!</v>
      </c>
      <c r="W850" s="12" t="e">
        <v>#VALUE!</v>
      </c>
      <c r="X850" s="12"/>
      <c r="Y850" s="12" t="e">
        <v>#VALUE!</v>
      </c>
    </row>
    <row r="851" spans="13:25" x14ac:dyDescent="0.35">
      <c r="M851" s="6" t="s">
        <v>2561</v>
      </c>
      <c r="N851" s="12"/>
      <c r="O851" s="12" t="e">
        <v>#VALUE!</v>
      </c>
      <c r="P851" s="12" t="e">
        <v>#VALUE!</v>
      </c>
      <c r="Q851" s="12"/>
      <c r="R851" s="12">
        <v>0</v>
      </c>
      <c r="S851" s="12">
        <v>0</v>
      </c>
      <c r="T851" s="12" t="e">
        <v>#VALUE!</v>
      </c>
      <c r="U851" s="12"/>
      <c r="V851" s="12" t="e">
        <v>#VALUE!</v>
      </c>
      <c r="W851" s="12" t="e">
        <v>#VALUE!</v>
      </c>
      <c r="X851" s="12"/>
      <c r="Y851" s="12" t="e">
        <v>#VALUE!</v>
      </c>
    </row>
    <row r="852" spans="13:25" x14ac:dyDescent="0.35">
      <c r="M852" s="6" t="s">
        <v>2564</v>
      </c>
      <c r="N852" s="12"/>
      <c r="O852" s="12" t="e">
        <v>#VALUE!</v>
      </c>
      <c r="P852" s="12" t="e">
        <v>#VALUE!</v>
      </c>
      <c r="Q852" s="12"/>
      <c r="R852" s="12">
        <v>0</v>
      </c>
      <c r="S852" s="12">
        <v>0</v>
      </c>
      <c r="T852" s="12" t="e">
        <v>#VALUE!</v>
      </c>
      <c r="U852" s="12"/>
      <c r="V852" s="12" t="e">
        <v>#VALUE!</v>
      </c>
      <c r="W852" s="12" t="e">
        <v>#VALUE!</v>
      </c>
      <c r="X852" s="12"/>
      <c r="Y852" s="12">
        <v>0</v>
      </c>
    </row>
    <row r="853" spans="13:25" x14ac:dyDescent="0.35">
      <c r="M853" s="6" t="s">
        <v>2567</v>
      </c>
      <c r="N853" s="12"/>
      <c r="O853" s="12" t="e">
        <v>#VALUE!</v>
      </c>
      <c r="P853" s="12" t="e">
        <v>#VALUE!</v>
      </c>
      <c r="Q853" s="12"/>
      <c r="R853" s="12">
        <v>0</v>
      </c>
      <c r="S853" s="12">
        <v>0</v>
      </c>
      <c r="T853" s="12" t="e">
        <v>#VALUE!</v>
      </c>
      <c r="U853" s="12"/>
      <c r="V853" s="12" t="e">
        <v>#VALUE!</v>
      </c>
      <c r="W853" s="12" t="e">
        <v>#VALUE!</v>
      </c>
      <c r="X853" s="12"/>
      <c r="Y853" s="12" t="e">
        <v>#VALUE!</v>
      </c>
    </row>
    <row r="854" spans="13:25" x14ac:dyDescent="0.35">
      <c r="M854" s="6" t="s">
        <v>2570</v>
      </c>
      <c r="N854" s="12"/>
      <c r="O854" s="12" t="e">
        <v>#VALUE!</v>
      </c>
      <c r="P854" s="12" t="e">
        <v>#VALUE!</v>
      </c>
      <c r="Q854" s="12"/>
      <c r="R854" s="12">
        <v>0</v>
      </c>
      <c r="S854" s="12">
        <v>0</v>
      </c>
      <c r="T854" s="12" t="e">
        <v>#VALUE!</v>
      </c>
      <c r="U854" s="12"/>
      <c r="V854" s="12" t="e">
        <v>#VALUE!</v>
      </c>
      <c r="W854" s="12" t="e">
        <v>#VALUE!</v>
      </c>
      <c r="X854" s="12"/>
      <c r="Y854" s="12">
        <v>0</v>
      </c>
    </row>
    <row r="855" spans="13:25" x14ac:dyDescent="0.35">
      <c r="M855" s="6" t="s">
        <v>2573</v>
      </c>
      <c r="N855" s="12"/>
      <c r="O855" s="12" t="e">
        <v>#VALUE!</v>
      </c>
      <c r="P855" s="12" t="e">
        <v>#VALUE!</v>
      </c>
      <c r="Q855" s="12"/>
      <c r="R855" s="12">
        <v>0</v>
      </c>
      <c r="S855" s="12">
        <v>0</v>
      </c>
      <c r="T855" s="12" t="e">
        <v>#VALUE!</v>
      </c>
      <c r="U855" s="12"/>
      <c r="V855" s="12" t="e">
        <v>#VALUE!</v>
      </c>
      <c r="W855" s="12" t="e">
        <v>#VALUE!</v>
      </c>
      <c r="X855" s="12"/>
      <c r="Y855" s="12" t="e">
        <v>#VALUE!</v>
      </c>
    </row>
    <row r="856" spans="13:25" x14ac:dyDescent="0.35">
      <c r="M856" s="6" t="s">
        <v>2576</v>
      </c>
      <c r="N856" s="12"/>
      <c r="O856" s="12" t="e">
        <v>#VALUE!</v>
      </c>
      <c r="P856" s="12" t="e">
        <v>#VALUE!</v>
      </c>
      <c r="Q856" s="12"/>
      <c r="R856" s="12">
        <v>0</v>
      </c>
      <c r="S856" s="12">
        <v>0</v>
      </c>
      <c r="T856" s="12" t="e">
        <v>#VALUE!</v>
      </c>
      <c r="U856" s="12"/>
      <c r="V856" s="12" t="e">
        <v>#VALUE!</v>
      </c>
      <c r="W856" s="12" t="e">
        <v>#VALUE!</v>
      </c>
      <c r="X856" s="12"/>
      <c r="Y856" s="12" t="e">
        <v>#VALUE!</v>
      </c>
    </row>
    <row r="857" spans="13:25" x14ac:dyDescent="0.35">
      <c r="M857" s="6" t="s">
        <v>2580</v>
      </c>
      <c r="N857" s="12"/>
      <c r="O857" s="12" t="e">
        <v>#VALUE!</v>
      </c>
      <c r="P857" s="12" t="e">
        <v>#VALUE!</v>
      </c>
      <c r="Q857" s="12"/>
      <c r="R857" s="12">
        <v>0</v>
      </c>
      <c r="S857" s="12">
        <v>0</v>
      </c>
      <c r="T857" s="12" t="e">
        <v>#VALUE!</v>
      </c>
      <c r="U857" s="12"/>
      <c r="V857" s="12" t="e">
        <v>#VALUE!</v>
      </c>
      <c r="W857" s="12" t="e">
        <v>#VALUE!</v>
      </c>
      <c r="X857" s="12"/>
      <c r="Y857" s="12" t="e">
        <v>#VALUE!</v>
      </c>
    </row>
    <row r="858" spans="13:25" x14ac:dyDescent="0.35">
      <c r="M858" s="6" t="s">
        <v>2584</v>
      </c>
      <c r="N858" s="12"/>
      <c r="O858" s="12">
        <v>0</v>
      </c>
      <c r="P858" s="12">
        <v>0</v>
      </c>
      <c r="Q858" s="12"/>
      <c r="R858" s="12">
        <v>0</v>
      </c>
      <c r="S858" s="12">
        <v>0</v>
      </c>
      <c r="T858" s="12">
        <v>0</v>
      </c>
      <c r="U858" s="12"/>
      <c r="V858" s="12">
        <v>0</v>
      </c>
      <c r="W858" s="12">
        <v>0</v>
      </c>
      <c r="X858" s="12"/>
      <c r="Y858" s="12">
        <v>0</v>
      </c>
    </row>
    <row r="859" spans="13:25" x14ac:dyDescent="0.35">
      <c r="M859" s="6" t="s">
        <v>2588</v>
      </c>
      <c r="N859" s="12"/>
      <c r="O859" s="12">
        <v>0</v>
      </c>
      <c r="P859" s="12">
        <v>0</v>
      </c>
      <c r="Q859" s="12"/>
      <c r="R859" s="12">
        <v>0</v>
      </c>
      <c r="S859" s="12">
        <v>0</v>
      </c>
      <c r="T859" s="12">
        <v>0</v>
      </c>
      <c r="U859" s="12"/>
      <c r="V859" s="12">
        <v>0</v>
      </c>
      <c r="W859" s="12">
        <v>0</v>
      </c>
      <c r="X859" s="12"/>
      <c r="Y859" s="12">
        <v>0</v>
      </c>
    </row>
    <row r="860" spans="13:25" x14ac:dyDescent="0.35">
      <c r="M860" s="6" t="s">
        <v>2592</v>
      </c>
      <c r="N860" s="12"/>
      <c r="O860" s="12">
        <v>0</v>
      </c>
      <c r="P860" s="12">
        <v>0</v>
      </c>
      <c r="Q860" s="12"/>
      <c r="R860" s="12">
        <v>0</v>
      </c>
      <c r="S860" s="12">
        <v>0</v>
      </c>
      <c r="T860" s="12">
        <v>0</v>
      </c>
      <c r="U860" s="12"/>
      <c r="V860" s="12">
        <v>0</v>
      </c>
      <c r="W860" s="12">
        <v>0</v>
      </c>
      <c r="X860" s="12"/>
      <c r="Y860" s="12">
        <v>0</v>
      </c>
    </row>
    <row r="861" spans="13:25" x14ac:dyDescent="0.35">
      <c r="M861" s="6" t="s">
        <v>2595</v>
      </c>
      <c r="N861" s="12"/>
      <c r="O861" s="12">
        <v>0</v>
      </c>
      <c r="P861" s="12">
        <v>0</v>
      </c>
      <c r="Q861" s="12"/>
      <c r="R861" s="12">
        <v>0</v>
      </c>
      <c r="S861" s="12">
        <v>0</v>
      </c>
      <c r="T861" s="12">
        <v>0</v>
      </c>
      <c r="U861" s="12"/>
      <c r="V861" s="12">
        <v>0</v>
      </c>
      <c r="W861" s="12">
        <v>0</v>
      </c>
      <c r="X861" s="12"/>
      <c r="Y861" s="12">
        <v>0</v>
      </c>
    </row>
    <row r="862" spans="13:25" x14ac:dyDescent="0.35">
      <c r="M862" s="6" t="s">
        <v>2598</v>
      </c>
      <c r="N862" s="12"/>
      <c r="O862" s="12">
        <v>0</v>
      </c>
      <c r="P862" s="12">
        <v>0</v>
      </c>
      <c r="Q862" s="12"/>
      <c r="R862" s="12">
        <v>0</v>
      </c>
      <c r="S862" s="12">
        <v>0</v>
      </c>
      <c r="T862" s="12">
        <v>0</v>
      </c>
      <c r="U862" s="12"/>
      <c r="V862" s="12">
        <v>0</v>
      </c>
      <c r="W862" s="12">
        <v>0</v>
      </c>
      <c r="X862" s="12"/>
      <c r="Y862" s="12">
        <v>0</v>
      </c>
    </row>
    <row r="863" spans="13:25" x14ac:dyDescent="0.35">
      <c r="M863" s="6" t="s">
        <v>2602</v>
      </c>
      <c r="N863" s="12"/>
      <c r="O863" s="12" t="e">
        <v>#VALUE!</v>
      </c>
      <c r="P863" s="12" t="e">
        <v>#VALUE!</v>
      </c>
      <c r="Q863" s="12"/>
      <c r="R863" s="12" t="e">
        <v>#VALUE!</v>
      </c>
      <c r="S863" s="12">
        <v>0</v>
      </c>
      <c r="T863" s="12" t="e">
        <v>#VALUE!</v>
      </c>
      <c r="U863" s="12"/>
      <c r="V863" s="12" t="e">
        <v>#VALUE!</v>
      </c>
      <c r="W863" s="12" t="e">
        <v>#VALUE!</v>
      </c>
      <c r="X863" s="12"/>
      <c r="Y863" s="12">
        <v>0</v>
      </c>
    </row>
    <row r="864" spans="13:25" x14ac:dyDescent="0.35">
      <c r="M864" s="6" t="s">
        <v>2606</v>
      </c>
      <c r="N864" s="12"/>
      <c r="O864" s="12">
        <v>0</v>
      </c>
      <c r="P864" s="12">
        <v>0</v>
      </c>
      <c r="Q864" s="12"/>
      <c r="R864" s="12">
        <v>0</v>
      </c>
      <c r="S864" s="12">
        <v>0</v>
      </c>
      <c r="T864" s="12">
        <v>0</v>
      </c>
      <c r="U864" s="12"/>
      <c r="V864" s="12">
        <v>0</v>
      </c>
      <c r="W864" s="12">
        <v>0</v>
      </c>
      <c r="X864" s="12"/>
      <c r="Y864" s="12">
        <v>0</v>
      </c>
    </row>
    <row r="865" spans="13:25" x14ac:dyDescent="0.35">
      <c r="M865" s="6" t="s">
        <v>2610</v>
      </c>
      <c r="N865" s="12"/>
      <c r="O865" s="12" t="e">
        <v>#VALUE!</v>
      </c>
      <c r="P865" s="12" t="e">
        <v>#VALUE!</v>
      </c>
      <c r="Q865" s="12"/>
      <c r="R865" s="12">
        <v>0</v>
      </c>
      <c r="S865" s="12">
        <v>0</v>
      </c>
      <c r="T865" s="12" t="e">
        <v>#VALUE!</v>
      </c>
      <c r="U865" s="12"/>
      <c r="V865" s="12" t="e">
        <v>#VALUE!</v>
      </c>
      <c r="W865" s="12" t="e">
        <v>#VALUE!</v>
      </c>
      <c r="X865" s="12"/>
      <c r="Y865" s="12" t="e">
        <v>#VALUE!</v>
      </c>
    </row>
    <row r="866" spans="13:25" x14ac:dyDescent="0.35">
      <c r="M866" s="6" t="s">
        <v>2614</v>
      </c>
      <c r="N866" s="12"/>
      <c r="O866" s="12">
        <v>0</v>
      </c>
      <c r="P866" s="12">
        <v>0</v>
      </c>
      <c r="Q866" s="12"/>
      <c r="R866" s="12">
        <v>0</v>
      </c>
      <c r="S866" s="12">
        <v>0</v>
      </c>
      <c r="T866" s="12">
        <v>0</v>
      </c>
      <c r="U866" s="12"/>
      <c r="V866" s="12">
        <v>0</v>
      </c>
      <c r="W866" s="12">
        <v>0</v>
      </c>
      <c r="X866" s="12"/>
      <c r="Y866" s="12">
        <v>0</v>
      </c>
    </row>
    <row r="867" spans="13:25" x14ac:dyDescent="0.35">
      <c r="M867" s="6" t="s">
        <v>2618</v>
      </c>
      <c r="N867" s="12"/>
      <c r="O867" s="12">
        <v>0</v>
      </c>
      <c r="P867" s="12">
        <v>0</v>
      </c>
      <c r="Q867" s="12"/>
      <c r="R867" s="12">
        <v>0</v>
      </c>
      <c r="S867" s="12" t="e">
        <v>#VALUE!</v>
      </c>
      <c r="T867" s="12">
        <v>0</v>
      </c>
      <c r="U867" s="12"/>
      <c r="V867" s="12">
        <v>0</v>
      </c>
      <c r="W867" s="12">
        <v>0</v>
      </c>
      <c r="X867" s="12"/>
      <c r="Y867" s="12">
        <v>0</v>
      </c>
    </row>
    <row r="868" spans="13:25" x14ac:dyDescent="0.35">
      <c r="M868" s="6" t="s">
        <v>2621</v>
      </c>
      <c r="N868" s="12"/>
      <c r="O868" s="12">
        <v>0</v>
      </c>
      <c r="P868" s="12">
        <v>0</v>
      </c>
      <c r="Q868" s="12"/>
      <c r="R868" s="12">
        <v>0</v>
      </c>
      <c r="S868" s="12">
        <v>0</v>
      </c>
      <c r="T868" s="12">
        <v>0</v>
      </c>
      <c r="U868" s="12"/>
      <c r="V868" s="12">
        <v>0</v>
      </c>
      <c r="W868" s="12">
        <v>0</v>
      </c>
      <c r="X868" s="12"/>
      <c r="Y868" s="12">
        <v>0</v>
      </c>
    </row>
    <row r="869" spans="13:25" x14ac:dyDescent="0.35">
      <c r="M869" s="6" t="s">
        <v>2624</v>
      </c>
      <c r="N869" s="12"/>
      <c r="O869" s="12">
        <v>0</v>
      </c>
      <c r="P869" s="12">
        <v>0</v>
      </c>
      <c r="Q869" s="12"/>
      <c r="R869" s="12">
        <v>0</v>
      </c>
      <c r="S869" s="12">
        <v>0</v>
      </c>
      <c r="T869" s="12">
        <v>0</v>
      </c>
      <c r="U869" s="12"/>
      <c r="V869" s="12">
        <v>0</v>
      </c>
      <c r="W869" s="12">
        <v>0</v>
      </c>
      <c r="X869" s="12"/>
      <c r="Y869" s="12">
        <v>0</v>
      </c>
    </row>
    <row r="870" spans="13:25" x14ac:dyDescent="0.35">
      <c r="M870" s="6" t="s">
        <v>2627</v>
      </c>
      <c r="N870" s="12"/>
      <c r="O870" s="12">
        <v>0</v>
      </c>
      <c r="P870" s="12">
        <v>0</v>
      </c>
      <c r="Q870" s="12"/>
      <c r="R870" s="12">
        <v>0</v>
      </c>
      <c r="S870" s="12">
        <v>0</v>
      </c>
      <c r="T870" s="12">
        <v>0</v>
      </c>
      <c r="U870" s="12"/>
      <c r="V870" s="12">
        <v>0</v>
      </c>
      <c r="W870" s="12">
        <v>0</v>
      </c>
      <c r="X870" s="12"/>
      <c r="Y870" s="12">
        <v>0</v>
      </c>
    </row>
    <row r="871" spans="13:25" x14ac:dyDescent="0.35">
      <c r="M871" s="6" t="s">
        <v>2630</v>
      </c>
      <c r="N871" s="12"/>
      <c r="O871" s="12" t="e">
        <v>#VALUE!</v>
      </c>
      <c r="P871" s="12" t="e">
        <v>#VALUE!</v>
      </c>
      <c r="Q871" s="12"/>
      <c r="R871" s="12">
        <v>0</v>
      </c>
      <c r="S871" s="12">
        <v>0</v>
      </c>
      <c r="T871" s="12" t="e">
        <v>#VALUE!</v>
      </c>
      <c r="U871" s="12"/>
      <c r="V871" s="12" t="e">
        <v>#VALUE!</v>
      </c>
      <c r="W871" s="12" t="e">
        <v>#VALUE!</v>
      </c>
      <c r="X871" s="12"/>
      <c r="Y871" s="12" t="e">
        <v>#VALUE!</v>
      </c>
    </row>
    <row r="872" spans="13:25" x14ac:dyDescent="0.35">
      <c r="M872" s="6" t="s">
        <v>28</v>
      </c>
      <c r="N872" s="12">
        <v>0</v>
      </c>
      <c r="O872" s="12" t="e">
        <v>#VALUE!</v>
      </c>
      <c r="P872" s="12" t="e">
        <v>#VALUE!</v>
      </c>
      <c r="Q872" s="12">
        <v>0</v>
      </c>
      <c r="R872" s="12" t="e">
        <v>#VALUE!</v>
      </c>
      <c r="S872" s="12" t="e">
        <v>#VALUE!</v>
      </c>
      <c r="T872" s="12" t="e">
        <v>#VALUE!</v>
      </c>
      <c r="U872" s="12">
        <v>0</v>
      </c>
      <c r="V872" s="12" t="e">
        <v>#VALUE!</v>
      </c>
      <c r="W872" s="12" t="e">
        <v>#VALUE!</v>
      </c>
      <c r="X872" s="12">
        <v>0</v>
      </c>
      <c r="Y872" s="12" t="e">
        <v>#VALUE!</v>
      </c>
    </row>
    <row r="873" spans="13:25" x14ac:dyDescent="0.35">
      <c r="M873"/>
      <c r="N873"/>
      <c r="O873"/>
      <c r="P873"/>
      <c r="Q873"/>
      <c r="R873"/>
      <c r="S873"/>
      <c r="T873"/>
      <c r="U873"/>
      <c r="V873"/>
      <c r="W873"/>
      <c r="X873"/>
      <c r="Y873"/>
    </row>
    <row r="874" spans="13:25" x14ac:dyDescent="0.35">
      <c r="M874"/>
      <c r="N874"/>
      <c r="O874"/>
      <c r="P874"/>
      <c r="Q874"/>
      <c r="R874"/>
      <c r="S874"/>
      <c r="T874"/>
      <c r="U874"/>
      <c r="V874"/>
      <c r="W874"/>
      <c r="X874"/>
      <c r="Y874"/>
    </row>
    <row r="875" spans="13:25" x14ac:dyDescent="0.35">
      <c r="M875"/>
      <c r="N875"/>
      <c r="O875"/>
      <c r="P875"/>
      <c r="Q875"/>
      <c r="R875"/>
      <c r="S875"/>
      <c r="T875"/>
      <c r="U875"/>
      <c r="V875"/>
      <c r="W875"/>
      <c r="X875"/>
      <c r="Y875"/>
    </row>
    <row r="876" spans="13:25" x14ac:dyDescent="0.35">
      <c r="M876"/>
      <c r="N876"/>
      <c r="O876"/>
      <c r="P876"/>
      <c r="Q876"/>
      <c r="R876"/>
      <c r="S876"/>
      <c r="T876"/>
      <c r="U876"/>
      <c r="V876"/>
      <c r="W876"/>
      <c r="X876"/>
      <c r="Y876"/>
    </row>
    <row r="877" spans="13:25" x14ac:dyDescent="0.35">
      <c r="M877"/>
      <c r="N877"/>
      <c r="O877"/>
      <c r="P877"/>
      <c r="Q877"/>
      <c r="R877"/>
      <c r="S877"/>
      <c r="T877"/>
      <c r="U877"/>
      <c r="V877"/>
      <c r="W877"/>
      <c r="X877"/>
      <c r="Y877"/>
    </row>
    <row r="878" spans="13:25" x14ac:dyDescent="0.35">
      <c r="M878"/>
      <c r="N878"/>
      <c r="O878"/>
      <c r="P878"/>
      <c r="Q878"/>
      <c r="R878"/>
      <c r="S878"/>
      <c r="T878"/>
      <c r="U878"/>
      <c r="V878"/>
      <c r="W878"/>
      <c r="X878"/>
      <c r="Y878"/>
    </row>
    <row r="879" spans="13:25" x14ac:dyDescent="0.35">
      <c r="M879"/>
      <c r="N879"/>
      <c r="O879"/>
      <c r="P879"/>
      <c r="Q879"/>
      <c r="R879"/>
      <c r="S879"/>
      <c r="T879"/>
      <c r="U879"/>
      <c r="V879"/>
      <c r="W879"/>
      <c r="X879"/>
      <c r="Y879"/>
    </row>
    <row r="880" spans="13:25" x14ac:dyDescent="0.35">
      <c r="M880"/>
      <c r="N880"/>
      <c r="O880"/>
      <c r="P880"/>
      <c r="Q880"/>
      <c r="R880"/>
      <c r="S880"/>
      <c r="T880"/>
      <c r="U880"/>
      <c r="V880"/>
      <c r="W880"/>
      <c r="X880"/>
      <c r="Y880"/>
    </row>
    <row r="881" spans="13:25" x14ac:dyDescent="0.35">
      <c r="M881"/>
      <c r="N881"/>
      <c r="O881"/>
      <c r="P881"/>
      <c r="Q881"/>
      <c r="R881"/>
      <c r="S881"/>
      <c r="T881"/>
      <c r="U881"/>
      <c r="V881"/>
      <c r="W881"/>
      <c r="X881"/>
      <c r="Y881"/>
    </row>
    <row r="882" spans="13:25" x14ac:dyDescent="0.35">
      <c r="M882"/>
      <c r="N882"/>
      <c r="O882"/>
      <c r="P882"/>
      <c r="Q882"/>
      <c r="R882"/>
      <c r="S882"/>
      <c r="T882"/>
      <c r="U882"/>
      <c r="V882"/>
      <c r="W882"/>
      <c r="X882"/>
      <c r="Y882"/>
    </row>
    <row r="883" spans="13:25" x14ac:dyDescent="0.35">
      <c r="M883"/>
      <c r="N883"/>
      <c r="O883"/>
      <c r="P883"/>
      <c r="Q883"/>
      <c r="R883"/>
      <c r="S883"/>
      <c r="T883"/>
      <c r="U883"/>
      <c r="V883"/>
      <c r="W883"/>
      <c r="X883"/>
      <c r="Y883"/>
    </row>
    <row r="884" spans="13:25" x14ac:dyDescent="0.35">
      <c r="M884"/>
      <c r="N884"/>
      <c r="O884"/>
      <c r="P884"/>
      <c r="Q884"/>
      <c r="R884"/>
      <c r="S884"/>
      <c r="T884"/>
      <c r="U884"/>
      <c r="V884"/>
      <c r="W884"/>
      <c r="X884"/>
      <c r="Y884"/>
    </row>
    <row r="885" spans="13:25" x14ac:dyDescent="0.35">
      <c r="M885"/>
      <c r="N885"/>
      <c r="O885"/>
      <c r="P885"/>
      <c r="Q885"/>
      <c r="R885"/>
      <c r="S885"/>
      <c r="T885"/>
      <c r="U885"/>
      <c r="V885"/>
      <c r="W885"/>
      <c r="X885"/>
      <c r="Y885"/>
    </row>
    <row r="886" spans="13:25" x14ac:dyDescent="0.35">
      <c r="M886"/>
      <c r="N886"/>
      <c r="O886"/>
      <c r="P886"/>
      <c r="Q886"/>
      <c r="R886"/>
      <c r="S886"/>
      <c r="T886"/>
      <c r="U886"/>
      <c r="V886"/>
      <c r="W886"/>
      <c r="X886"/>
      <c r="Y886"/>
    </row>
    <row r="887" spans="13:25" x14ac:dyDescent="0.35">
      <c r="M887"/>
      <c r="N887"/>
      <c r="O887"/>
      <c r="P887"/>
      <c r="Q887"/>
      <c r="R887"/>
      <c r="S887"/>
      <c r="T887"/>
      <c r="U887"/>
      <c r="V887"/>
      <c r="W887"/>
      <c r="X887"/>
      <c r="Y887"/>
    </row>
    <row r="888" spans="13:25" x14ac:dyDescent="0.35">
      <c r="M888"/>
      <c r="N888"/>
      <c r="O888"/>
      <c r="P888"/>
      <c r="Q888"/>
      <c r="R888"/>
      <c r="S888"/>
      <c r="T888"/>
      <c r="U888"/>
      <c r="V888"/>
      <c r="W888"/>
      <c r="X888"/>
      <c r="Y888"/>
    </row>
    <row r="889" spans="13:25" x14ac:dyDescent="0.35">
      <c r="M889"/>
      <c r="N889"/>
      <c r="O889"/>
      <c r="P889"/>
      <c r="Q889"/>
      <c r="R889"/>
      <c r="S889"/>
      <c r="T889"/>
      <c r="U889"/>
      <c r="V889"/>
      <c r="W889"/>
      <c r="X889"/>
      <c r="Y889"/>
    </row>
    <row r="890" spans="13:25" x14ac:dyDescent="0.35">
      <c r="M890"/>
      <c r="N890"/>
      <c r="O890"/>
      <c r="P890"/>
      <c r="Q890"/>
      <c r="R890"/>
      <c r="S890"/>
      <c r="T890"/>
      <c r="U890"/>
      <c r="V890"/>
      <c r="W890"/>
      <c r="X890"/>
      <c r="Y890"/>
    </row>
    <row r="891" spans="13:25" x14ac:dyDescent="0.35">
      <c r="M891"/>
      <c r="N891"/>
      <c r="O891"/>
      <c r="P891"/>
      <c r="Q891"/>
      <c r="R891"/>
      <c r="S891"/>
      <c r="T891"/>
      <c r="U891"/>
      <c r="V891"/>
      <c r="W891"/>
      <c r="X891"/>
      <c r="Y891"/>
    </row>
    <row r="892" spans="13:25" x14ac:dyDescent="0.35">
      <c r="M892"/>
      <c r="N892"/>
      <c r="O892"/>
      <c r="P892"/>
      <c r="Q892"/>
      <c r="R892"/>
      <c r="S892"/>
      <c r="T892"/>
      <c r="U892"/>
      <c r="V892"/>
      <c r="W892"/>
      <c r="X892"/>
      <c r="Y892"/>
    </row>
    <row r="893" spans="13:25" x14ac:dyDescent="0.35">
      <c r="M893"/>
      <c r="N893"/>
      <c r="O893"/>
      <c r="P893"/>
      <c r="Q893"/>
      <c r="R893"/>
      <c r="S893"/>
      <c r="T893"/>
      <c r="U893"/>
      <c r="V893"/>
      <c r="W893"/>
      <c r="X893"/>
      <c r="Y893"/>
    </row>
    <row r="894" spans="13:25" x14ac:dyDescent="0.35">
      <c r="M894"/>
      <c r="N894"/>
      <c r="O894"/>
      <c r="P894"/>
      <c r="Q894"/>
      <c r="R894"/>
      <c r="S894"/>
      <c r="T894"/>
      <c r="U894"/>
      <c r="V894"/>
      <c r="W894"/>
      <c r="X894"/>
      <c r="Y894"/>
    </row>
    <row r="895" spans="13:25" x14ac:dyDescent="0.35">
      <c r="M895"/>
      <c r="N895"/>
      <c r="O895"/>
      <c r="P895"/>
      <c r="Q895"/>
      <c r="R895"/>
      <c r="S895"/>
      <c r="T895"/>
      <c r="U895"/>
      <c r="V895"/>
      <c r="W895"/>
      <c r="X895"/>
      <c r="Y895"/>
    </row>
    <row r="896" spans="13:25" x14ac:dyDescent="0.35">
      <c r="M896"/>
      <c r="N896"/>
      <c r="O896"/>
      <c r="P896"/>
      <c r="Q896"/>
      <c r="R896"/>
      <c r="S896"/>
      <c r="T896"/>
      <c r="U896"/>
      <c r="V896"/>
      <c r="W896"/>
      <c r="X896"/>
      <c r="Y896"/>
    </row>
    <row r="897" spans="13:25" x14ac:dyDescent="0.35">
      <c r="M897"/>
      <c r="N897"/>
      <c r="O897"/>
      <c r="P897"/>
      <c r="Q897"/>
      <c r="R897"/>
      <c r="S897"/>
      <c r="T897"/>
      <c r="U897"/>
      <c r="V897"/>
      <c r="W897"/>
      <c r="X897"/>
      <c r="Y897"/>
    </row>
    <row r="898" spans="13:25" x14ac:dyDescent="0.35">
      <c r="M898"/>
      <c r="N898"/>
      <c r="O898"/>
      <c r="P898"/>
      <c r="Q898"/>
      <c r="R898"/>
      <c r="S898"/>
      <c r="T898"/>
      <c r="U898"/>
      <c r="V898"/>
      <c r="W898"/>
      <c r="X898"/>
      <c r="Y898"/>
    </row>
    <row r="899" spans="13:25" x14ac:dyDescent="0.35">
      <c r="M899"/>
      <c r="N899"/>
      <c r="O899"/>
      <c r="P899"/>
      <c r="Q899"/>
      <c r="R899"/>
      <c r="S899"/>
      <c r="T899"/>
      <c r="U899"/>
      <c r="V899"/>
      <c r="W899"/>
      <c r="X899"/>
      <c r="Y899"/>
    </row>
    <row r="900" spans="13:25" x14ac:dyDescent="0.35">
      <c r="M900"/>
      <c r="N900"/>
      <c r="O900"/>
      <c r="P900"/>
      <c r="Q900"/>
      <c r="R900"/>
      <c r="S900"/>
      <c r="T900"/>
      <c r="U900"/>
      <c r="V900"/>
      <c r="W900"/>
      <c r="X900"/>
      <c r="Y900"/>
    </row>
    <row r="901" spans="13:25" x14ac:dyDescent="0.35">
      <c r="M901"/>
      <c r="N901"/>
      <c r="O901"/>
      <c r="P901"/>
      <c r="Q901"/>
      <c r="R901"/>
      <c r="S901"/>
      <c r="T901"/>
      <c r="U901"/>
      <c r="V901"/>
      <c r="W901"/>
      <c r="X901"/>
      <c r="Y901"/>
    </row>
    <row r="902" spans="13:25" x14ac:dyDescent="0.35">
      <c r="M902"/>
      <c r="N902"/>
      <c r="O902"/>
      <c r="P902"/>
      <c r="Q902"/>
      <c r="R902"/>
      <c r="S902"/>
      <c r="T902"/>
      <c r="U902"/>
      <c r="V902"/>
      <c r="W902"/>
      <c r="X902"/>
      <c r="Y902"/>
    </row>
    <row r="903" spans="13:25" x14ac:dyDescent="0.35">
      <c r="M903"/>
      <c r="N903"/>
      <c r="O903"/>
      <c r="P903"/>
      <c r="Q903"/>
      <c r="R903"/>
      <c r="S903"/>
      <c r="T903"/>
      <c r="U903"/>
      <c r="V903"/>
      <c r="W903"/>
      <c r="X903"/>
      <c r="Y903"/>
    </row>
    <row r="904" spans="13:25" x14ac:dyDescent="0.35">
      <c r="M904"/>
      <c r="N904"/>
      <c r="O904"/>
      <c r="P904"/>
      <c r="Q904"/>
      <c r="R904"/>
      <c r="S904"/>
      <c r="T904"/>
      <c r="U904"/>
      <c r="V904"/>
      <c r="W904"/>
      <c r="X904"/>
      <c r="Y904"/>
    </row>
    <row r="905" spans="13:25" x14ac:dyDescent="0.35">
      <c r="M905"/>
      <c r="N905"/>
      <c r="O905"/>
      <c r="P905"/>
      <c r="Q905"/>
      <c r="R905"/>
      <c r="S905"/>
      <c r="T905"/>
      <c r="U905"/>
      <c r="V905"/>
      <c r="W905"/>
      <c r="X905"/>
      <c r="Y905"/>
    </row>
    <row r="906" spans="13:25" x14ac:dyDescent="0.35">
      <c r="M906"/>
      <c r="N906"/>
      <c r="O906"/>
      <c r="P906"/>
      <c r="Q906"/>
      <c r="R906"/>
      <c r="S906"/>
      <c r="T906"/>
      <c r="U906"/>
      <c r="V906"/>
      <c r="W906"/>
      <c r="X906"/>
      <c r="Y906"/>
    </row>
    <row r="907" spans="13:25" x14ac:dyDescent="0.35">
      <c r="M907"/>
      <c r="N907"/>
      <c r="O907"/>
      <c r="P907"/>
      <c r="Q907"/>
      <c r="R907"/>
      <c r="S907"/>
      <c r="T907"/>
      <c r="U907"/>
      <c r="V907"/>
      <c r="W907"/>
      <c r="X907"/>
      <c r="Y907"/>
    </row>
    <row r="908" spans="13:25" x14ac:dyDescent="0.35">
      <c r="M908"/>
      <c r="N908"/>
      <c r="O908"/>
      <c r="P908"/>
      <c r="Q908"/>
      <c r="R908"/>
      <c r="S908"/>
      <c r="T908"/>
      <c r="U908"/>
      <c r="V908"/>
      <c r="W908"/>
      <c r="X908"/>
      <c r="Y908"/>
    </row>
    <row r="909" spans="13:25" x14ac:dyDescent="0.35">
      <c r="M909"/>
      <c r="N909"/>
      <c r="O909"/>
      <c r="P909"/>
      <c r="Q909"/>
      <c r="R909"/>
      <c r="S909"/>
      <c r="T909"/>
      <c r="U909"/>
      <c r="V909"/>
      <c r="W909"/>
      <c r="X909"/>
      <c r="Y909"/>
    </row>
    <row r="910" spans="13:25" x14ac:dyDescent="0.35">
      <c r="M910"/>
      <c r="N910"/>
      <c r="O910"/>
      <c r="P910"/>
      <c r="Q910"/>
      <c r="R910"/>
      <c r="S910"/>
      <c r="T910"/>
      <c r="U910"/>
      <c r="V910"/>
      <c r="W910"/>
      <c r="X910"/>
      <c r="Y910"/>
    </row>
    <row r="911" spans="13:25" x14ac:dyDescent="0.35">
      <c r="M911"/>
      <c r="N911"/>
      <c r="O911"/>
      <c r="P911"/>
      <c r="Q911"/>
      <c r="R911"/>
      <c r="S911"/>
      <c r="T911"/>
      <c r="U911"/>
      <c r="V911"/>
      <c r="W911"/>
      <c r="X911"/>
      <c r="Y911"/>
    </row>
    <row r="912" spans="13:25" x14ac:dyDescent="0.35">
      <c r="M912"/>
      <c r="N912"/>
      <c r="O912"/>
      <c r="P912"/>
      <c r="Q912"/>
      <c r="R912"/>
      <c r="S912"/>
      <c r="T912"/>
      <c r="U912"/>
      <c r="V912"/>
      <c r="W912"/>
      <c r="X912"/>
      <c r="Y912"/>
    </row>
    <row r="913" spans="13:25" x14ac:dyDescent="0.35">
      <c r="M913"/>
      <c r="N913"/>
      <c r="O913"/>
      <c r="P913"/>
      <c r="Q913"/>
      <c r="R913"/>
      <c r="S913"/>
      <c r="T913"/>
      <c r="U913"/>
      <c r="V913"/>
      <c r="W913"/>
      <c r="X913"/>
      <c r="Y913"/>
    </row>
    <row r="914" spans="13:25" x14ac:dyDescent="0.35">
      <c r="M914"/>
      <c r="N914"/>
      <c r="O914"/>
      <c r="P914"/>
      <c r="Q914"/>
      <c r="R914"/>
      <c r="S914"/>
      <c r="T914"/>
      <c r="U914"/>
      <c r="V914"/>
      <c r="W914"/>
      <c r="X914"/>
      <c r="Y914"/>
    </row>
    <row r="915" spans="13:25" x14ac:dyDescent="0.35">
      <c r="M915"/>
      <c r="N915"/>
      <c r="O915"/>
      <c r="P915"/>
      <c r="Q915"/>
      <c r="R915"/>
      <c r="S915"/>
      <c r="T915"/>
      <c r="U915"/>
      <c r="V915"/>
      <c r="W915"/>
      <c r="X915"/>
      <c r="Y915"/>
    </row>
    <row r="916" spans="13:25" x14ac:dyDescent="0.35">
      <c r="M916"/>
      <c r="N916"/>
      <c r="O916"/>
      <c r="P916"/>
      <c r="Q916"/>
      <c r="R916"/>
      <c r="S916"/>
      <c r="T916"/>
      <c r="U916"/>
      <c r="V916"/>
      <c r="W916"/>
      <c r="X916"/>
      <c r="Y916"/>
    </row>
    <row r="917" spans="13:25" x14ac:dyDescent="0.35">
      <c r="M917"/>
      <c r="N917"/>
      <c r="O917"/>
      <c r="P917"/>
      <c r="Q917"/>
      <c r="R917"/>
      <c r="S917"/>
      <c r="T917"/>
      <c r="U917"/>
      <c r="V917"/>
      <c r="W917"/>
      <c r="X917"/>
      <c r="Y917"/>
    </row>
    <row r="918" spans="13:25" x14ac:dyDescent="0.35">
      <c r="M918"/>
      <c r="N918"/>
      <c r="O918"/>
      <c r="P918"/>
      <c r="Q918"/>
      <c r="R918"/>
      <c r="S918"/>
      <c r="T918"/>
      <c r="U918"/>
      <c r="V918"/>
      <c r="W918"/>
      <c r="X918"/>
      <c r="Y918"/>
    </row>
    <row r="919" spans="13:25" x14ac:dyDescent="0.35">
      <c r="M919"/>
      <c r="N919"/>
      <c r="O919"/>
      <c r="P919"/>
      <c r="Q919"/>
      <c r="R919"/>
      <c r="S919"/>
      <c r="T919"/>
      <c r="U919"/>
      <c r="V919"/>
      <c r="W919"/>
      <c r="X919"/>
      <c r="Y919"/>
    </row>
    <row r="920" spans="13:25" x14ac:dyDescent="0.35">
      <c r="M920"/>
      <c r="N920"/>
      <c r="O920"/>
      <c r="P920"/>
      <c r="Q920"/>
      <c r="R920"/>
      <c r="S920"/>
      <c r="T920"/>
      <c r="U920"/>
      <c r="V920"/>
      <c r="W920"/>
      <c r="X920"/>
      <c r="Y920"/>
    </row>
    <row r="921" spans="13:25" x14ac:dyDescent="0.35">
      <c r="M921"/>
      <c r="N921"/>
      <c r="O921"/>
      <c r="P921"/>
      <c r="Q921"/>
      <c r="R921"/>
      <c r="S921"/>
      <c r="T921"/>
      <c r="U921"/>
      <c r="V921"/>
      <c r="W921"/>
      <c r="X921"/>
      <c r="Y921"/>
    </row>
    <row r="922" spans="13:25" x14ac:dyDescent="0.35">
      <c r="M922"/>
      <c r="N922"/>
      <c r="O922"/>
      <c r="P922"/>
      <c r="Q922"/>
      <c r="R922"/>
      <c r="S922"/>
      <c r="T922"/>
      <c r="U922"/>
      <c r="V922"/>
      <c r="W922"/>
      <c r="X922"/>
      <c r="Y922"/>
    </row>
    <row r="923" spans="13:25" x14ac:dyDescent="0.35">
      <c r="M923"/>
      <c r="N923"/>
      <c r="O923"/>
      <c r="P923"/>
      <c r="Q923"/>
      <c r="R923"/>
      <c r="S923"/>
      <c r="T923"/>
      <c r="U923"/>
      <c r="V923"/>
      <c r="W923"/>
      <c r="X923"/>
      <c r="Y923"/>
    </row>
    <row r="924" spans="13:25" x14ac:dyDescent="0.35">
      <c r="M924"/>
      <c r="N924"/>
      <c r="O924"/>
      <c r="P924"/>
      <c r="Q924"/>
      <c r="R924"/>
      <c r="S924"/>
      <c r="T924"/>
      <c r="U924"/>
      <c r="V924"/>
      <c r="W924"/>
      <c r="X924"/>
      <c r="Y924"/>
    </row>
    <row r="925" spans="13:25" x14ac:dyDescent="0.35">
      <c r="M925"/>
      <c r="N925"/>
      <c r="O925"/>
      <c r="P925"/>
      <c r="Q925"/>
      <c r="R925"/>
      <c r="S925"/>
      <c r="T925"/>
      <c r="U925"/>
      <c r="V925"/>
      <c r="W925"/>
      <c r="X925"/>
      <c r="Y925"/>
    </row>
    <row r="926" spans="13:25" x14ac:dyDescent="0.35">
      <c r="M926"/>
      <c r="N926"/>
      <c r="O926"/>
      <c r="P926"/>
      <c r="Q926"/>
      <c r="R926"/>
      <c r="S926"/>
      <c r="T926"/>
      <c r="U926"/>
      <c r="V926"/>
      <c r="W926"/>
      <c r="X926"/>
      <c r="Y926"/>
    </row>
    <row r="927" spans="13:25" x14ac:dyDescent="0.35">
      <c r="M927"/>
      <c r="N927"/>
      <c r="O927"/>
      <c r="P927"/>
      <c r="Q927"/>
      <c r="R927"/>
      <c r="S927"/>
      <c r="T927"/>
      <c r="U927"/>
      <c r="V927"/>
      <c r="W927"/>
      <c r="X927"/>
      <c r="Y927"/>
    </row>
    <row r="928" spans="13:25" x14ac:dyDescent="0.35">
      <c r="M928"/>
      <c r="N928"/>
      <c r="O928"/>
      <c r="P928"/>
      <c r="Q928"/>
      <c r="R928"/>
      <c r="S928"/>
      <c r="T928"/>
      <c r="U928"/>
      <c r="V928"/>
      <c r="W928"/>
      <c r="X928"/>
      <c r="Y928"/>
    </row>
    <row r="929" spans="13:25" x14ac:dyDescent="0.35">
      <c r="M929"/>
      <c r="N929"/>
      <c r="O929"/>
      <c r="P929"/>
      <c r="Q929"/>
      <c r="R929"/>
      <c r="S929"/>
      <c r="T929"/>
      <c r="U929"/>
      <c r="V929"/>
      <c r="W929"/>
      <c r="X929"/>
      <c r="Y929"/>
    </row>
    <row r="930" spans="13:25" x14ac:dyDescent="0.35">
      <c r="M930"/>
      <c r="N930"/>
      <c r="O930"/>
      <c r="P930"/>
      <c r="Q930"/>
      <c r="R930"/>
      <c r="S930"/>
      <c r="T930"/>
      <c r="U930"/>
      <c r="V930"/>
      <c r="W930"/>
      <c r="X930"/>
      <c r="Y930"/>
    </row>
    <row r="931" spans="13:25" x14ac:dyDescent="0.35">
      <c r="M931"/>
      <c r="N931"/>
      <c r="O931"/>
      <c r="P931"/>
      <c r="Q931"/>
      <c r="R931"/>
      <c r="S931"/>
      <c r="T931"/>
      <c r="U931"/>
      <c r="V931"/>
      <c r="W931"/>
      <c r="X931"/>
      <c r="Y931"/>
    </row>
    <row r="932" spans="13:25" x14ac:dyDescent="0.35">
      <c r="M932"/>
      <c r="N932"/>
      <c r="O932"/>
      <c r="P932"/>
      <c r="Q932"/>
      <c r="R932"/>
      <c r="S932"/>
      <c r="T932"/>
      <c r="U932"/>
      <c r="V932"/>
      <c r="W932"/>
      <c r="X932"/>
      <c r="Y932"/>
    </row>
    <row r="933" spans="13:25" x14ac:dyDescent="0.35">
      <c r="M933"/>
      <c r="N933"/>
      <c r="O933"/>
      <c r="P933"/>
      <c r="Q933"/>
      <c r="R933"/>
      <c r="S933"/>
      <c r="T933"/>
      <c r="U933"/>
      <c r="V933"/>
      <c r="W933"/>
      <c r="X933"/>
      <c r="Y933"/>
    </row>
    <row r="934" spans="13:25" x14ac:dyDescent="0.35">
      <c r="M934"/>
      <c r="N934"/>
      <c r="O934"/>
      <c r="P934"/>
      <c r="Q934"/>
      <c r="R934"/>
      <c r="S934"/>
      <c r="T934"/>
      <c r="U934"/>
      <c r="V934"/>
      <c r="W934"/>
      <c r="X934"/>
      <c r="Y934"/>
    </row>
    <row r="935" spans="13:25" x14ac:dyDescent="0.35">
      <c r="M935"/>
      <c r="N935"/>
      <c r="O935"/>
      <c r="P935"/>
      <c r="Q935"/>
      <c r="R935"/>
      <c r="S935"/>
      <c r="T935"/>
      <c r="U935"/>
      <c r="V935"/>
      <c r="W935"/>
      <c r="X935"/>
      <c r="Y935"/>
    </row>
    <row r="936" spans="13:25" x14ac:dyDescent="0.35">
      <c r="M936"/>
      <c r="N936"/>
      <c r="O936"/>
      <c r="P936"/>
      <c r="Q936"/>
      <c r="R936"/>
      <c r="S936"/>
      <c r="T936"/>
      <c r="U936"/>
      <c r="V936"/>
      <c r="W936"/>
      <c r="X936"/>
      <c r="Y936"/>
    </row>
    <row r="937" spans="13:25" x14ac:dyDescent="0.35">
      <c r="M937"/>
      <c r="N937"/>
      <c r="O937"/>
      <c r="P937"/>
      <c r="Q937"/>
      <c r="R937"/>
      <c r="S937"/>
      <c r="T937"/>
      <c r="U937"/>
      <c r="V937"/>
      <c r="W937"/>
      <c r="X937"/>
      <c r="Y937"/>
    </row>
    <row r="938" spans="13:25" x14ac:dyDescent="0.35">
      <c r="M938"/>
      <c r="N938"/>
      <c r="O938"/>
      <c r="P938"/>
      <c r="Q938"/>
      <c r="R938"/>
      <c r="S938"/>
      <c r="T938"/>
      <c r="U938"/>
      <c r="V938"/>
      <c r="W938"/>
      <c r="X938"/>
      <c r="Y938"/>
    </row>
    <row r="939" spans="13:25" x14ac:dyDescent="0.35">
      <c r="M939"/>
      <c r="N939"/>
      <c r="O939"/>
      <c r="P939"/>
      <c r="Q939"/>
      <c r="R939"/>
      <c r="S939"/>
      <c r="T939"/>
      <c r="U939"/>
      <c r="V939"/>
      <c r="W939"/>
      <c r="X939"/>
      <c r="Y939"/>
    </row>
    <row r="940" spans="13:25" x14ac:dyDescent="0.35">
      <c r="M940"/>
      <c r="N940"/>
      <c r="O940"/>
      <c r="P940"/>
      <c r="Q940"/>
      <c r="R940"/>
      <c r="S940"/>
      <c r="T940"/>
      <c r="U940"/>
      <c r="V940"/>
      <c r="W940"/>
      <c r="X940"/>
      <c r="Y940"/>
    </row>
    <row r="941" spans="13:25" x14ac:dyDescent="0.35">
      <c r="M941"/>
      <c r="N941"/>
      <c r="O941"/>
      <c r="P941"/>
      <c r="Q941"/>
      <c r="R941"/>
      <c r="S941"/>
      <c r="T941"/>
      <c r="U941"/>
      <c r="V941"/>
      <c r="W941"/>
      <c r="X941"/>
      <c r="Y941"/>
    </row>
    <row r="942" spans="13:25" x14ac:dyDescent="0.35">
      <c r="M942"/>
      <c r="N942"/>
      <c r="O942"/>
      <c r="P942"/>
      <c r="Q942"/>
      <c r="R942"/>
      <c r="S942"/>
      <c r="T942"/>
      <c r="U942"/>
      <c r="V942"/>
      <c r="W942"/>
      <c r="X942"/>
      <c r="Y942"/>
    </row>
    <row r="943" spans="13:25" x14ac:dyDescent="0.35">
      <c r="M943"/>
      <c r="N943"/>
      <c r="O943"/>
      <c r="P943"/>
      <c r="Q943"/>
      <c r="R943"/>
      <c r="S943"/>
      <c r="T943"/>
      <c r="U943"/>
      <c r="V943"/>
      <c r="W943"/>
      <c r="X943"/>
      <c r="Y943"/>
    </row>
    <row r="944" spans="13:25" x14ac:dyDescent="0.35">
      <c r="M944"/>
      <c r="N944"/>
      <c r="O944"/>
      <c r="P944"/>
      <c r="Q944"/>
      <c r="R944"/>
      <c r="S944"/>
      <c r="T944"/>
      <c r="U944"/>
      <c r="V944"/>
      <c r="W944"/>
      <c r="X944"/>
      <c r="Y944"/>
    </row>
    <row r="945" spans="13:25" x14ac:dyDescent="0.35">
      <c r="M945"/>
      <c r="N945"/>
      <c r="O945"/>
      <c r="P945"/>
      <c r="Q945"/>
      <c r="R945"/>
      <c r="S945"/>
      <c r="T945"/>
      <c r="U945"/>
      <c r="V945"/>
      <c r="W945"/>
      <c r="X945"/>
      <c r="Y945"/>
    </row>
    <row r="946" spans="13:25" x14ac:dyDescent="0.35">
      <c r="M946"/>
      <c r="N946"/>
      <c r="O946"/>
      <c r="P946"/>
      <c r="Q946"/>
      <c r="R946"/>
      <c r="S946"/>
      <c r="T946"/>
      <c r="U946"/>
      <c r="V946"/>
      <c r="W946"/>
      <c r="X946"/>
      <c r="Y946"/>
    </row>
    <row r="947" spans="13:25" x14ac:dyDescent="0.35">
      <c r="M947"/>
      <c r="N947"/>
      <c r="O947"/>
      <c r="P947"/>
      <c r="Q947"/>
      <c r="R947"/>
      <c r="S947"/>
      <c r="T947"/>
      <c r="U947"/>
      <c r="V947"/>
      <c r="W947"/>
      <c r="X947"/>
      <c r="Y947"/>
    </row>
    <row r="948" spans="13:25" x14ac:dyDescent="0.35">
      <c r="M948"/>
      <c r="N948"/>
      <c r="O948"/>
      <c r="P948"/>
      <c r="Q948"/>
      <c r="R948"/>
      <c r="S948"/>
      <c r="T948"/>
      <c r="U948"/>
      <c r="V948"/>
      <c r="W948"/>
      <c r="X948"/>
      <c r="Y948"/>
    </row>
    <row r="949" spans="13:25" x14ac:dyDescent="0.35">
      <c r="M949"/>
      <c r="N949"/>
      <c r="O949"/>
      <c r="P949"/>
      <c r="Q949"/>
      <c r="R949"/>
      <c r="S949"/>
      <c r="T949"/>
      <c r="U949"/>
      <c r="V949"/>
      <c r="W949"/>
      <c r="X949"/>
      <c r="Y949"/>
    </row>
    <row r="950" spans="13:25" x14ac:dyDescent="0.35">
      <c r="M950"/>
      <c r="N950"/>
      <c r="O950"/>
      <c r="P950"/>
      <c r="Q950"/>
      <c r="R950"/>
      <c r="S950"/>
      <c r="T950"/>
      <c r="U950"/>
      <c r="V950"/>
      <c r="W950"/>
      <c r="X950"/>
      <c r="Y950"/>
    </row>
    <row r="951" spans="13:25" x14ac:dyDescent="0.35">
      <c r="M951"/>
      <c r="N951"/>
      <c r="O951"/>
      <c r="P951"/>
      <c r="Q951"/>
      <c r="R951"/>
      <c r="S951"/>
      <c r="T951"/>
      <c r="U951"/>
      <c r="V951"/>
      <c r="W951"/>
      <c r="X951"/>
      <c r="Y951"/>
    </row>
    <row r="952" spans="13:25" x14ac:dyDescent="0.35">
      <c r="M952"/>
      <c r="N952"/>
      <c r="O952"/>
      <c r="P952"/>
      <c r="Q952"/>
      <c r="R952"/>
      <c r="S952"/>
      <c r="T952"/>
      <c r="U952"/>
      <c r="V952"/>
      <c r="W952"/>
      <c r="X952"/>
      <c r="Y952"/>
    </row>
    <row r="953" spans="13:25" x14ac:dyDescent="0.35">
      <c r="M953"/>
      <c r="N953"/>
      <c r="O953"/>
      <c r="P953"/>
      <c r="Q953"/>
      <c r="R953"/>
      <c r="S953"/>
      <c r="T953"/>
      <c r="U953"/>
      <c r="V953"/>
      <c r="W953"/>
      <c r="X953"/>
      <c r="Y953"/>
    </row>
    <row r="954" spans="13:25" x14ac:dyDescent="0.35">
      <c r="M954"/>
      <c r="N954"/>
      <c r="O954"/>
      <c r="P954"/>
      <c r="Q954"/>
      <c r="R954"/>
      <c r="S954"/>
      <c r="T954"/>
      <c r="U954"/>
      <c r="V954"/>
      <c r="W954"/>
      <c r="X954"/>
      <c r="Y954"/>
    </row>
    <row r="955" spans="13:25" x14ac:dyDescent="0.35">
      <c r="M955"/>
      <c r="N955"/>
      <c r="O955"/>
      <c r="P955"/>
      <c r="Q955"/>
      <c r="R955"/>
      <c r="S955"/>
      <c r="T955"/>
      <c r="U955"/>
      <c r="V955"/>
      <c r="W955"/>
      <c r="X955"/>
      <c r="Y955"/>
    </row>
    <row r="956" spans="13:25" x14ac:dyDescent="0.35">
      <c r="M956"/>
      <c r="N956"/>
      <c r="O956"/>
      <c r="P956"/>
      <c r="Q956"/>
      <c r="R956"/>
      <c r="S956"/>
      <c r="T956"/>
      <c r="U956"/>
      <c r="V956"/>
      <c r="W956"/>
      <c r="X956"/>
      <c r="Y956"/>
    </row>
    <row r="957" spans="13:25" x14ac:dyDescent="0.35">
      <c r="M957"/>
      <c r="N957"/>
      <c r="O957"/>
      <c r="P957"/>
      <c r="Q957"/>
      <c r="R957"/>
      <c r="S957"/>
      <c r="T957"/>
      <c r="U957"/>
      <c r="V957"/>
      <c r="W957"/>
      <c r="X957"/>
      <c r="Y957"/>
    </row>
    <row r="958" spans="13:25" x14ac:dyDescent="0.35">
      <c r="M958"/>
      <c r="N958"/>
      <c r="O958"/>
      <c r="P958"/>
      <c r="Q958"/>
      <c r="R958"/>
      <c r="S958"/>
      <c r="T958"/>
      <c r="U958"/>
      <c r="V958"/>
      <c r="W958"/>
      <c r="X958"/>
      <c r="Y958"/>
    </row>
    <row r="959" spans="13:25" x14ac:dyDescent="0.35">
      <c r="M959"/>
      <c r="N959"/>
      <c r="O959"/>
      <c r="P959"/>
      <c r="Q959"/>
      <c r="R959"/>
      <c r="S959"/>
      <c r="T959"/>
      <c r="U959"/>
      <c r="V959"/>
      <c r="W959"/>
      <c r="X959"/>
      <c r="Y959"/>
    </row>
    <row r="960" spans="13:25" x14ac:dyDescent="0.35">
      <c r="M960"/>
      <c r="N960"/>
      <c r="O960"/>
      <c r="P960"/>
      <c r="Q960"/>
      <c r="R960"/>
      <c r="S960"/>
      <c r="T960"/>
      <c r="U960"/>
      <c r="V960"/>
      <c r="W960"/>
      <c r="X960"/>
      <c r="Y960"/>
    </row>
    <row r="961" spans="13:25" x14ac:dyDescent="0.35">
      <c r="M961"/>
      <c r="N961"/>
      <c r="O961"/>
      <c r="P961"/>
      <c r="Q961"/>
      <c r="R961"/>
      <c r="S961"/>
      <c r="T961"/>
      <c r="U961"/>
      <c r="V961"/>
      <c r="W961"/>
      <c r="X961"/>
      <c r="Y961"/>
    </row>
    <row r="962" spans="13:25" x14ac:dyDescent="0.35">
      <c r="M962"/>
      <c r="N962"/>
      <c r="O962"/>
      <c r="P962"/>
      <c r="Q962"/>
      <c r="R962"/>
      <c r="S962"/>
      <c r="T962"/>
      <c r="U962"/>
      <c r="V962"/>
      <c r="W962"/>
      <c r="X962"/>
      <c r="Y962"/>
    </row>
    <row r="963" spans="13:25" x14ac:dyDescent="0.35">
      <c r="M963"/>
      <c r="N963"/>
      <c r="O963"/>
      <c r="P963"/>
      <c r="Q963"/>
      <c r="R963"/>
      <c r="S963"/>
      <c r="T963"/>
      <c r="U963"/>
      <c r="V963"/>
      <c r="W963"/>
      <c r="X963"/>
      <c r="Y963"/>
    </row>
    <row r="964" spans="13:25" x14ac:dyDescent="0.35">
      <c r="M964"/>
      <c r="N964"/>
      <c r="O964"/>
      <c r="P964"/>
      <c r="Q964"/>
      <c r="R964"/>
      <c r="S964"/>
      <c r="T964"/>
      <c r="U964"/>
      <c r="V964"/>
      <c r="W964"/>
      <c r="X964"/>
      <c r="Y964"/>
    </row>
    <row r="965" spans="13:25" x14ac:dyDescent="0.35">
      <c r="M965"/>
      <c r="N965"/>
      <c r="O965"/>
      <c r="P965"/>
      <c r="Q965"/>
      <c r="R965"/>
      <c r="S965"/>
      <c r="T965"/>
      <c r="U965"/>
      <c r="V965"/>
      <c r="W965"/>
      <c r="X965"/>
      <c r="Y965"/>
    </row>
    <row r="966" spans="13:25" x14ac:dyDescent="0.35">
      <c r="M966"/>
      <c r="N966"/>
      <c r="O966"/>
      <c r="P966"/>
      <c r="Q966"/>
      <c r="R966"/>
      <c r="S966"/>
      <c r="T966"/>
      <c r="U966"/>
      <c r="V966"/>
      <c r="W966"/>
      <c r="X966"/>
      <c r="Y966"/>
    </row>
    <row r="967" spans="13:25" x14ac:dyDescent="0.35">
      <c r="M967"/>
      <c r="N967"/>
      <c r="O967"/>
      <c r="P967"/>
      <c r="Q967"/>
      <c r="R967"/>
      <c r="S967"/>
      <c r="T967"/>
      <c r="U967"/>
      <c r="V967"/>
      <c r="W967"/>
      <c r="X967"/>
      <c r="Y967"/>
    </row>
    <row r="968" spans="13:25" x14ac:dyDescent="0.35">
      <c r="M968"/>
      <c r="N968"/>
      <c r="O968"/>
      <c r="P968"/>
      <c r="Q968"/>
      <c r="R968"/>
      <c r="S968"/>
      <c r="T968"/>
      <c r="U968"/>
      <c r="V968"/>
      <c r="W968"/>
      <c r="X968"/>
      <c r="Y968"/>
    </row>
    <row r="969" spans="13:25" x14ac:dyDescent="0.35">
      <c r="M969"/>
      <c r="N969"/>
      <c r="O969"/>
      <c r="P969"/>
      <c r="Q969"/>
      <c r="R969"/>
      <c r="S969"/>
      <c r="T969"/>
      <c r="U969"/>
      <c r="V969"/>
      <c r="W969"/>
      <c r="X969"/>
      <c r="Y969"/>
    </row>
    <row r="970" spans="13:25" x14ac:dyDescent="0.35">
      <c r="M970"/>
      <c r="N970"/>
      <c r="O970"/>
      <c r="P970"/>
      <c r="Q970"/>
      <c r="R970"/>
      <c r="S970"/>
      <c r="T970"/>
      <c r="U970"/>
      <c r="V970"/>
      <c r="W970"/>
      <c r="X970"/>
      <c r="Y970"/>
    </row>
    <row r="971" spans="13:25" x14ac:dyDescent="0.35">
      <c r="M971"/>
      <c r="N971"/>
      <c r="O971"/>
      <c r="P971"/>
      <c r="Q971"/>
      <c r="R971"/>
      <c r="S971"/>
      <c r="T971"/>
      <c r="U971"/>
      <c r="V971"/>
      <c r="W971"/>
      <c r="X971"/>
      <c r="Y971"/>
    </row>
    <row r="972" spans="13:25" x14ac:dyDescent="0.35">
      <c r="M972"/>
      <c r="N972"/>
      <c r="O972"/>
      <c r="P972"/>
      <c r="Q972"/>
      <c r="R972"/>
      <c r="S972"/>
      <c r="T972"/>
      <c r="U972"/>
      <c r="V972"/>
      <c r="W972"/>
      <c r="X972"/>
      <c r="Y972"/>
    </row>
    <row r="973" spans="13:25" x14ac:dyDescent="0.35">
      <c r="M973"/>
      <c r="N973"/>
      <c r="O973"/>
      <c r="P973"/>
      <c r="Q973"/>
      <c r="R973"/>
      <c r="S973"/>
      <c r="T973"/>
      <c r="U973"/>
      <c r="V973"/>
      <c r="W973"/>
      <c r="X973"/>
      <c r="Y973"/>
    </row>
    <row r="974" spans="13:25" x14ac:dyDescent="0.35">
      <c r="M974"/>
      <c r="N974"/>
      <c r="O974"/>
      <c r="P974"/>
      <c r="Q974"/>
      <c r="R974"/>
      <c r="S974"/>
      <c r="T974"/>
      <c r="U974"/>
      <c r="V974"/>
      <c r="W974"/>
      <c r="X974"/>
      <c r="Y974"/>
    </row>
    <row r="975" spans="13:25" x14ac:dyDescent="0.35">
      <c r="M975"/>
      <c r="N975"/>
      <c r="O975"/>
      <c r="P975"/>
      <c r="Q975"/>
      <c r="R975"/>
      <c r="S975"/>
      <c r="T975"/>
      <c r="U975"/>
      <c r="V975"/>
      <c r="W975"/>
      <c r="X975"/>
      <c r="Y975"/>
    </row>
    <row r="976" spans="13:25" x14ac:dyDescent="0.35">
      <c r="M976"/>
      <c r="N976"/>
      <c r="O976"/>
      <c r="P976"/>
      <c r="Q976"/>
      <c r="R976"/>
      <c r="S976"/>
      <c r="T976"/>
      <c r="U976"/>
      <c r="V976"/>
      <c r="W976"/>
      <c r="X976"/>
      <c r="Y976"/>
    </row>
    <row r="977" spans="13:25" x14ac:dyDescent="0.35">
      <c r="M977"/>
      <c r="N977"/>
      <c r="O977"/>
      <c r="P977"/>
      <c r="Q977"/>
      <c r="R977"/>
      <c r="S977"/>
      <c r="T977"/>
      <c r="U977"/>
      <c r="V977"/>
      <c r="W977"/>
      <c r="X977"/>
      <c r="Y977"/>
    </row>
    <row r="978" spans="13:25" x14ac:dyDescent="0.35">
      <c r="M978"/>
      <c r="N978"/>
      <c r="O978"/>
      <c r="P978"/>
      <c r="Q978"/>
      <c r="R978"/>
      <c r="S978"/>
      <c r="T978"/>
      <c r="U978"/>
      <c r="V978"/>
      <c r="W978"/>
      <c r="X978"/>
      <c r="Y978"/>
    </row>
    <row r="979" spans="13:25" x14ac:dyDescent="0.35">
      <c r="M979"/>
      <c r="N979"/>
      <c r="O979"/>
      <c r="P979"/>
      <c r="Q979"/>
      <c r="R979"/>
      <c r="S979"/>
      <c r="T979"/>
      <c r="U979"/>
      <c r="V979"/>
      <c r="W979"/>
      <c r="X979"/>
      <c r="Y979"/>
    </row>
    <row r="980" spans="13:25" x14ac:dyDescent="0.35">
      <c r="M980"/>
      <c r="N980"/>
      <c r="O980"/>
      <c r="P980"/>
      <c r="Q980"/>
      <c r="R980"/>
      <c r="S980"/>
      <c r="T980"/>
      <c r="U980"/>
      <c r="V980"/>
      <c r="W980"/>
      <c r="X980"/>
      <c r="Y980"/>
    </row>
    <row r="981" spans="13:25" x14ac:dyDescent="0.35">
      <c r="M981"/>
      <c r="N981"/>
      <c r="O981"/>
      <c r="P981"/>
      <c r="Q981"/>
      <c r="R981"/>
      <c r="S981"/>
      <c r="T981"/>
      <c r="U981"/>
      <c r="V981"/>
      <c r="W981"/>
      <c r="X981"/>
      <c r="Y981"/>
    </row>
    <row r="982" spans="13:25" x14ac:dyDescent="0.35">
      <c r="M982"/>
      <c r="N982"/>
      <c r="O982"/>
      <c r="P982"/>
      <c r="Q982"/>
      <c r="R982"/>
      <c r="S982"/>
      <c r="T982"/>
      <c r="U982"/>
      <c r="V982"/>
      <c r="W982"/>
      <c r="X982"/>
      <c r="Y982"/>
    </row>
    <row r="983" spans="13:25" x14ac:dyDescent="0.35">
      <c r="M983"/>
      <c r="N983"/>
      <c r="O983"/>
      <c r="P983"/>
      <c r="Q983"/>
      <c r="R983"/>
      <c r="S983"/>
      <c r="T983"/>
      <c r="U983"/>
      <c r="V983"/>
      <c r="W983"/>
      <c r="X983"/>
      <c r="Y983"/>
    </row>
    <row r="984" spans="13:25" x14ac:dyDescent="0.35">
      <c r="M984"/>
      <c r="N984"/>
      <c r="O984"/>
      <c r="P984"/>
      <c r="Q984"/>
      <c r="R984"/>
      <c r="S984"/>
      <c r="T984"/>
      <c r="U984"/>
      <c r="V984"/>
      <c r="W984"/>
      <c r="X984"/>
      <c r="Y984"/>
    </row>
    <row r="985" spans="13:25" x14ac:dyDescent="0.35">
      <c r="M985"/>
      <c r="N985"/>
      <c r="O985"/>
      <c r="P985"/>
      <c r="Q985"/>
      <c r="R985"/>
      <c r="S985"/>
      <c r="T985"/>
      <c r="U985"/>
      <c r="V985"/>
      <c r="W985"/>
      <c r="X985"/>
      <c r="Y985"/>
    </row>
    <row r="986" spans="13:25" x14ac:dyDescent="0.35">
      <c r="M986"/>
      <c r="N986"/>
      <c r="O986"/>
      <c r="P986"/>
      <c r="Q986"/>
      <c r="R986"/>
      <c r="S986"/>
      <c r="T986"/>
      <c r="U986"/>
      <c r="V986"/>
      <c r="W986"/>
      <c r="X986"/>
      <c r="Y986"/>
    </row>
    <row r="987" spans="13:25" x14ac:dyDescent="0.35">
      <c r="M987"/>
      <c r="N987"/>
      <c r="O987"/>
      <c r="P987"/>
      <c r="Q987"/>
      <c r="R987"/>
      <c r="S987"/>
      <c r="T987"/>
      <c r="U987"/>
      <c r="V987"/>
      <c r="W987"/>
      <c r="X987"/>
      <c r="Y987"/>
    </row>
    <row r="988" spans="13:25" x14ac:dyDescent="0.35">
      <c r="M988"/>
      <c r="N988"/>
      <c r="O988"/>
      <c r="P988"/>
      <c r="Q988"/>
      <c r="R988"/>
      <c r="S988"/>
      <c r="T988"/>
      <c r="U988"/>
      <c r="V988"/>
      <c r="W988"/>
      <c r="X988"/>
      <c r="Y988"/>
    </row>
    <row r="989" spans="13:25" x14ac:dyDescent="0.35">
      <c r="M989"/>
      <c r="N989"/>
      <c r="O989"/>
      <c r="P989"/>
      <c r="Q989"/>
      <c r="R989"/>
      <c r="S989"/>
      <c r="T989"/>
      <c r="U989"/>
      <c r="V989"/>
      <c r="W989"/>
      <c r="X989"/>
      <c r="Y989"/>
    </row>
    <row r="990" spans="13:25" x14ac:dyDescent="0.35">
      <c r="M990"/>
      <c r="N990"/>
      <c r="O990"/>
      <c r="P990"/>
      <c r="Q990"/>
      <c r="R990"/>
      <c r="S990"/>
      <c r="T990"/>
      <c r="U990"/>
      <c r="V990"/>
      <c r="W990"/>
      <c r="X990"/>
      <c r="Y990"/>
    </row>
    <row r="991" spans="13:25" x14ac:dyDescent="0.35">
      <c r="M991"/>
      <c r="N991"/>
      <c r="O991"/>
      <c r="P991"/>
      <c r="Q991"/>
      <c r="R991"/>
      <c r="S991"/>
      <c r="T991"/>
      <c r="U991"/>
      <c r="V991"/>
      <c r="W991"/>
      <c r="X991"/>
      <c r="Y991"/>
    </row>
    <row r="992" spans="13:25" x14ac:dyDescent="0.35">
      <c r="M992"/>
      <c r="N992"/>
      <c r="O992"/>
      <c r="P992"/>
      <c r="Q992"/>
      <c r="R992"/>
      <c r="S992"/>
      <c r="T992"/>
      <c r="U992"/>
      <c r="V992"/>
      <c r="W992"/>
      <c r="X992"/>
      <c r="Y992"/>
    </row>
    <row r="993" spans="13:25" x14ac:dyDescent="0.35">
      <c r="M993"/>
      <c r="N993"/>
      <c r="O993"/>
      <c r="P993"/>
      <c r="Q993"/>
      <c r="R993"/>
      <c r="S993"/>
      <c r="T993"/>
      <c r="U993"/>
      <c r="V993"/>
      <c r="W993"/>
      <c r="X993"/>
      <c r="Y993"/>
    </row>
    <row r="994" spans="13:25" x14ac:dyDescent="0.35">
      <c r="M994"/>
      <c r="N994"/>
      <c r="O994"/>
      <c r="P994"/>
      <c r="Q994"/>
      <c r="R994"/>
      <c r="S994"/>
      <c r="T994"/>
      <c r="U994"/>
      <c r="V994"/>
      <c r="W994"/>
      <c r="X994"/>
      <c r="Y994"/>
    </row>
    <row r="995" spans="13:25" x14ac:dyDescent="0.35">
      <c r="M995"/>
      <c r="N995"/>
      <c r="O995"/>
      <c r="P995"/>
      <c r="Q995"/>
      <c r="R995"/>
      <c r="S995"/>
      <c r="T995"/>
      <c r="U995"/>
      <c r="V995"/>
      <c r="W995"/>
      <c r="X995"/>
      <c r="Y995"/>
    </row>
    <row r="996" spans="13:25" x14ac:dyDescent="0.35">
      <c r="M996"/>
      <c r="N996"/>
      <c r="O996"/>
      <c r="P996"/>
      <c r="Q996"/>
      <c r="R996"/>
      <c r="S996"/>
      <c r="T996"/>
      <c r="U996"/>
      <c r="V996"/>
      <c r="W996"/>
      <c r="X996"/>
      <c r="Y996"/>
    </row>
    <row r="997" spans="13:25" x14ac:dyDescent="0.35">
      <c r="M997"/>
      <c r="N997"/>
      <c r="O997"/>
      <c r="P997"/>
      <c r="Q997"/>
      <c r="R997"/>
      <c r="S997"/>
      <c r="T997"/>
      <c r="U997"/>
      <c r="V997"/>
      <c r="W997"/>
      <c r="X997"/>
      <c r="Y997"/>
    </row>
    <row r="998" spans="13:25" x14ac:dyDescent="0.35">
      <c r="M998"/>
      <c r="N998"/>
      <c r="O998"/>
      <c r="P998"/>
      <c r="Q998"/>
      <c r="R998"/>
      <c r="S998"/>
      <c r="T998"/>
      <c r="U998"/>
      <c r="V998"/>
      <c r="W998"/>
      <c r="X998"/>
      <c r="Y998"/>
    </row>
    <row r="999" spans="13:25" x14ac:dyDescent="0.35">
      <c r="M999"/>
      <c r="N999"/>
      <c r="O999"/>
      <c r="P999"/>
      <c r="Q999"/>
      <c r="R999"/>
      <c r="S999"/>
      <c r="T999"/>
      <c r="U999"/>
      <c r="V999"/>
      <c r="W999"/>
      <c r="X999"/>
      <c r="Y999"/>
    </row>
    <row r="1000" spans="13:25" x14ac:dyDescent="0.35">
      <c r="M1000"/>
      <c r="N1000"/>
      <c r="O1000"/>
      <c r="P1000"/>
      <c r="Q1000"/>
      <c r="R1000"/>
      <c r="S1000"/>
      <c r="T1000"/>
      <c r="U1000"/>
      <c r="V1000"/>
      <c r="W1000"/>
      <c r="X1000"/>
      <c r="Y1000"/>
    </row>
    <row r="1001" spans="13:25" x14ac:dyDescent="0.35">
      <c r="M1001"/>
      <c r="N1001"/>
      <c r="O1001"/>
      <c r="P1001"/>
      <c r="Q1001"/>
      <c r="R1001"/>
      <c r="S1001"/>
      <c r="T1001"/>
      <c r="U1001"/>
      <c r="V1001"/>
      <c r="W1001"/>
      <c r="X1001"/>
      <c r="Y1001"/>
    </row>
    <row r="1002" spans="13:25" x14ac:dyDescent="0.35">
      <c r="M1002"/>
      <c r="N1002"/>
      <c r="O1002"/>
      <c r="P1002"/>
      <c r="Q1002"/>
      <c r="R1002"/>
      <c r="S1002"/>
      <c r="T1002"/>
      <c r="U1002"/>
      <c r="V1002"/>
      <c r="W1002"/>
      <c r="X1002"/>
      <c r="Y1002"/>
    </row>
    <row r="1003" spans="13:25" x14ac:dyDescent="0.35">
      <c r="M1003"/>
      <c r="N1003"/>
      <c r="O1003"/>
      <c r="P1003"/>
      <c r="Q1003"/>
      <c r="R1003"/>
      <c r="S1003"/>
      <c r="T1003"/>
      <c r="U1003"/>
      <c r="V1003"/>
      <c r="W1003"/>
      <c r="X1003"/>
      <c r="Y1003"/>
    </row>
    <row r="1004" spans="13:25" x14ac:dyDescent="0.35">
      <c r="M1004"/>
      <c r="N1004"/>
      <c r="O1004"/>
      <c r="P1004"/>
      <c r="Q1004"/>
      <c r="R1004"/>
      <c r="S1004"/>
      <c r="T1004"/>
      <c r="U1004"/>
      <c r="V1004"/>
      <c r="W1004"/>
      <c r="X1004"/>
      <c r="Y1004"/>
    </row>
    <row r="1005" spans="13:25" x14ac:dyDescent="0.35">
      <c r="M1005"/>
      <c r="N1005"/>
      <c r="O1005"/>
      <c r="P1005"/>
      <c r="Q1005"/>
      <c r="R1005"/>
      <c r="S1005"/>
      <c r="T1005"/>
      <c r="U1005"/>
      <c r="V1005"/>
      <c r="W1005"/>
      <c r="X1005"/>
      <c r="Y1005"/>
    </row>
    <row r="1006" spans="13:25" x14ac:dyDescent="0.35">
      <c r="M1006"/>
      <c r="N1006"/>
      <c r="O1006"/>
      <c r="P1006"/>
      <c r="Q1006"/>
      <c r="R1006"/>
      <c r="S1006"/>
      <c r="T1006"/>
      <c r="U1006"/>
      <c r="V1006"/>
      <c r="W1006"/>
      <c r="X1006"/>
      <c r="Y1006"/>
    </row>
    <row r="1007" spans="13:25" x14ac:dyDescent="0.35">
      <c r="M1007"/>
      <c r="N1007"/>
      <c r="O1007"/>
      <c r="P1007"/>
      <c r="Q1007"/>
      <c r="R1007"/>
      <c r="S1007"/>
      <c r="T1007"/>
      <c r="U1007"/>
      <c r="V1007"/>
      <c r="W1007"/>
      <c r="X1007"/>
      <c r="Y1007"/>
    </row>
    <row r="1008" spans="13:25" x14ac:dyDescent="0.35">
      <c r="M1008"/>
      <c r="N1008"/>
      <c r="O1008"/>
      <c r="P1008"/>
      <c r="Q1008"/>
      <c r="R1008"/>
      <c r="S1008"/>
      <c r="T1008"/>
      <c r="U1008"/>
      <c r="V1008"/>
      <c r="W1008"/>
      <c r="X1008"/>
      <c r="Y1008"/>
    </row>
    <row r="1009" spans="13:25" x14ac:dyDescent="0.35">
      <c r="M1009"/>
      <c r="N1009"/>
      <c r="O1009"/>
      <c r="P1009"/>
      <c r="Q1009"/>
      <c r="R1009"/>
      <c r="S1009"/>
      <c r="T1009"/>
      <c r="U1009"/>
      <c r="V1009"/>
      <c r="W1009"/>
      <c r="X1009"/>
      <c r="Y1009"/>
    </row>
    <row r="1010" spans="13:25" x14ac:dyDescent="0.35">
      <c r="M1010"/>
      <c r="N1010"/>
      <c r="O1010"/>
      <c r="P1010"/>
      <c r="Q1010"/>
      <c r="R1010"/>
      <c r="S1010"/>
      <c r="T1010"/>
      <c r="U1010"/>
      <c r="V1010"/>
      <c r="W1010"/>
      <c r="X1010"/>
      <c r="Y1010"/>
    </row>
    <row r="1011" spans="13:25" x14ac:dyDescent="0.35">
      <c r="M1011"/>
      <c r="N1011"/>
      <c r="O1011"/>
      <c r="P1011"/>
      <c r="Q1011"/>
      <c r="R1011"/>
      <c r="S1011"/>
      <c r="T1011"/>
      <c r="U1011"/>
      <c r="V1011"/>
      <c r="W1011"/>
      <c r="X1011"/>
      <c r="Y1011"/>
    </row>
    <row r="1012" spans="13:25" x14ac:dyDescent="0.35">
      <c r="M1012"/>
      <c r="N1012"/>
      <c r="O1012"/>
      <c r="P1012"/>
      <c r="Q1012"/>
      <c r="R1012"/>
      <c r="S1012"/>
      <c r="T1012"/>
      <c r="U1012"/>
      <c r="V1012"/>
      <c r="W1012"/>
      <c r="X1012"/>
      <c r="Y1012"/>
    </row>
    <row r="1013" spans="13:25" x14ac:dyDescent="0.35">
      <c r="M1013"/>
      <c r="N1013"/>
      <c r="O1013"/>
      <c r="P1013"/>
      <c r="Q1013"/>
      <c r="R1013"/>
      <c r="S1013"/>
      <c r="T1013"/>
      <c r="U1013"/>
      <c r="V1013"/>
      <c r="W1013"/>
      <c r="X1013"/>
      <c r="Y1013"/>
    </row>
    <row r="1014" spans="13:25" x14ac:dyDescent="0.35">
      <c r="M1014"/>
      <c r="N1014"/>
      <c r="O1014"/>
      <c r="P1014"/>
      <c r="Q1014"/>
      <c r="R1014"/>
      <c r="S1014"/>
      <c r="T1014"/>
      <c r="U1014"/>
      <c r="V1014"/>
      <c r="W1014"/>
      <c r="X1014"/>
      <c r="Y1014"/>
    </row>
    <row r="1015" spans="13:25" x14ac:dyDescent="0.35">
      <c r="M1015"/>
      <c r="N1015"/>
      <c r="O1015"/>
      <c r="P1015"/>
      <c r="Q1015"/>
      <c r="R1015"/>
      <c r="S1015"/>
      <c r="T1015"/>
      <c r="U1015"/>
      <c r="V1015"/>
      <c r="W1015"/>
      <c r="X1015"/>
      <c r="Y1015"/>
    </row>
    <row r="1016" spans="13:25" x14ac:dyDescent="0.35">
      <c r="M1016"/>
      <c r="N1016"/>
      <c r="O1016"/>
      <c r="P1016"/>
      <c r="Q1016"/>
      <c r="R1016"/>
      <c r="S1016"/>
      <c r="T1016"/>
      <c r="U1016"/>
      <c r="V1016"/>
      <c r="W1016"/>
      <c r="X1016"/>
      <c r="Y1016"/>
    </row>
    <row r="1017" spans="13:25" x14ac:dyDescent="0.35">
      <c r="M1017"/>
      <c r="N1017"/>
      <c r="O1017"/>
      <c r="P1017"/>
      <c r="Q1017"/>
      <c r="R1017"/>
      <c r="S1017"/>
      <c r="T1017"/>
      <c r="U1017"/>
      <c r="V1017"/>
      <c r="W1017"/>
      <c r="X1017"/>
      <c r="Y1017"/>
    </row>
    <row r="1018" spans="13:25" x14ac:dyDescent="0.35">
      <c r="M1018"/>
      <c r="N1018"/>
      <c r="O1018"/>
      <c r="P1018"/>
      <c r="Q1018"/>
      <c r="R1018"/>
      <c r="S1018"/>
      <c r="T1018"/>
      <c r="U1018"/>
      <c r="V1018"/>
      <c r="W1018"/>
      <c r="X1018"/>
      <c r="Y1018"/>
    </row>
    <row r="1019" spans="13:25" x14ac:dyDescent="0.35">
      <c r="M1019"/>
      <c r="N1019"/>
      <c r="O1019"/>
      <c r="P1019"/>
      <c r="Q1019"/>
      <c r="R1019"/>
      <c r="S1019"/>
      <c r="T1019"/>
      <c r="U1019"/>
      <c r="V1019"/>
      <c r="W1019"/>
      <c r="X1019"/>
      <c r="Y1019"/>
    </row>
    <row r="1020" spans="13:25" x14ac:dyDescent="0.35">
      <c r="M1020"/>
      <c r="N1020"/>
      <c r="O1020"/>
      <c r="P1020"/>
      <c r="Q1020"/>
      <c r="R1020"/>
      <c r="S1020"/>
      <c r="T1020"/>
      <c r="U1020"/>
      <c r="V1020"/>
      <c r="W1020"/>
      <c r="X1020"/>
      <c r="Y1020"/>
    </row>
    <row r="1021" spans="13:25" x14ac:dyDescent="0.35">
      <c r="M1021"/>
      <c r="N1021"/>
      <c r="O1021"/>
      <c r="P1021"/>
      <c r="Q1021"/>
      <c r="R1021"/>
      <c r="S1021"/>
      <c r="T1021"/>
      <c r="U1021"/>
      <c r="V1021"/>
      <c r="W1021"/>
      <c r="X1021"/>
      <c r="Y1021"/>
    </row>
    <row r="1022" spans="13:25" x14ac:dyDescent="0.35">
      <c r="M1022"/>
      <c r="N1022"/>
      <c r="O1022"/>
      <c r="P1022"/>
      <c r="Q1022"/>
      <c r="R1022"/>
      <c r="S1022"/>
      <c r="T1022"/>
      <c r="U1022"/>
      <c r="V1022"/>
      <c r="W1022"/>
      <c r="X1022"/>
      <c r="Y1022"/>
    </row>
    <row r="1023" spans="13:25" x14ac:dyDescent="0.35">
      <c r="M1023"/>
      <c r="N1023"/>
      <c r="O1023"/>
      <c r="P1023"/>
      <c r="Q1023"/>
      <c r="R1023"/>
      <c r="S1023"/>
      <c r="T1023"/>
      <c r="U1023"/>
      <c r="V1023"/>
      <c r="W1023"/>
      <c r="X1023"/>
      <c r="Y1023"/>
    </row>
    <row r="1024" spans="13:25" x14ac:dyDescent="0.35">
      <c r="M1024"/>
      <c r="N1024"/>
      <c r="O1024"/>
      <c r="P1024"/>
      <c r="Q1024"/>
      <c r="R1024"/>
      <c r="S1024"/>
      <c r="T1024"/>
      <c r="U1024"/>
      <c r="V1024"/>
      <c r="W1024"/>
      <c r="X1024"/>
      <c r="Y1024"/>
    </row>
    <row r="1025" spans="13:25" x14ac:dyDescent="0.35">
      <c r="M1025"/>
      <c r="N1025"/>
      <c r="O1025"/>
      <c r="P1025"/>
      <c r="Q1025"/>
      <c r="R1025"/>
      <c r="S1025"/>
      <c r="T1025"/>
      <c r="U1025"/>
      <c r="V1025"/>
      <c r="W1025"/>
      <c r="X1025"/>
      <c r="Y1025"/>
    </row>
    <row r="1026" spans="13:25" x14ac:dyDescent="0.35">
      <c r="M1026"/>
      <c r="N1026"/>
      <c r="O1026"/>
      <c r="P1026"/>
      <c r="Q1026"/>
      <c r="R1026"/>
      <c r="S1026"/>
      <c r="T1026"/>
      <c r="U1026"/>
      <c r="V1026"/>
      <c r="W1026"/>
      <c r="X1026"/>
      <c r="Y1026"/>
    </row>
    <row r="1027" spans="13:25" x14ac:dyDescent="0.35">
      <c r="M1027"/>
      <c r="N1027"/>
      <c r="O1027"/>
      <c r="P1027"/>
      <c r="Q1027"/>
      <c r="R1027"/>
      <c r="S1027"/>
      <c r="T1027"/>
      <c r="U1027"/>
      <c r="V1027"/>
      <c r="W1027"/>
      <c r="X1027"/>
      <c r="Y1027"/>
    </row>
    <row r="1028" spans="13:25" x14ac:dyDescent="0.35">
      <c r="M1028"/>
      <c r="N1028"/>
      <c r="O1028"/>
      <c r="P1028"/>
      <c r="Q1028"/>
      <c r="R1028"/>
      <c r="S1028"/>
      <c r="T1028"/>
      <c r="U1028"/>
      <c r="V1028"/>
      <c r="W1028"/>
      <c r="X1028"/>
      <c r="Y1028"/>
    </row>
    <row r="1029" spans="13:25" x14ac:dyDescent="0.35">
      <c r="M1029"/>
      <c r="N1029"/>
      <c r="O1029"/>
      <c r="P1029"/>
      <c r="Q1029"/>
      <c r="R1029"/>
      <c r="S1029"/>
      <c r="T1029"/>
      <c r="U1029"/>
      <c r="V1029"/>
      <c r="W1029"/>
      <c r="X1029"/>
      <c r="Y1029"/>
    </row>
    <row r="1030" spans="13:25" x14ac:dyDescent="0.35">
      <c r="M1030"/>
      <c r="N1030"/>
      <c r="O1030"/>
      <c r="P1030"/>
      <c r="Q1030"/>
      <c r="R1030"/>
      <c r="S1030"/>
      <c r="T1030"/>
      <c r="U1030"/>
      <c r="V1030"/>
      <c r="W1030"/>
      <c r="X1030"/>
      <c r="Y1030"/>
    </row>
    <row r="1031" spans="13:25" x14ac:dyDescent="0.35">
      <c r="M1031"/>
      <c r="N1031"/>
      <c r="O1031"/>
      <c r="P1031"/>
      <c r="Q1031"/>
      <c r="R1031"/>
      <c r="S1031"/>
      <c r="T1031"/>
      <c r="U1031"/>
      <c r="V1031"/>
      <c r="W1031"/>
      <c r="X1031"/>
      <c r="Y1031"/>
    </row>
    <row r="1032" spans="13:25" x14ac:dyDescent="0.35">
      <c r="M1032"/>
      <c r="N1032"/>
      <c r="O1032"/>
      <c r="P1032"/>
      <c r="Q1032"/>
      <c r="R1032"/>
      <c r="S1032"/>
      <c r="T1032"/>
      <c r="U1032"/>
      <c r="V1032"/>
      <c r="W1032"/>
      <c r="X1032"/>
      <c r="Y1032"/>
    </row>
    <row r="1033" spans="13:25" x14ac:dyDescent="0.35">
      <c r="M1033"/>
      <c r="N1033"/>
      <c r="O1033"/>
      <c r="P1033"/>
      <c r="Q1033"/>
      <c r="R1033"/>
      <c r="S1033"/>
      <c r="T1033"/>
      <c r="U1033"/>
      <c r="V1033"/>
      <c r="W1033"/>
      <c r="X1033"/>
      <c r="Y1033"/>
    </row>
    <row r="1034" spans="13:25" x14ac:dyDescent="0.35">
      <c r="M1034"/>
      <c r="N1034"/>
      <c r="O1034"/>
      <c r="P1034"/>
      <c r="Q1034"/>
      <c r="R1034"/>
      <c r="S1034"/>
      <c r="T1034"/>
      <c r="U1034"/>
      <c r="V1034"/>
      <c r="W1034"/>
      <c r="X1034"/>
      <c r="Y1034"/>
    </row>
    <row r="1035" spans="13:25" x14ac:dyDescent="0.35">
      <c r="M1035"/>
      <c r="N1035"/>
      <c r="O1035"/>
      <c r="P1035"/>
      <c r="Q1035"/>
      <c r="R1035"/>
      <c r="S1035"/>
      <c r="T1035"/>
      <c r="U1035"/>
      <c r="V1035"/>
      <c r="W1035"/>
      <c r="X1035"/>
      <c r="Y1035"/>
    </row>
    <row r="1036" spans="13:25" x14ac:dyDescent="0.35">
      <c r="M1036"/>
      <c r="N1036"/>
      <c r="O1036"/>
      <c r="P1036"/>
      <c r="Q1036"/>
      <c r="R1036"/>
      <c r="S1036"/>
      <c r="T1036"/>
      <c r="U1036"/>
      <c r="V1036"/>
      <c r="W1036"/>
      <c r="X1036"/>
      <c r="Y1036"/>
    </row>
    <row r="1037" spans="13:25" x14ac:dyDescent="0.35">
      <c r="M1037"/>
      <c r="N1037"/>
      <c r="O1037"/>
      <c r="P1037"/>
      <c r="Q1037"/>
      <c r="R1037"/>
      <c r="S1037"/>
      <c r="T1037"/>
      <c r="U1037"/>
      <c r="V1037"/>
      <c r="W1037"/>
      <c r="X1037"/>
      <c r="Y1037"/>
    </row>
    <row r="1038" spans="13:25" x14ac:dyDescent="0.35">
      <c r="M1038"/>
      <c r="N1038"/>
      <c r="O1038"/>
      <c r="P1038"/>
      <c r="Q1038"/>
      <c r="R1038"/>
      <c r="S1038"/>
      <c r="T1038"/>
      <c r="U1038"/>
      <c r="V1038"/>
      <c r="W1038"/>
      <c r="X1038"/>
      <c r="Y1038"/>
    </row>
    <row r="1039" spans="13:25" x14ac:dyDescent="0.35">
      <c r="M1039"/>
      <c r="N1039"/>
      <c r="O1039"/>
      <c r="P1039"/>
      <c r="Q1039"/>
      <c r="R1039"/>
      <c r="S1039"/>
      <c r="T1039"/>
      <c r="U1039"/>
      <c r="V1039"/>
      <c r="W1039"/>
      <c r="X1039"/>
      <c r="Y1039"/>
    </row>
    <row r="1040" spans="13:25" x14ac:dyDescent="0.35">
      <c r="M1040"/>
      <c r="N1040"/>
      <c r="O1040"/>
      <c r="P1040"/>
      <c r="Q1040"/>
      <c r="R1040"/>
      <c r="S1040"/>
      <c r="T1040"/>
      <c r="U1040"/>
      <c r="V1040"/>
      <c r="W1040"/>
      <c r="X1040"/>
      <c r="Y1040"/>
    </row>
    <row r="1041" spans="13:25" x14ac:dyDescent="0.35">
      <c r="M1041"/>
      <c r="N1041"/>
      <c r="O1041"/>
      <c r="P1041"/>
      <c r="Q1041"/>
      <c r="R1041"/>
      <c r="S1041"/>
      <c r="T1041"/>
      <c r="U1041"/>
      <c r="V1041"/>
      <c r="W1041"/>
      <c r="X1041"/>
      <c r="Y1041"/>
    </row>
    <row r="1042" spans="13:25" x14ac:dyDescent="0.35">
      <c r="M1042"/>
      <c r="N1042"/>
      <c r="O1042"/>
      <c r="P1042"/>
      <c r="Q1042"/>
      <c r="R1042"/>
      <c r="S1042"/>
      <c r="T1042"/>
      <c r="U1042"/>
      <c r="V1042"/>
      <c r="W1042"/>
      <c r="X1042"/>
      <c r="Y1042"/>
    </row>
    <row r="1043" spans="13:25" x14ac:dyDescent="0.35">
      <c r="M1043"/>
      <c r="N1043"/>
      <c r="O1043"/>
      <c r="P1043"/>
      <c r="Q1043"/>
      <c r="R1043"/>
      <c r="S1043"/>
      <c r="T1043"/>
      <c r="U1043"/>
      <c r="V1043"/>
      <c r="W1043"/>
      <c r="X1043"/>
      <c r="Y1043"/>
    </row>
    <row r="1044" spans="13:25" x14ac:dyDescent="0.35">
      <c r="M1044"/>
      <c r="N1044"/>
      <c r="O1044"/>
      <c r="P1044"/>
      <c r="Q1044"/>
      <c r="R1044"/>
      <c r="S1044"/>
      <c r="T1044"/>
      <c r="U1044"/>
      <c r="V1044"/>
      <c r="W1044"/>
      <c r="X1044"/>
      <c r="Y1044"/>
    </row>
    <row r="1045" spans="13:25" x14ac:dyDescent="0.35">
      <c r="M1045"/>
      <c r="N1045"/>
      <c r="O1045"/>
      <c r="P1045"/>
      <c r="Q1045"/>
      <c r="R1045"/>
      <c r="S1045"/>
      <c r="T1045"/>
      <c r="U1045"/>
      <c r="V1045"/>
      <c r="W1045"/>
      <c r="X1045"/>
      <c r="Y1045"/>
    </row>
    <row r="1046" spans="13:25" x14ac:dyDescent="0.35">
      <c r="M1046"/>
      <c r="N1046"/>
      <c r="O1046"/>
      <c r="P1046"/>
      <c r="Q1046"/>
      <c r="R1046"/>
      <c r="S1046"/>
      <c r="T1046"/>
      <c r="U1046"/>
      <c r="V1046"/>
      <c r="W1046"/>
      <c r="X1046"/>
      <c r="Y1046"/>
    </row>
    <row r="1047" spans="13:25" x14ac:dyDescent="0.35">
      <c r="M1047"/>
      <c r="N1047"/>
      <c r="O1047"/>
      <c r="P1047"/>
      <c r="Q1047"/>
      <c r="R1047"/>
      <c r="S1047"/>
      <c r="T1047"/>
      <c r="U1047"/>
      <c r="V1047"/>
      <c r="W1047"/>
      <c r="X1047"/>
      <c r="Y1047"/>
    </row>
    <row r="1048" spans="13:25" x14ac:dyDescent="0.35">
      <c r="M1048"/>
      <c r="N1048"/>
      <c r="O1048"/>
      <c r="P1048"/>
      <c r="Q1048"/>
      <c r="R1048"/>
      <c r="S1048"/>
      <c r="T1048"/>
      <c r="U1048"/>
      <c r="V1048"/>
      <c r="W1048"/>
      <c r="X1048"/>
      <c r="Y1048"/>
    </row>
    <row r="1049" spans="13:25" x14ac:dyDescent="0.35">
      <c r="M1049"/>
      <c r="N1049"/>
      <c r="O1049"/>
      <c r="P1049"/>
      <c r="Q1049"/>
      <c r="R1049"/>
      <c r="S1049"/>
      <c r="T1049"/>
      <c r="U1049"/>
      <c r="V1049"/>
      <c r="W1049"/>
      <c r="X1049"/>
      <c r="Y1049"/>
    </row>
    <row r="1050" spans="13:25" x14ac:dyDescent="0.35">
      <c r="M1050"/>
      <c r="N1050"/>
      <c r="O1050"/>
      <c r="P1050"/>
      <c r="Q1050"/>
      <c r="R1050"/>
      <c r="S1050"/>
      <c r="T1050"/>
      <c r="U1050"/>
      <c r="V1050"/>
      <c r="W1050"/>
      <c r="X1050"/>
      <c r="Y1050"/>
    </row>
    <row r="1051" spans="13:25" x14ac:dyDescent="0.35">
      <c r="M1051"/>
      <c r="N1051"/>
      <c r="O1051"/>
      <c r="P1051"/>
      <c r="Q1051"/>
      <c r="R1051"/>
      <c r="S1051"/>
      <c r="T1051"/>
      <c r="U1051"/>
      <c r="V1051"/>
      <c r="W1051"/>
      <c r="X1051"/>
      <c r="Y1051"/>
    </row>
    <row r="1052" spans="13:25" x14ac:dyDescent="0.35">
      <c r="M1052"/>
      <c r="N1052"/>
      <c r="O1052"/>
      <c r="P1052"/>
      <c r="Q1052"/>
      <c r="R1052"/>
      <c r="S1052"/>
      <c r="T1052"/>
      <c r="U1052"/>
      <c r="V1052"/>
      <c r="W1052"/>
      <c r="X1052"/>
      <c r="Y1052"/>
    </row>
    <row r="1053" spans="13:25" x14ac:dyDescent="0.35">
      <c r="M1053"/>
      <c r="N1053"/>
      <c r="O1053"/>
      <c r="P1053"/>
      <c r="Q1053"/>
      <c r="R1053"/>
      <c r="S1053"/>
      <c r="T1053"/>
      <c r="U1053"/>
      <c r="V1053"/>
      <c r="W1053"/>
      <c r="X1053"/>
      <c r="Y1053"/>
    </row>
    <row r="1054" spans="13:25" x14ac:dyDescent="0.35">
      <c r="M1054"/>
      <c r="N1054"/>
      <c r="O1054"/>
      <c r="P1054"/>
      <c r="Q1054"/>
      <c r="R1054"/>
      <c r="S1054"/>
      <c r="T1054"/>
      <c r="U1054"/>
      <c r="V1054"/>
      <c r="W1054"/>
      <c r="X1054"/>
      <c r="Y1054"/>
    </row>
    <row r="1055" spans="13:25" x14ac:dyDescent="0.35">
      <c r="M1055"/>
      <c r="N1055"/>
      <c r="O1055"/>
      <c r="P1055"/>
      <c r="Q1055"/>
      <c r="R1055"/>
      <c r="S1055"/>
      <c r="T1055"/>
      <c r="U1055"/>
      <c r="V1055"/>
      <c r="W1055"/>
      <c r="X1055"/>
      <c r="Y1055"/>
    </row>
    <row r="1056" spans="13:25" x14ac:dyDescent="0.35">
      <c r="M1056"/>
      <c r="N1056"/>
      <c r="O1056"/>
      <c r="P1056"/>
      <c r="Q1056"/>
      <c r="R1056"/>
      <c r="S1056"/>
      <c r="T1056"/>
      <c r="U1056"/>
      <c r="V1056"/>
      <c r="W1056"/>
      <c r="X1056"/>
      <c r="Y1056"/>
    </row>
    <row r="1057" spans="13:25" x14ac:dyDescent="0.35">
      <c r="M1057"/>
      <c r="N1057"/>
      <c r="O1057"/>
      <c r="P1057"/>
      <c r="Q1057"/>
      <c r="R1057"/>
      <c r="S1057"/>
      <c r="T1057"/>
      <c r="U1057"/>
      <c r="V1057"/>
      <c r="W1057"/>
      <c r="X1057"/>
      <c r="Y1057"/>
    </row>
    <row r="1058" spans="13:25" x14ac:dyDescent="0.35">
      <c r="M1058"/>
      <c r="N1058"/>
      <c r="O1058"/>
      <c r="P1058"/>
      <c r="Q1058"/>
      <c r="R1058"/>
      <c r="S1058"/>
      <c r="T1058"/>
      <c r="U1058"/>
      <c r="V1058"/>
      <c r="W1058"/>
      <c r="X1058"/>
      <c r="Y1058"/>
    </row>
    <row r="1059" spans="13:25" x14ac:dyDescent="0.35">
      <c r="M1059"/>
      <c r="N1059"/>
      <c r="O1059"/>
      <c r="P1059"/>
      <c r="Q1059"/>
      <c r="R1059"/>
      <c r="S1059"/>
      <c r="T1059"/>
      <c r="U1059"/>
      <c r="V1059"/>
      <c r="W1059"/>
      <c r="X1059"/>
      <c r="Y1059"/>
    </row>
    <row r="1060" spans="13:25" x14ac:dyDescent="0.35">
      <c r="M1060"/>
      <c r="N1060"/>
      <c r="O1060"/>
      <c r="P1060"/>
      <c r="Q1060"/>
      <c r="R1060"/>
      <c r="S1060"/>
      <c r="T1060"/>
      <c r="U1060"/>
      <c r="V1060"/>
      <c r="W1060"/>
      <c r="X1060"/>
      <c r="Y1060"/>
    </row>
    <row r="1061" spans="13:25" x14ac:dyDescent="0.35">
      <c r="M1061"/>
      <c r="N1061"/>
      <c r="O1061"/>
      <c r="P1061"/>
      <c r="Q1061"/>
      <c r="R1061"/>
      <c r="S1061"/>
      <c r="T1061"/>
      <c r="U1061"/>
      <c r="V1061"/>
      <c r="W1061"/>
      <c r="X1061"/>
      <c r="Y1061"/>
    </row>
    <row r="1062" spans="13:25" x14ac:dyDescent="0.35">
      <c r="M1062"/>
      <c r="N1062"/>
      <c r="O1062"/>
      <c r="P1062"/>
      <c r="Q1062"/>
      <c r="R1062"/>
      <c r="S1062"/>
      <c r="T1062"/>
      <c r="U1062"/>
      <c r="V1062"/>
      <c r="W1062"/>
      <c r="X1062"/>
      <c r="Y1062"/>
    </row>
    <row r="1063" spans="13:25" x14ac:dyDescent="0.35">
      <c r="M1063"/>
      <c r="N1063"/>
      <c r="O1063"/>
      <c r="P1063"/>
      <c r="Q1063"/>
      <c r="R1063"/>
      <c r="S1063"/>
      <c r="T1063"/>
      <c r="U1063"/>
      <c r="V1063"/>
      <c r="W1063"/>
      <c r="X1063"/>
      <c r="Y1063"/>
    </row>
    <row r="1064" spans="13:25" x14ac:dyDescent="0.35">
      <c r="M1064"/>
      <c r="N1064"/>
      <c r="O1064"/>
      <c r="P1064"/>
      <c r="Q1064"/>
      <c r="R1064"/>
      <c r="S1064"/>
      <c r="T1064"/>
      <c r="U1064"/>
      <c r="V1064"/>
      <c r="W1064"/>
      <c r="X1064"/>
      <c r="Y1064"/>
    </row>
    <row r="1065" spans="13:25" x14ac:dyDescent="0.35">
      <c r="M1065"/>
      <c r="N1065"/>
      <c r="O1065"/>
      <c r="P1065"/>
      <c r="Q1065"/>
      <c r="R1065"/>
      <c r="S1065"/>
      <c r="T1065"/>
      <c r="U1065"/>
      <c r="V1065"/>
      <c r="W1065"/>
      <c r="X1065"/>
      <c r="Y1065"/>
    </row>
    <row r="1066" spans="13:25" x14ac:dyDescent="0.35">
      <c r="M1066"/>
      <c r="N1066"/>
      <c r="O1066"/>
      <c r="P1066"/>
      <c r="Q1066"/>
      <c r="R1066"/>
      <c r="S1066"/>
      <c r="T1066"/>
      <c r="U1066"/>
      <c r="V1066"/>
      <c r="W1066"/>
      <c r="X1066"/>
      <c r="Y1066"/>
    </row>
    <row r="1067" spans="13:25" x14ac:dyDescent="0.35">
      <c r="M1067"/>
      <c r="N1067"/>
      <c r="O1067"/>
      <c r="P1067"/>
      <c r="Q1067"/>
      <c r="R1067"/>
      <c r="S1067"/>
      <c r="T1067"/>
      <c r="U1067"/>
      <c r="V1067"/>
      <c r="W1067"/>
      <c r="X1067"/>
      <c r="Y1067"/>
    </row>
    <row r="1068" spans="13:25" x14ac:dyDescent="0.35">
      <c r="M1068"/>
      <c r="N1068"/>
      <c r="O1068"/>
      <c r="P1068"/>
      <c r="Q1068"/>
      <c r="R1068"/>
      <c r="S1068"/>
      <c r="T1068"/>
      <c r="U1068"/>
      <c r="V1068"/>
      <c r="W1068"/>
      <c r="X1068"/>
      <c r="Y1068"/>
    </row>
    <row r="1069" spans="13:25" x14ac:dyDescent="0.35">
      <c r="M1069"/>
      <c r="N1069"/>
      <c r="O1069"/>
      <c r="P1069"/>
      <c r="Q1069"/>
      <c r="R1069"/>
      <c r="S1069"/>
      <c r="T1069"/>
      <c r="U1069"/>
      <c r="V1069"/>
      <c r="W1069"/>
      <c r="X1069"/>
      <c r="Y1069"/>
    </row>
    <row r="1070" spans="13:25" x14ac:dyDescent="0.35">
      <c r="M1070"/>
      <c r="N1070"/>
      <c r="O1070"/>
      <c r="P1070"/>
      <c r="Q1070"/>
      <c r="R1070"/>
      <c r="S1070"/>
      <c r="T1070"/>
      <c r="U1070"/>
      <c r="V1070"/>
      <c r="W1070"/>
      <c r="X1070"/>
      <c r="Y1070"/>
    </row>
    <row r="1071" spans="13:25" x14ac:dyDescent="0.35">
      <c r="M1071"/>
      <c r="N1071"/>
      <c r="O1071"/>
      <c r="P1071"/>
      <c r="Q1071"/>
      <c r="R1071"/>
      <c r="S1071"/>
      <c r="T1071"/>
      <c r="U1071"/>
      <c r="V1071"/>
      <c r="W1071"/>
      <c r="X1071"/>
      <c r="Y1071"/>
    </row>
    <row r="1072" spans="13:25" x14ac:dyDescent="0.35">
      <c r="M1072"/>
      <c r="N1072"/>
      <c r="O1072"/>
      <c r="P1072"/>
      <c r="Q1072"/>
      <c r="R1072"/>
      <c r="S1072"/>
      <c r="T1072"/>
      <c r="U1072"/>
      <c r="V1072"/>
      <c r="W1072"/>
      <c r="X1072"/>
      <c r="Y1072"/>
    </row>
    <row r="1073" spans="13:25" x14ac:dyDescent="0.35">
      <c r="M1073"/>
      <c r="N1073"/>
      <c r="O1073"/>
      <c r="P1073"/>
      <c r="Q1073"/>
      <c r="R1073"/>
      <c r="S1073"/>
      <c r="T1073"/>
      <c r="U1073"/>
      <c r="V1073"/>
      <c r="W1073"/>
      <c r="X1073"/>
      <c r="Y1073"/>
    </row>
    <row r="1074" spans="13:25" x14ac:dyDescent="0.35">
      <c r="M1074"/>
      <c r="N1074"/>
      <c r="O1074"/>
      <c r="P1074"/>
      <c r="Q1074"/>
      <c r="R1074"/>
      <c r="S1074"/>
      <c r="T1074"/>
      <c r="U1074"/>
      <c r="V1074"/>
      <c r="W1074"/>
      <c r="X1074"/>
      <c r="Y1074"/>
    </row>
    <row r="1075" spans="13:25" x14ac:dyDescent="0.35">
      <c r="M1075"/>
      <c r="N1075"/>
      <c r="O1075"/>
      <c r="P1075"/>
      <c r="Q1075"/>
      <c r="R1075"/>
      <c r="S1075"/>
      <c r="T1075"/>
      <c r="U1075"/>
      <c r="V1075"/>
      <c r="W1075"/>
      <c r="X1075"/>
      <c r="Y1075"/>
    </row>
    <row r="1076" spans="13:25" x14ac:dyDescent="0.35">
      <c r="M1076"/>
      <c r="N1076"/>
      <c r="O1076"/>
      <c r="P1076"/>
      <c r="Q1076"/>
      <c r="R1076"/>
      <c r="S1076"/>
      <c r="T1076"/>
      <c r="U1076"/>
      <c r="V1076"/>
      <c r="W1076"/>
      <c r="X1076"/>
      <c r="Y1076"/>
    </row>
    <row r="1077" spans="13:25" x14ac:dyDescent="0.35">
      <c r="M1077"/>
      <c r="N1077"/>
      <c r="O1077"/>
      <c r="P1077"/>
      <c r="Q1077"/>
      <c r="R1077"/>
      <c r="S1077"/>
      <c r="T1077"/>
      <c r="U1077"/>
      <c r="V1077"/>
      <c r="W1077"/>
      <c r="X1077"/>
      <c r="Y1077"/>
    </row>
    <row r="1078" spans="13:25" x14ac:dyDescent="0.35">
      <c r="M1078"/>
      <c r="N1078"/>
      <c r="O1078"/>
      <c r="P1078"/>
      <c r="Q1078"/>
      <c r="R1078"/>
      <c r="S1078"/>
      <c r="T1078"/>
      <c r="U1078"/>
      <c r="V1078"/>
      <c r="W1078"/>
      <c r="X1078"/>
      <c r="Y1078"/>
    </row>
    <row r="1079" spans="13:25" x14ac:dyDescent="0.35">
      <c r="M1079"/>
      <c r="N1079"/>
      <c r="O1079"/>
      <c r="P1079"/>
      <c r="Q1079"/>
      <c r="R1079"/>
      <c r="S1079"/>
      <c r="T1079"/>
      <c r="U1079"/>
      <c r="V1079"/>
      <c r="W1079"/>
      <c r="X1079"/>
      <c r="Y1079"/>
    </row>
    <row r="1080" spans="13:25" x14ac:dyDescent="0.35">
      <c r="M1080"/>
      <c r="N1080"/>
      <c r="O1080"/>
      <c r="P1080"/>
      <c r="Q1080"/>
      <c r="R1080"/>
      <c r="S1080"/>
      <c r="T1080"/>
      <c r="U1080"/>
      <c r="V1080"/>
      <c r="W1080"/>
      <c r="X1080"/>
      <c r="Y1080"/>
    </row>
    <row r="1081" spans="13:25" x14ac:dyDescent="0.35">
      <c r="M1081"/>
      <c r="N1081"/>
      <c r="O1081"/>
      <c r="P1081"/>
      <c r="Q1081"/>
      <c r="R1081"/>
      <c r="S1081"/>
      <c r="T1081"/>
      <c r="U1081"/>
      <c r="V1081"/>
      <c r="W1081"/>
      <c r="X1081"/>
      <c r="Y1081"/>
    </row>
    <row r="1082" spans="13:25" x14ac:dyDescent="0.35">
      <c r="M1082"/>
      <c r="N1082"/>
      <c r="O1082"/>
      <c r="P1082"/>
      <c r="Q1082"/>
      <c r="R1082"/>
      <c r="S1082"/>
      <c r="T1082"/>
      <c r="U1082"/>
      <c r="V1082"/>
      <c r="W1082"/>
      <c r="X1082"/>
      <c r="Y1082"/>
    </row>
    <row r="1083" spans="13:25" x14ac:dyDescent="0.35">
      <c r="M1083"/>
      <c r="N1083"/>
      <c r="O1083"/>
      <c r="P1083"/>
      <c r="Q1083"/>
      <c r="R1083"/>
      <c r="S1083"/>
      <c r="T1083"/>
      <c r="U1083"/>
      <c r="V1083"/>
      <c r="W1083"/>
      <c r="X1083"/>
      <c r="Y1083"/>
    </row>
    <row r="1084" spans="13:25" x14ac:dyDescent="0.35">
      <c r="M1084"/>
      <c r="N1084"/>
      <c r="O1084"/>
      <c r="P1084"/>
      <c r="Q1084"/>
      <c r="R1084"/>
      <c r="S1084"/>
      <c r="T1084"/>
      <c r="U1084"/>
      <c r="V1084"/>
      <c r="W1084"/>
      <c r="X1084"/>
      <c r="Y1084"/>
    </row>
    <row r="1085" spans="13:25" x14ac:dyDescent="0.35">
      <c r="M1085"/>
      <c r="N1085"/>
      <c r="O1085"/>
      <c r="P1085"/>
      <c r="Q1085"/>
      <c r="R1085"/>
      <c r="S1085"/>
      <c r="T1085"/>
      <c r="U1085"/>
      <c r="V1085"/>
      <c r="W1085"/>
      <c r="X1085"/>
      <c r="Y1085"/>
    </row>
    <row r="1086" spans="13:25" x14ac:dyDescent="0.35">
      <c r="M1086"/>
      <c r="N1086"/>
      <c r="O1086"/>
      <c r="P1086"/>
      <c r="Q1086"/>
      <c r="R1086"/>
      <c r="S1086"/>
      <c r="T1086"/>
      <c r="U1086"/>
      <c r="V1086"/>
      <c r="W1086"/>
      <c r="X1086"/>
      <c r="Y1086"/>
    </row>
    <row r="1087" spans="13:25" x14ac:dyDescent="0.35">
      <c r="M1087"/>
      <c r="N1087"/>
      <c r="O1087"/>
      <c r="P1087"/>
      <c r="Q1087"/>
      <c r="R1087"/>
      <c r="S1087"/>
      <c r="T1087"/>
      <c r="U1087"/>
      <c r="V1087"/>
      <c r="W1087"/>
      <c r="X1087"/>
      <c r="Y1087"/>
    </row>
    <row r="1088" spans="13:25" x14ac:dyDescent="0.35">
      <c r="M1088"/>
      <c r="N1088"/>
      <c r="O1088"/>
      <c r="P1088"/>
      <c r="Q1088"/>
      <c r="R1088"/>
      <c r="S1088"/>
      <c r="T1088"/>
      <c r="U1088"/>
      <c r="V1088"/>
      <c r="W1088"/>
      <c r="X1088"/>
      <c r="Y1088"/>
    </row>
    <row r="1089" spans="13:25" x14ac:dyDescent="0.35">
      <c r="M1089"/>
      <c r="N1089"/>
      <c r="O1089"/>
      <c r="P1089"/>
      <c r="Q1089"/>
      <c r="R1089"/>
      <c r="S1089"/>
      <c r="T1089"/>
      <c r="U1089"/>
      <c r="V1089"/>
      <c r="W1089"/>
      <c r="X1089"/>
      <c r="Y1089"/>
    </row>
    <row r="1090" spans="13:25" x14ac:dyDescent="0.35">
      <c r="M1090"/>
      <c r="N1090"/>
      <c r="O1090"/>
      <c r="P1090"/>
      <c r="Q1090"/>
      <c r="R1090"/>
      <c r="S1090"/>
      <c r="T1090"/>
      <c r="U1090"/>
      <c r="V1090"/>
      <c r="W1090"/>
      <c r="X1090"/>
      <c r="Y1090"/>
    </row>
    <row r="1091" spans="13:25" x14ac:dyDescent="0.35">
      <c r="M1091"/>
      <c r="N1091"/>
      <c r="O1091"/>
      <c r="P1091"/>
      <c r="Q1091"/>
      <c r="R1091"/>
      <c r="S1091"/>
      <c r="T1091"/>
      <c r="U1091"/>
      <c r="V1091"/>
      <c r="W1091"/>
      <c r="X1091"/>
      <c r="Y1091"/>
    </row>
    <row r="1092" spans="13:25" x14ac:dyDescent="0.35">
      <c r="M1092"/>
      <c r="N1092"/>
      <c r="O1092"/>
      <c r="P1092"/>
      <c r="Q1092"/>
      <c r="R1092"/>
      <c r="S1092"/>
      <c r="T1092"/>
      <c r="U1092"/>
      <c r="V1092"/>
      <c r="W1092"/>
      <c r="X1092"/>
      <c r="Y1092"/>
    </row>
    <row r="1093" spans="13:25" x14ac:dyDescent="0.35">
      <c r="M1093"/>
      <c r="N1093"/>
      <c r="O1093"/>
      <c r="P1093"/>
      <c r="Q1093"/>
      <c r="R1093"/>
      <c r="S1093"/>
      <c r="T1093"/>
      <c r="U1093"/>
      <c r="V1093"/>
      <c r="W1093"/>
      <c r="X1093"/>
      <c r="Y1093"/>
    </row>
    <row r="1094" spans="13:25" x14ac:dyDescent="0.35">
      <c r="M1094"/>
      <c r="N1094"/>
      <c r="O1094"/>
      <c r="P1094"/>
      <c r="Q1094"/>
      <c r="R1094"/>
      <c r="S1094"/>
      <c r="T1094"/>
      <c r="U1094"/>
      <c r="V1094"/>
      <c r="W1094"/>
      <c r="X1094"/>
      <c r="Y1094"/>
    </row>
    <row r="1095" spans="13:25" x14ac:dyDescent="0.35">
      <c r="M1095"/>
      <c r="N1095"/>
      <c r="O1095"/>
      <c r="P1095"/>
      <c r="Q1095"/>
      <c r="R1095"/>
      <c r="S1095"/>
      <c r="T1095"/>
      <c r="U1095"/>
      <c r="V1095"/>
      <c r="W1095"/>
      <c r="X1095"/>
      <c r="Y1095"/>
    </row>
    <row r="1096" spans="13:25" x14ac:dyDescent="0.35">
      <c r="M1096"/>
      <c r="N1096"/>
      <c r="O1096"/>
      <c r="P1096"/>
      <c r="Q1096"/>
      <c r="R1096"/>
      <c r="S1096"/>
      <c r="T1096"/>
      <c r="U1096"/>
      <c r="V1096"/>
      <c r="W1096"/>
      <c r="X1096"/>
      <c r="Y1096"/>
    </row>
    <row r="1097" spans="13:25" x14ac:dyDescent="0.35">
      <c r="M1097"/>
      <c r="N1097"/>
      <c r="O1097"/>
      <c r="P1097"/>
      <c r="Q1097"/>
      <c r="R1097"/>
      <c r="S1097"/>
      <c r="T1097"/>
      <c r="U1097"/>
      <c r="V1097"/>
      <c r="W1097"/>
      <c r="X1097"/>
      <c r="Y1097"/>
    </row>
    <row r="1098" spans="13:25" x14ac:dyDescent="0.35">
      <c r="M1098"/>
      <c r="N1098"/>
      <c r="O1098"/>
      <c r="P1098"/>
      <c r="Q1098"/>
      <c r="R1098"/>
      <c r="S1098"/>
      <c r="T1098"/>
      <c r="U1098"/>
      <c r="V1098"/>
      <c r="W1098"/>
      <c r="X1098"/>
      <c r="Y1098"/>
    </row>
    <row r="1099" spans="13:25" x14ac:dyDescent="0.35">
      <c r="M1099"/>
      <c r="N1099"/>
      <c r="O1099"/>
      <c r="P1099"/>
      <c r="Q1099"/>
      <c r="R1099"/>
      <c r="S1099"/>
      <c r="T1099"/>
      <c r="U1099"/>
      <c r="V1099"/>
      <c r="W1099"/>
      <c r="X1099"/>
      <c r="Y1099"/>
    </row>
    <row r="1100" spans="13:25" x14ac:dyDescent="0.35">
      <c r="M1100"/>
      <c r="N1100"/>
      <c r="O1100"/>
      <c r="P1100"/>
      <c r="Q1100"/>
      <c r="R1100"/>
      <c r="S1100"/>
      <c r="T1100"/>
      <c r="U1100"/>
      <c r="V1100"/>
      <c r="W1100"/>
      <c r="X1100"/>
      <c r="Y1100"/>
    </row>
    <row r="1101" spans="13:25" x14ac:dyDescent="0.35">
      <c r="M1101"/>
      <c r="N1101"/>
      <c r="O1101"/>
      <c r="P1101"/>
      <c r="Q1101"/>
      <c r="R1101"/>
      <c r="S1101"/>
      <c r="T1101"/>
      <c r="U1101"/>
      <c r="V1101"/>
      <c r="W1101"/>
      <c r="X1101"/>
      <c r="Y1101"/>
    </row>
    <row r="1102" spans="13:25" x14ac:dyDescent="0.35">
      <c r="M1102"/>
      <c r="N1102"/>
      <c r="O1102"/>
      <c r="P1102"/>
      <c r="Q1102"/>
      <c r="R1102"/>
      <c r="S1102"/>
      <c r="T1102"/>
      <c r="U1102"/>
      <c r="V1102"/>
      <c r="W1102"/>
      <c r="X1102"/>
      <c r="Y1102"/>
    </row>
    <row r="1103" spans="13:25" x14ac:dyDescent="0.35">
      <c r="M1103"/>
      <c r="N1103"/>
      <c r="O1103"/>
      <c r="P1103"/>
      <c r="Q1103"/>
      <c r="R1103"/>
      <c r="S1103"/>
      <c r="T1103"/>
      <c r="U1103"/>
      <c r="V1103"/>
      <c r="W1103"/>
      <c r="X1103"/>
      <c r="Y1103"/>
    </row>
    <row r="1104" spans="13:25" x14ac:dyDescent="0.35">
      <c r="M1104"/>
      <c r="N1104"/>
      <c r="O1104"/>
      <c r="P1104"/>
      <c r="Q1104"/>
      <c r="R1104"/>
      <c r="S1104"/>
      <c r="T1104"/>
      <c r="U1104"/>
      <c r="V1104"/>
      <c r="W1104"/>
      <c r="X1104"/>
      <c r="Y1104"/>
    </row>
    <row r="1105" spans="13:25" x14ac:dyDescent="0.35">
      <c r="M1105"/>
      <c r="N1105"/>
      <c r="O1105"/>
      <c r="P1105"/>
      <c r="Q1105"/>
      <c r="R1105"/>
      <c r="S1105"/>
      <c r="T1105"/>
      <c r="U1105"/>
      <c r="V1105"/>
      <c r="W1105"/>
      <c r="X1105"/>
      <c r="Y1105"/>
    </row>
    <row r="1106" spans="13:25" x14ac:dyDescent="0.35">
      <c r="M1106"/>
      <c r="N1106"/>
      <c r="O1106"/>
      <c r="P1106"/>
      <c r="Q1106"/>
      <c r="R1106"/>
      <c r="S1106"/>
      <c r="T1106"/>
      <c r="U1106"/>
      <c r="V1106"/>
      <c r="W1106"/>
      <c r="X1106"/>
      <c r="Y1106"/>
    </row>
    <row r="1107" spans="13:25" x14ac:dyDescent="0.35">
      <c r="M1107"/>
      <c r="N1107"/>
      <c r="O1107"/>
      <c r="P1107"/>
      <c r="Q1107"/>
      <c r="R1107"/>
      <c r="S1107"/>
      <c r="T1107"/>
      <c r="U1107"/>
      <c r="V1107"/>
      <c r="W1107"/>
      <c r="X1107"/>
      <c r="Y1107"/>
    </row>
    <row r="1108" spans="13:25" x14ac:dyDescent="0.35">
      <c r="M1108"/>
      <c r="N1108"/>
      <c r="O1108"/>
      <c r="P1108"/>
      <c r="Q1108"/>
      <c r="R1108"/>
      <c r="S1108"/>
      <c r="T1108"/>
      <c r="U1108"/>
      <c r="V1108"/>
      <c r="W1108"/>
      <c r="X1108"/>
      <c r="Y1108"/>
    </row>
    <row r="1109" spans="13:25" x14ac:dyDescent="0.35">
      <c r="M1109"/>
      <c r="N1109"/>
      <c r="O1109"/>
      <c r="P1109"/>
      <c r="Q1109"/>
      <c r="R1109"/>
      <c r="S1109"/>
      <c r="T1109"/>
      <c r="U1109"/>
      <c r="V1109"/>
      <c r="W1109"/>
      <c r="X1109"/>
      <c r="Y1109"/>
    </row>
    <row r="1110" spans="13:25" x14ac:dyDescent="0.35">
      <c r="M1110"/>
      <c r="N1110"/>
      <c r="O1110"/>
      <c r="P1110"/>
      <c r="Q1110"/>
      <c r="R1110"/>
      <c r="S1110"/>
      <c r="T1110"/>
      <c r="U1110"/>
      <c r="V1110"/>
      <c r="W1110"/>
      <c r="X1110"/>
      <c r="Y1110"/>
    </row>
    <row r="1111" spans="13:25" x14ac:dyDescent="0.35">
      <c r="M1111"/>
      <c r="N1111"/>
      <c r="O1111"/>
      <c r="P1111"/>
      <c r="Q1111"/>
      <c r="R1111"/>
      <c r="S1111"/>
      <c r="T1111"/>
      <c r="U1111"/>
      <c r="V1111"/>
      <c r="W1111"/>
      <c r="X1111"/>
      <c r="Y1111"/>
    </row>
    <row r="1112" spans="13:25" x14ac:dyDescent="0.35">
      <c r="M1112"/>
      <c r="N1112"/>
      <c r="O1112"/>
      <c r="P1112"/>
      <c r="Q1112"/>
      <c r="R1112"/>
      <c r="S1112"/>
      <c r="T1112"/>
      <c r="U1112"/>
      <c r="V1112"/>
      <c r="W1112"/>
      <c r="X1112"/>
      <c r="Y1112"/>
    </row>
    <row r="1113" spans="13:25" x14ac:dyDescent="0.35">
      <c r="M1113"/>
      <c r="N1113"/>
      <c r="O1113"/>
      <c r="P1113"/>
      <c r="Q1113"/>
      <c r="R1113"/>
      <c r="S1113"/>
      <c r="T1113"/>
      <c r="U1113"/>
      <c r="V1113"/>
      <c r="W1113"/>
      <c r="X1113"/>
      <c r="Y1113"/>
    </row>
    <row r="1114" spans="13:25" x14ac:dyDescent="0.35">
      <c r="M1114"/>
      <c r="N1114"/>
      <c r="O1114"/>
      <c r="P1114"/>
      <c r="Q1114"/>
      <c r="R1114"/>
      <c r="S1114"/>
      <c r="T1114"/>
      <c r="U1114"/>
      <c r="V1114"/>
      <c r="W1114"/>
      <c r="X1114"/>
      <c r="Y1114"/>
    </row>
    <row r="1115" spans="13:25" x14ac:dyDescent="0.35">
      <c r="M1115"/>
      <c r="N1115"/>
      <c r="O1115"/>
      <c r="P1115"/>
      <c r="Q1115"/>
      <c r="R1115"/>
      <c r="S1115"/>
      <c r="T1115"/>
      <c r="U1115"/>
      <c r="V1115"/>
      <c r="W1115"/>
      <c r="X1115"/>
      <c r="Y1115"/>
    </row>
    <row r="1116" spans="13:25" x14ac:dyDescent="0.35">
      <c r="M1116"/>
      <c r="N1116"/>
      <c r="O1116"/>
      <c r="P1116"/>
      <c r="Q1116"/>
      <c r="R1116"/>
      <c r="S1116"/>
      <c r="T1116"/>
      <c r="U1116"/>
      <c r="V1116"/>
      <c r="W1116"/>
      <c r="X1116"/>
      <c r="Y1116"/>
    </row>
    <row r="1117" spans="13:25" x14ac:dyDescent="0.35">
      <c r="M1117"/>
      <c r="N1117"/>
      <c r="O1117"/>
      <c r="P1117"/>
      <c r="Q1117"/>
      <c r="R1117"/>
      <c r="S1117"/>
      <c r="T1117"/>
      <c r="U1117"/>
      <c r="V1117"/>
      <c r="W1117"/>
      <c r="X1117"/>
      <c r="Y1117"/>
    </row>
    <row r="1118" spans="13:25" x14ac:dyDescent="0.35">
      <c r="M1118"/>
      <c r="N1118"/>
      <c r="O1118"/>
      <c r="P1118"/>
      <c r="Q1118"/>
      <c r="R1118"/>
      <c r="S1118"/>
      <c r="T1118"/>
      <c r="U1118"/>
      <c r="V1118"/>
      <c r="W1118"/>
      <c r="X1118"/>
      <c r="Y1118"/>
    </row>
    <row r="1119" spans="13:25" x14ac:dyDescent="0.35">
      <c r="M1119"/>
      <c r="N1119"/>
      <c r="O1119"/>
      <c r="P1119"/>
      <c r="Q1119"/>
      <c r="R1119"/>
      <c r="S1119"/>
      <c r="T1119"/>
      <c r="U1119"/>
      <c r="V1119"/>
      <c r="W1119"/>
      <c r="X1119"/>
      <c r="Y1119"/>
    </row>
    <row r="1120" spans="13:25" x14ac:dyDescent="0.35">
      <c r="M1120"/>
      <c r="N1120"/>
      <c r="O1120"/>
      <c r="P1120"/>
      <c r="Q1120"/>
      <c r="R1120"/>
      <c r="S1120"/>
      <c r="T1120"/>
      <c r="U1120"/>
      <c r="V1120"/>
      <c r="W1120"/>
      <c r="X1120"/>
      <c r="Y1120"/>
    </row>
    <row r="1121" spans="13:25" x14ac:dyDescent="0.35">
      <c r="M1121"/>
      <c r="N1121"/>
      <c r="O1121"/>
      <c r="P1121"/>
      <c r="Q1121"/>
      <c r="R1121"/>
      <c r="S1121"/>
      <c r="T1121"/>
      <c r="U1121"/>
      <c r="V1121"/>
      <c r="W1121"/>
      <c r="X1121"/>
      <c r="Y1121"/>
    </row>
    <row r="1122" spans="13:25" x14ac:dyDescent="0.35">
      <c r="M1122"/>
      <c r="N1122"/>
      <c r="O1122"/>
      <c r="P1122"/>
      <c r="Q1122"/>
      <c r="R1122"/>
      <c r="S1122"/>
      <c r="T1122"/>
      <c r="U1122"/>
      <c r="V1122"/>
      <c r="W1122"/>
      <c r="X1122"/>
      <c r="Y1122"/>
    </row>
    <row r="1123" spans="13:25" x14ac:dyDescent="0.35">
      <c r="M1123"/>
      <c r="N1123"/>
      <c r="O1123"/>
      <c r="P1123"/>
      <c r="Q1123"/>
      <c r="R1123"/>
      <c r="S1123"/>
      <c r="T1123"/>
      <c r="U1123"/>
      <c r="V1123"/>
      <c r="W1123"/>
      <c r="X1123"/>
      <c r="Y1123"/>
    </row>
    <row r="1124" spans="13:25" x14ac:dyDescent="0.35">
      <c r="M1124"/>
      <c r="N1124"/>
      <c r="O1124"/>
      <c r="P1124"/>
      <c r="Q1124"/>
      <c r="R1124"/>
      <c r="S1124"/>
      <c r="T1124"/>
      <c r="U1124"/>
      <c r="V1124"/>
      <c r="W1124"/>
      <c r="X1124"/>
      <c r="Y1124"/>
    </row>
    <row r="1125" spans="13:25" x14ac:dyDescent="0.35">
      <c r="M1125"/>
      <c r="N1125"/>
      <c r="O1125"/>
      <c r="P1125"/>
      <c r="Q1125"/>
      <c r="R1125"/>
      <c r="S1125"/>
      <c r="T1125"/>
      <c r="U1125"/>
      <c r="V1125"/>
      <c r="W1125"/>
      <c r="X1125"/>
      <c r="Y1125"/>
    </row>
    <row r="1126" spans="13:25" x14ac:dyDescent="0.35">
      <c r="M1126"/>
      <c r="N1126"/>
      <c r="O1126"/>
      <c r="P1126"/>
      <c r="Q1126"/>
      <c r="R1126"/>
      <c r="S1126"/>
      <c r="T1126"/>
      <c r="U1126"/>
      <c r="V1126"/>
      <c r="W1126"/>
      <c r="X1126"/>
      <c r="Y1126"/>
    </row>
    <row r="1127" spans="13:25" x14ac:dyDescent="0.35">
      <c r="M1127"/>
      <c r="N1127"/>
      <c r="O1127"/>
      <c r="P1127"/>
      <c r="Q1127"/>
      <c r="R1127"/>
      <c r="S1127"/>
      <c r="T1127"/>
      <c r="U1127"/>
      <c r="V1127"/>
      <c r="W1127"/>
      <c r="X1127"/>
      <c r="Y1127"/>
    </row>
    <row r="1128" spans="13:25" x14ac:dyDescent="0.35">
      <c r="M1128"/>
      <c r="N1128"/>
      <c r="O1128"/>
      <c r="P1128"/>
      <c r="Q1128"/>
      <c r="R1128"/>
      <c r="S1128"/>
      <c r="T1128"/>
      <c r="U1128"/>
      <c r="V1128"/>
      <c r="W1128"/>
      <c r="X1128"/>
      <c r="Y1128"/>
    </row>
    <row r="1129" spans="13:25" x14ac:dyDescent="0.35">
      <c r="M1129"/>
      <c r="N1129"/>
      <c r="O1129"/>
      <c r="P1129"/>
      <c r="Q1129"/>
      <c r="R1129"/>
      <c r="S1129"/>
      <c r="T1129"/>
      <c r="U1129"/>
      <c r="V1129"/>
      <c r="W1129"/>
      <c r="X1129"/>
      <c r="Y1129"/>
    </row>
    <row r="1130" spans="13:25" x14ac:dyDescent="0.35">
      <c r="M1130"/>
      <c r="N1130"/>
      <c r="O1130"/>
      <c r="P1130"/>
      <c r="Q1130"/>
      <c r="R1130"/>
      <c r="S1130"/>
      <c r="T1130"/>
      <c r="U1130"/>
      <c r="V1130"/>
      <c r="W1130"/>
      <c r="X1130"/>
      <c r="Y1130"/>
    </row>
    <row r="1131" spans="13:25" x14ac:dyDescent="0.35">
      <c r="M1131"/>
      <c r="N1131"/>
      <c r="O1131"/>
      <c r="P1131"/>
      <c r="Q1131"/>
      <c r="R1131"/>
      <c r="S1131"/>
      <c r="T1131"/>
      <c r="U1131"/>
      <c r="V1131"/>
      <c r="W1131"/>
      <c r="X1131"/>
      <c r="Y1131"/>
    </row>
    <row r="1132" spans="13:25" x14ac:dyDescent="0.35">
      <c r="M1132"/>
      <c r="N1132"/>
      <c r="O1132"/>
      <c r="P1132"/>
      <c r="Q1132"/>
      <c r="R1132"/>
      <c r="S1132"/>
      <c r="T1132"/>
      <c r="U1132"/>
      <c r="V1132"/>
      <c r="W1132"/>
      <c r="X1132"/>
      <c r="Y1132"/>
    </row>
    <row r="1133" spans="13:25" x14ac:dyDescent="0.35">
      <c r="M1133"/>
      <c r="N1133"/>
      <c r="O1133"/>
      <c r="P1133"/>
      <c r="Q1133"/>
      <c r="R1133"/>
      <c r="S1133"/>
      <c r="T1133"/>
      <c r="U1133"/>
      <c r="V1133"/>
      <c r="W1133"/>
      <c r="X1133"/>
      <c r="Y1133"/>
    </row>
    <row r="1134" spans="13:25" x14ac:dyDescent="0.35">
      <c r="M1134"/>
      <c r="N1134"/>
      <c r="O1134"/>
      <c r="P1134"/>
      <c r="Q1134"/>
      <c r="R1134"/>
      <c r="S1134"/>
      <c r="T1134"/>
      <c r="U1134"/>
      <c r="V1134"/>
      <c r="W1134"/>
      <c r="X1134"/>
      <c r="Y1134"/>
    </row>
    <row r="1135" spans="13:25" x14ac:dyDescent="0.35">
      <c r="M1135"/>
      <c r="N1135"/>
      <c r="O1135"/>
      <c r="P1135"/>
      <c r="Q1135"/>
      <c r="R1135"/>
      <c r="S1135"/>
      <c r="T1135"/>
      <c r="U1135"/>
      <c r="V1135"/>
      <c r="W1135"/>
      <c r="X1135"/>
      <c r="Y1135"/>
    </row>
    <row r="1136" spans="13:25" x14ac:dyDescent="0.35">
      <c r="M1136"/>
      <c r="N1136"/>
      <c r="O1136"/>
      <c r="P1136"/>
      <c r="Q1136"/>
      <c r="R1136"/>
      <c r="S1136"/>
      <c r="T1136"/>
      <c r="U1136"/>
      <c r="V1136"/>
      <c r="W1136"/>
      <c r="X1136"/>
      <c r="Y1136"/>
    </row>
    <row r="1137" spans="13:25" x14ac:dyDescent="0.35">
      <c r="M1137"/>
      <c r="N1137"/>
      <c r="O1137"/>
      <c r="P1137"/>
      <c r="Q1137"/>
      <c r="R1137"/>
      <c r="S1137"/>
      <c r="T1137"/>
      <c r="U1137"/>
      <c r="V1137"/>
      <c r="W1137"/>
      <c r="X1137"/>
      <c r="Y1137"/>
    </row>
    <row r="1138" spans="13:25" x14ac:dyDescent="0.35">
      <c r="M1138"/>
      <c r="N1138"/>
      <c r="O1138"/>
      <c r="P1138"/>
      <c r="Q1138"/>
      <c r="R1138"/>
      <c r="S1138"/>
      <c r="T1138"/>
      <c r="U1138"/>
      <c r="V1138"/>
      <c r="W1138"/>
      <c r="X1138"/>
      <c r="Y1138"/>
    </row>
    <row r="1139" spans="13:25" x14ac:dyDescent="0.35">
      <c r="M1139"/>
      <c r="N1139"/>
      <c r="O1139"/>
      <c r="P1139"/>
      <c r="Q1139"/>
      <c r="R1139"/>
      <c r="S1139"/>
      <c r="T1139"/>
      <c r="U1139"/>
      <c r="V1139"/>
      <c r="W1139"/>
      <c r="X1139"/>
      <c r="Y1139"/>
    </row>
    <row r="1140" spans="13:25" x14ac:dyDescent="0.35">
      <c r="M1140"/>
      <c r="N1140"/>
      <c r="O1140"/>
      <c r="P1140"/>
      <c r="Q1140"/>
      <c r="R1140"/>
      <c r="S1140"/>
      <c r="T1140"/>
      <c r="U1140"/>
      <c r="V1140"/>
      <c r="W1140"/>
      <c r="X1140"/>
      <c r="Y1140"/>
    </row>
    <row r="1141" spans="13:25" x14ac:dyDescent="0.35">
      <c r="M1141"/>
      <c r="N1141"/>
      <c r="O1141"/>
      <c r="P1141"/>
      <c r="Q1141"/>
      <c r="R1141"/>
      <c r="S1141"/>
      <c r="T1141"/>
      <c r="U1141"/>
      <c r="V1141"/>
      <c r="W1141"/>
      <c r="X1141"/>
      <c r="Y1141"/>
    </row>
    <row r="1142" spans="13:25" x14ac:dyDescent="0.35">
      <c r="M1142"/>
      <c r="N1142"/>
      <c r="O1142"/>
      <c r="P1142"/>
      <c r="Q1142"/>
      <c r="R1142"/>
      <c r="S1142"/>
      <c r="T1142"/>
      <c r="U1142"/>
      <c r="V1142"/>
      <c r="W1142"/>
      <c r="X1142"/>
      <c r="Y1142"/>
    </row>
    <row r="1143" spans="13:25" x14ac:dyDescent="0.35">
      <c r="M1143"/>
      <c r="N1143"/>
      <c r="O1143"/>
      <c r="P1143"/>
      <c r="Q1143"/>
      <c r="R1143"/>
      <c r="S1143"/>
      <c r="T1143"/>
      <c r="U1143"/>
      <c r="V1143"/>
      <c r="W1143"/>
      <c r="X1143"/>
      <c r="Y1143"/>
    </row>
    <row r="1144" spans="13:25" x14ac:dyDescent="0.35">
      <c r="M1144"/>
      <c r="N1144"/>
      <c r="O1144"/>
      <c r="P1144"/>
      <c r="Q1144"/>
      <c r="R1144"/>
      <c r="S1144"/>
      <c r="T1144"/>
      <c r="U1144"/>
      <c r="V1144"/>
      <c r="W1144"/>
      <c r="X1144"/>
      <c r="Y1144"/>
    </row>
    <row r="1145" spans="13:25" x14ac:dyDescent="0.35">
      <c r="M1145"/>
      <c r="N1145"/>
      <c r="O1145"/>
      <c r="P1145"/>
      <c r="Q1145"/>
      <c r="R1145"/>
      <c r="S1145"/>
      <c r="T1145"/>
      <c r="U1145"/>
      <c r="V1145"/>
      <c r="W1145"/>
      <c r="X1145"/>
      <c r="Y1145"/>
    </row>
    <row r="1146" spans="13:25" x14ac:dyDescent="0.35">
      <c r="M1146"/>
      <c r="N1146"/>
      <c r="O1146"/>
      <c r="P1146"/>
      <c r="Q1146"/>
      <c r="R1146"/>
      <c r="S1146"/>
      <c r="T1146"/>
      <c r="U1146"/>
      <c r="V1146"/>
      <c r="W1146"/>
      <c r="X1146"/>
      <c r="Y1146"/>
    </row>
    <row r="1147" spans="13:25" x14ac:dyDescent="0.35">
      <c r="M1147"/>
      <c r="N1147"/>
      <c r="O1147"/>
      <c r="P1147"/>
      <c r="Q1147"/>
      <c r="R1147"/>
      <c r="S1147"/>
      <c r="T1147"/>
      <c r="U1147"/>
      <c r="V1147"/>
      <c r="W1147"/>
      <c r="X1147"/>
      <c r="Y1147"/>
    </row>
    <row r="1148" spans="13:25" x14ac:dyDescent="0.35">
      <c r="M1148"/>
      <c r="N1148"/>
      <c r="O1148"/>
      <c r="P1148"/>
      <c r="Q1148"/>
      <c r="R1148"/>
      <c r="S1148"/>
      <c r="T1148"/>
      <c r="U1148"/>
      <c r="V1148"/>
      <c r="W1148"/>
      <c r="X1148"/>
      <c r="Y1148"/>
    </row>
    <row r="1149" spans="13:25" x14ac:dyDescent="0.35">
      <c r="M1149"/>
      <c r="N1149"/>
      <c r="O1149"/>
      <c r="P1149"/>
      <c r="Q1149"/>
      <c r="R1149"/>
      <c r="S1149"/>
      <c r="T1149"/>
      <c r="U1149"/>
      <c r="V1149"/>
      <c r="W1149"/>
      <c r="X1149"/>
      <c r="Y1149"/>
    </row>
    <row r="1150" spans="13:25" x14ac:dyDescent="0.35">
      <c r="M1150"/>
      <c r="N1150"/>
      <c r="O1150"/>
      <c r="P1150"/>
      <c r="Q1150"/>
      <c r="R1150"/>
      <c r="S1150"/>
      <c r="T1150"/>
      <c r="U1150"/>
      <c r="V1150"/>
      <c r="W1150"/>
      <c r="X1150"/>
      <c r="Y1150"/>
    </row>
    <row r="1151" spans="13:25" x14ac:dyDescent="0.35">
      <c r="M1151"/>
      <c r="N1151"/>
      <c r="O1151"/>
      <c r="P1151"/>
      <c r="Q1151"/>
      <c r="R1151"/>
      <c r="S1151"/>
      <c r="T1151"/>
      <c r="U1151"/>
      <c r="V1151"/>
      <c r="W1151"/>
      <c r="X1151"/>
      <c r="Y1151"/>
    </row>
    <row r="1152" spans="13:25" x14ac:dyDescent="0.35">
      <c r="M1152"/>
      <c r="N1152"/>
      <c r="O1152"/>
      <c r="P1152"/>
      <c r="Q1152"/>
      <c r="R1152"/>
      <c r="S1152"/>
      <c r="T1152"/>
      <c r="U1152"/>
      <c r="V1152"/>
      <c r="W1152"/>
      <c r="X1152"/>
      <c r="Y1152"/>
    </row>
    <row r="1153" spans="13:25" x14ac:dyDescent="0.35">
      <c r="M1153"/>
      <c r="N1153"/>
      <c r="O1153"/>
      <c r="P1153"/>
      <c r="Q1153"/>
      <c r="R1153"/>
      <c r="S1153"/>
      <c r="T1153"/>
      <c r="U1153"/>
      <c r="V1153"/>
      <c r="W1153"/>
      <c r="X1153"/>
      <c r="Y1153"/>
    </row>
    <row r="1154" spans="13:25" x14ac:dyDescent="0.35">
      <c r="M1154"/>
      <c r="N1154"/>
      <c r="O1154"/>
      <c r="P1154"/>
      <c r="Q1154"/>
      <c r="R1154"/>
      <c r="S1154"/>
      <c r="T1154"/>
      <c r="U1154"/>
      <c r="V1154"/>
      <c r="W1154"/>
      <c r="X1154"/>
      <c r="Y1154"/>
    </row>
    <row r="1155" spans="13:25" x14ac:dyDescent="0.35">
      <c r="M1155"/>
      <c r="N1155"/>
      <c r="O1155"/>
      <c r="P1155"/>
      <c r="Q1155"/>
      <c r="R1155"/>
      <c r="S1155"/>
      <c r="T1155"/>
      <c r="U1155"/>
      <c r="V1155"/>
      <c r="W1155"/>
      <c r="X1155"/>
      <c r="Y1155"/>
    </row>
    <row r="1156" spans="13:25" x14ac:dyDescent="0.35">
      <c r="M1156"/>
      <c r="N1156"/>
      <c r="O1156"/>
      <c r="P1156"/>
      <c r="Q1156"/>
      <c r="R1156"/>
      <c r="S1156"/>
      <c r="T1156"/>
      <c r="U1156"/>
      <c r="V1156"/>
      <c r="W1156"/>
      <c r="X1156"/>
      <c r="Y1156"/>
    </row>
    <row r="1157" spans="13:25" x14ac:dyDescent="0.35">
      <c r="M1157"/>
      <c r="N1157"/>
      <c r="O1157"/>
      <c r="P1157"/>
      <c r="Q1157"/>
      <c r="R1157"/>
      <c r="S1157"/>
      <c r="T1157"/>
      <c r="U1157"/>
      <c r="V1157"/>
      <c r="W1157"/>
      <c r="X1157"/>
      <c r="Y1157"/>
    </row>
    <row r="1158" spans="13:25" x14ac:dyDescent="0.35">
      <c r="M1158"/>
      <c r="N1158"/>
      <c r="O1158"/>
      <c r="P1158"/>
      <c r="Q1158"/>
      <c r="R1158"/>
      <c r="S1158"/>
      <c r="T1158"/>
      <c r="U1158"/>
      <c r="V1158"/>
      <c r="W1158"/>
      <c r="X1158"/>
      <c r="Y1158"/>
    </row>
    <row r="1159" spans="13:25" x14ac:dyDescent="0.35">
      <c r="M1159"/>
      <c r="N1159"/>
      <c r="O1159"/>
      <c r="P1159"/>
      <c r="Q1159"/>
      <c r="R1159"/>
      <c r="S1159"/>
      <c r="T1159"/>
      <c r="U1159"/>
      <c r="V1159"/>
      <c r="W1159"/>
      <c r="X1159"/>
      <c r="Y1159"/>
    </row>
    <row r="1160" spans="13:25" x14ac:dyDescent="0.35">
      <c r="M1160"/>
      <c r="N1160"/>
      <c r="O1160"/>
      <c r="P1160"/>
      <c r="Q1160"/>
      <c r="R1160"/>
      <c r="S1160"/>
      <c r="T1160"/>
      <c r="U1160"/>
      <c r="V1160"/>
      <c r="W1160"/>
      <c r="X1160"/>
      <c r="Y1160"/>
    </row>
    <row r="1161" spans="13:25" x14ac:dyDescent="0.35">
      <c r="M1161"/>
      <c r="N1161"/>
      <c r="O1161"/>
      <c r="P1161"/>
      <c r="Q1161"/>
      <c r="R1161"/>
      <c r="S1161"/>
      <c r="T1161"/>
      <c r="U1161"/>
      <c r="V1161"/>
      <c r="W1161"/>
      <c r="X1161"/>
      <c r="Y1161"/>
    </row>
    <row r="1162" spans="13:25" x14ac:dyDescent="0.35">
      <c r="M1162"/>
      <c r="N1162"/>
      <c r="O1162"/>
      <c r="P1162"/>
      <c r="Q1162"/>
      <c r="R1162"/>
      <c r="S1162"/>
      <c r="T1162"/>
      <c r="U1162"/>
      <c r="V1162"/>
      <c r="W1162"/>
      <c r="X1162"/>
      <c r="Y1162"/>
    </row>
    <row r="1163" spans="13:25" x14ac:dyDescent="0.35">
      <c r="M1163"/>
      <c r="N1163"/>
      <c r="O1163"/>
      <c r="P1163"/>
      <c r="Q1163"/>
      <c r="R1163"/>
      <c r="S1163"/>
      <c r="T1163"/>
      <c r="U1163"/>
      <c r="V1163"/>
      <c r="W1163"/>
      <c r="X1163"/>
      <c r="Y1163"/>
    </row>
    <row r="1164" spans="13:25" x14ac:dyDescent="0.35">
      <c r="M1164"/>
      <c r="N1164"/>
      <c r="O1164"/>
      <c r="P1164"/>
      <c r="Q1164"/>
      <c r="R1164"/>
      <c r="S1164"/>
      <c r="T1164"/>
      <c r="U1164"/>
      <c r="V1164"/>
      <c r="W1164"/>
      <c r="X1164"/>
      <c r="Y1164"/>
    </row>
    <row r="1165" spans="13:25" x14ac:dyDescent="0.35">
      <c r="M1165"/>
      <c r="N1165"/>
      <c r="O1165"/>
      <c r="P1165"/>
      <c r="Q1165"/>
      <c r="R1165"/>
      <c r="S1165"/>
      <c r="T1165"/>
      <c r="U1165"/>
      <c r="V1165"/>
      <c r="W1165"/>
      <c r="X1165"/>
      <c r="Y1165"/>
    </row>
    <row r="1166" spans="13:25" x14ac:dyDescent="0.35">
      <c r="M1166"/>
      <c r="N1166"/>
      <c r="O1166"/>
      <c r="P1166"/>
      <c r="Q1166"/>
      <c r="R1166"/>
      <c r="S1166"/>
      <c r="T1166"/>
      <c r="U1166"/>
      <c r="V1166"/>
      <c r="W1166"/>
      <c r="X1166"/>
      <c r="Y1166"/>
    </row>
    <row r="1167" spans="13:25" x14ac:dyDescent="0.35">
      <c r="M1167"/>
      <c r="N1167"/>
      <c r="O1167"/>
      <c r="P1167"/>
      <c r="Q1167"/>
      <c r="R1167"/>
      <c r="S1167"/>
      <c r="T1167"/>
      <c r="U1167"/>
      <c r="V1167"/>
      <c r="W1167"/>
      <c r="X1167"/>
      <c r="Y1167"/>
    </row>
    <row r="1168" spans="13:25" x14ac:dyDescent="0.35">
      <c r="M1168"/>
      <c r="N1168"/>
      <c r="O1168"/>
      <c r="P1168"/>
      <c r="Q1168"/>
      <c r="R1168"/>
      <c r="S1168"/>
      <c r="T1168"/>
      <c r="U1168"/>
      <c r="V1168"/>
      <c r="W1168"/>
      <c r="X1168"/>
      <c r="Y1168"/>
    </row>
    <row r="1169" spans="13:25" x14ac:dyDescent="0.35">
      <c r="M1169"/>
      <c r="N1169"/>
      <c r="O1169"/>
      <c r="P1169"/>
      <c r="Q1169"/>
      <c r="R1169"/>
      <c r="S1169"/>
      <c r="T1169"/>
      <c r="U1169"/>
      <c r="V1169"/>
      <c r="W1169"/>
      <c r="X1169"/>
      <c r="Y1169"/>
    </row>
    <row r="1170" spans="13:25" x14ac:dyDescent="0.35">
      <c r="M1170"/>
      <c r="N1170"/>
      <c r="O1170"/>
      <c r="P1170"/>
      <c r="Q1170"/>
      <c r="R1170"/>
      <c r="S1170"/>
      <c r="T1170"/>
      <c r="U1170"/>
      <c r="V1170"/>
      <c r="W1170"/>
      <c r="X1170"/>
      <c r="Y1170"/>
    </row>
    <row r="1171" spans="13:25" x14ac:dyDescent="0.35">
      <c r="M1171"/>
      <c r="N1171"/>
      <c r="O1171"/>
      <c r="P1171"/>
      <c r="Q1171"/>
      <c r="R1171"/>
      <c r="S1171"/>
      <c r="T1171"/>
      <c r="U1171"/>
      <c r="V1171"/>
      <c r="W1171"/>
      <c r="X1171"/>
      <c r="Y1171"/>
    </row>
    <row r="1172" spans="13:25" x14ac:dyDescent="0.35">
      <c r="M1172"/>
      <c r="N1172"/>
      <c r="O1172"/>
      <c r="P1172"/>
      <c r="Q1172"/>
      <c r="R1172"/>
      <c r="S1172"/>
      <c r="T1172"/>
      <c r="U1172"/>
      <c r="V1172"/>
      <c r="W1172"/>
      <c r="X1172"/>
      <c r="Y1172"/>
    </row>
    <row r="1173" spans="13:25" x14ac:dyDescent="0.35">
      <c r="M1173"/>
      <c r="N1173"/>
      <c r="O1173"/>
      <c r="P1173"/>
      <c r="Q1173"/>
      <c r="R1173"/>
      <c r="S1173"/>
      <c r="T1173"/>
      <c r="U1173"/>
      <c r="V1173"/>
      <c r="W1173"/>
      <c r="X1173"/>
      <c r="Y1173"/>
    </row>
    <row r="1174" spans="13:25" x14ac:dyDescent="0.35">
      <c r="M1174"/>
      <c r="N1174"/>
      <c r="O1174"/>
      <c r="P1174"/>
      <c r="Q1174"/>
      <c r="R1174"/>
      <c r="S1174"/>
      <c r="T1174"/>
      <c r="U1174"/>
      <c r="V1174"/>
      <c r="W1174"/>
      <c r="X1174"/>
      <c r="Y1174"/>
    </row>
    <row r="1175" spans="13:25" x14ac:dyDescent="0.35">
      <c r="M1175"/>
      <c r="N1175"/>
      <c r="O1175"/>
      <c r="P1175"/>
      <c r="Q1175"/>
      <c r="R1175"/>
      <c r="S1175"/>
      <c r="T1175"/>
      <c r="U1175"/>
      <c r="V1175"/>
      <c r="W1175"/>
      <c r="X1175"/>
      <c r="Y1175"/>
    </row>
    <row r="1176" spans="13:25" x14ac:dyDescent="0.35">
      <c r="M1176"/>
      <c r="N1176"/>
      <c r="O1176"/>
      <c r="P1176"/>
      <c r="Q1176"/>
      <c r="R1176"/>
      <c r="S1176"/>
      <c r="T1176"/>
      <c r="U1176"/>
      <c r="V1176"/>
      <c r="W1176"/>
      <c r="X1176"/>
      <c r="Y1176"/>
    </row>
    <row r="1177" spans="13:25" x14ac:dyDescent="0.35">
      <c r="M1177"/>
      <c r="N1177"/>
      <c r="O1177"/>
      <c r="P1177"/>
      <c r="Q1177"/>
      <c r="R1177"/>
      <c r="S1177"/>
      <c r="T1177"/>
      <c r="U1177"/>
      <c r="V1177"/>
      <c r="W1177"/>
      <c r="X1177"/>
      <c r="Y1177"/>
    </row>
    <row r="1178" spans="13:25" x14ac:dyDescent="0.35">
      <c r="M1178"/>
      <c r="N1178"/>
      <c r="O1178"/>
      <c r="P1178"/>
      <c r="Q1178"/>
      <c r="R1178"/>
      <c r="S1178"/>
      <c r="T1178"/>
      <c r="U1178"/>
      <c r="V1178"/>
      <c r="W1178"/>
      <c r="X1178"/>
      <c r="Y1178"/>
    </row>
    <row r="1179" spans="13:25" x14ac:dyDescent="0.35">
      <c r="M1179"/>
      <c r="N1179"/>
      <c r="O1179"/>
      <c r="P1179"/>
      <c r="Q1179"/>
      <c r="R1179"/>
      <c r="S1179"/>
      <c r="T1179"/>
      <c r="U1179"/>
      <c r="V1179"/>
      <c r="W1179"/>
      <c r="X1179"/>
      <c r="Y1179"/>
    </row>
    <row r="1180" spans="13:25" x14ac:dyDescent="0.35">
      <c r="M1180"/>
      <c r="N1180"/>
      <c r="O1180"/>
      <c r="P1180"/>
      <c r="Q1180"/>
      <c r="R1180"/>
      <c r="S1180"/>
      <c r="T1180"/>
      <c r="U1180"/>
      <c r="V1180"/>
      <c r="W1180"/>
      <c r="X1180"/>
      <c r="Y1180"/>
    </row>
    <row r="1181" spans="13:25" x14ac:dyDescent="0.35">
      <c r="M1181"/>
      <c r="N1181"/>
      <c r="O1181"/>
      <c r="P1181"/>
      <c r="Q1181"/>
      <c r="R1181"/>
      <c r="S1181"/>
      <c r="T1181"/>
      <c r="U1181"/>
      <c r="V1181"/>
      <c r="W1181"/>
      <c r="X1181"/>
      <c r="Y1181"/>
    </row>
    <row r="1182" spans="13:25" x14ac:dyDescent="0.35">
      <c r="M1182"/>
      <c r="N1182"/>
      <c r="O1182"/>
      <c r="P1182"/>
      <c r="Q1182"/>
      <c r="R1182"/>
      <c r="S1182"/>
      <c r="T1182"/>
      <c r="U1182"/>
      <c r="V1182"/>
      <c r="W1182"/>
      <c r="X1182"/>
      <c r="Y1182"/>
    </row>
    <row r="1183" spans="13:25" x14ac:dyDescent="0.35">
      <c r="M1183"/>
      <c r="N1183"/>
      <c r="O1183"/>
      <c r="P1183"/>
      <c r="Q1183"/>
      <c r="R1183"/>
      <c r="S1183"/>
      <c r="T1183"/>
      <c r="U1183"/>
      <c r="V1183"/>
      <c r="W1183"/>
      <c r="X1183"/>
      <c r="Y1183"/>
    </row>
    <row r="1184" spans="13:25" x14ac:dyDescent="0.35">
      <c r="M1184"/>
      <c r="N1184"/>
      <c r="O1184"/>
      <c r="P1184"/>
      <c r="Q1184"/>
      <c r="R1184"/>
      <c r="S1184"/>
      <c r="T1184"/>
      <c r="U1184"/>
      <c r="V1184"/>
      <c r="W1184"/>
      <c r="X1184"/>
      <c r="Y1184"/>
    </row>
    <row r="1185" spans="13:25" x14ac:dyDescent="0.35">
      <c r="M1185"/>
      <c r="N1185"/>
      <c r="O1185"/>
      <c r="P1185"/>
      <c r="Q1185"/>
      <c r="R1185"/>
      <c r="S1185"/>
      <c r="T1185"/>
      <c r="U1185"/>
      <c r="V1185"/>
      <c r="W1185"/>
      <c r="X1185"/>
      <c r="Y1185"/>
    </row>
    <row r="1186" spans="13:25" x14ac:dyDescent="0.35">
      <c r="M1186"/>
      <c r="N1186"/>
      <c r="O1186"/>
      <c r="P1186"/>
      <c r="Q1186"/>
      <c r="R1186"/>
      <c r="S1186"/>
      <c r="T1186"/>
      <c r="U1186"/>
      <c r="V1186"/>
      <c r="W1186"/>
      <c r="X1186"/>
      <c r="Y1186"/>
    </row>
    <row r="1187" spans="13:25" x14ac:dyDescent="0.35">
      <c r="M1187"/>
      <c r="N1187"/>
      <c r="O1187"/>
      <c r="P1187"/>
      <c r="Q1187"/>
      <c r="R1187"/>
      <c r="S1187"/>
      <c r="T1187"/>
      <c r="U1187"/>
      <c r="V1187"/>
      <c r="W1187"/>
      <c r="X1187"/>
      <c r="Y1187"/>
    </row>
    <row r="1188" spans="13:25" x14ac:dyDescent="0.35">
      <c r="M1188"/>
      <c r="N1188"/>
      <c r="O1188"/>
      <c r="P1188"/>
      <c r="Q1188"/>
      <c r="R1188"/>
      <c r="S1188"/>
      <c r="T1188"/>
      <c r="U1188"/>
      <c r="V1188"/>
      <c r="W1188"/>
      <c r="X1188"/>
      <c r="Y1188"/>
    </row>
    <row r="1189" spans="13:25" x14ac:dyDescent="0.35">
      <c r="M1189"/>
      <c r="N1189"/>
      <c r="O1189"/>
      <c r="P1189"/>
      <c r="Q1189"/>
      <c r="R1189"/>
      <c r="S1189"/>
      <c r="T1189"/>
      <c r="U1189"/>
      <c r="V1189"/>
      <c r="W1189"/>
      <c r="X1189"/>
      <c r="Y1189"/>
    </row>
    <row r="1190" spans="13:25" x14ac:dyDescent="0.35">
      <c r="M1190"/>
      <c r="N1190"/>
      <c r="O1190"/>
      <c r="P1190"/>
      <c r="Q1190"/>
      <c r="R1190"/>
      <c r="S1190"/>
      <c r="T1190"/>
      <c r="U1190"/>
      <c r="V1190"/>
      <c r="W1190"/>
      <c r="X1190"/>
      <c r="Y1190"/>
    </row>
    <row r="1191" spans="13:25" x14ac:dyDescent="0.35">
      <c r="M1191"/>
      <c r="N1191"/>
      <c r="O1191"/>
      <c r="P1191"/>
      <c r="Q1191"/>
      <c r="R1191"/>
      <c r="S1191"/>
      <c r="T1191"/>
      <c r="U1191"/>
      <c r="V1191"/>
      <c r="W1191"/>
      <c r="X1191"/>
      <c r="Y1191"/>
    </row>
    <row r="1192" spans="13:25" x14ac:dyDescent="0.35">
      <c r="M1192"/>
      <c r="N1192"/>
      <c r="O1192"/>
      <c r="P1192"/>
      <c r="Q1192"/>
      <c r="R1192"/>
      <c r="S1192"/>
      <c r="T1192"/>
      <c r="U1192"/>
      <c r="V1192"/>
      <c r="W1192"/>
      <c r="X1192"/>
      <c r="Y1192"/>
    </row>
    <row r="1193" spans="13:25" x14ac:dyDescent="0.35">
      <c r="M1193"/>
      <c r="N1193"/>
      <c r="O1193"/>
      <c r="P1193"/>
      <c r="Q1193"/>
      <c r="R1193"/>
      <c r="S1193"/>
      <c r="T1193"/>
      <c r="U1193"/>
      <c r="V1193"/>
      <c r="W1193"/>
      <c r="X1193"/>
      <c r="Y1193"/>
    </row>
    <row r="1194" spans="13:25" x14ac:dyDescent="0.35">
      <c r="M1194"/>
      <c r="N1194"/>
      <c r="O1194"/>
      <c r="P1194"/>
      <c r="Q1194"/>
      <c r="R1194"/>
      <c r="S1194"/>
      <c r="T1194"/>
      <c r="U1194"/>
      <c r="V1194"/>
      <c r="W1194"/>
      <c r="X1194"/>
      <c r="Y1194"/>
    </row>
    <row r="1195" spans="13:25" x14ac:dyDescent="0.35">
      <c r="M1195"/>
      <c r="N1195"/>
      <c r="O1195"/>
      <c r="P1195"/>
      <c r="Q1195"/>
      <c r="R1195"/>
      <c r="S1195"/>
      <c r="T1195"/>
      <c r="U1195"/>
      <c r="V1195"/>
      <c r="W1195"/>
      <c r="X1195"/>
      <c r="Y1195"/>
    </row>
    <row r="1196" spans="13:25" x14ac:dyDescent="0.35">
      <c r="M1196"/>
      <c r="N1196"/>
      <c r="O1196"/>
      <c r="P1196"/>
      <c r="Q1196"/>
      <c r="R1196"/>
      <c r="S1196"/>
      <c r="T1196"/>
      <c r="U1196"/>
      <c r="V1196"/>
      <c r="W1196"/>
      <c r="X1196"/>
      <c r="Y1196"/>
    </row>
    <row r="1197" spans="13:25" x14ac:dyDescent="0.35">
      <c r="M1197"/>
      <c r="N1197"/>
      <c r="O1197"/>
      <c r="P1197"/>
      <c r="Q1197"/>
      <c r="R1197"/>
      <c r="S1197"/>
      <c r="T1197"/>
      <c r="U1197"/>
      <c r="V1197"/>
      <c r="W1197"/>
      <c r="X1197"/>
      <c r="Y1197"/>
    </row>
    <row r="1198" spans="13:25" x14ac:dyDescent="0.35">
      <c r="M1198"/>
      <c r="N1198"/>
      <c r="O1198"/>
      <c r="P1198"/>
      <c r="Q1198"/>
      <c r="R1198"/>
      <c r="S1198"/>
      <c r="T1198"/>
      <c r="U1198"/>
      <c r="V1198"/>
      <c r="W1198"/>
      <c r="X1198"/>
      <c r="Y1198"/>
    </row>
    <row r="1199" spans="13:25" x14ac:dyDescent="0.35">
      <c r="M1199"/>
      <c r="N1199"/>
      <c r="O1199"/>
      <c r="P1199"/>
      <c r="Q1199"/>
      <c r="R1199"/>
      <c r="S1199"/>
      <c r="T1199"/>
      <c r="U1199"/>
      <c r="V1199"/>
      <c r="W1199"/>
      <c r="X1199"/>
      <c r="Y1199"/>
    </row>
    <row r="1200" spans="13:25" x14ac:dyDescent="0.35">
      <c r="M1200"/>
      <c r="N1200"/>
      <c r="O1200"/>
      <c r="P1200"/>
      <c r="Q1200"/>
      <c r="R1200"/>
      <c r="S1200"/>
      <c r="T1200"/>
      <c r="U1200"/>
      <c r="V1200"/>
      <c r="W1200"/>
      <c r="X1200"/>
      <c r="Y1200"/>
    </row>
    <row r="1201" spans="13:25" x14ac:dyDescent="0.35">
      <c r="M1201"/>
      <c r="N1201"/>
      <c r="O1201"/>
      <c r="P1201"/>
      <c r="Q1201"/>
      <c r="R1201"/>
      <c r="S1201"/>
      <c r="T1201"/>
      <c r="U1201"/>
      <c r="V1201"/>
      <c r="W1201"/>
      <c r="X1201"/>
      <c r="Y1201"/>
    </row>
    <row r="1202" spans="13:25" x14ac:dyDescent="0.35">
      <c r="M1202"/>
      <c r="N1202"/>
      <c r="O1202"/>
      <c r="P1202"/>
      <c r="Q1202"/>
      <c r="R1202"/>
      <c r="S1202"/>
      <c r="T1202"/>
      <c r="U1202"/>
      <c r="V1202"/>
      <c r="W1202"/>
      <c r="X1202"/>
      <c r="Y1202"/>
    </row>
    <row r="1203" spans="13:25" x14ac:dyDescent="0.35">
      <c r="M1203"/>
      <c r="N1203"/>
      <c r="O1203"/>
      <c r="P1203"/>
      <c r="Q1203"/>
      <c r="R1203"/>
      <c r="S1203"/>
      <c r="T1203"/>
      <c r="U1203"/>
      <c r="V1203"/>
      <c r="W1203"/>
      <c r="X1203"/>
      <c r="Y1203"/>
    </row>
    <row r="1204" spans="13:25" x14ac:dyDescent="0.35">
      <c r="M1204"/>
      <c r="N1204"/>
      <c r="O1204"/>
      <c r="P1204"/>
      <c r="Q1204"/>
      <c r="R1204"/>
      <c r="S1204"/>
      <c r="T1204"/>
      <c r="U1204"/>
      <c r="V1204"/>
      <c r="W1204"/>
      <c r="X1204"/>
      <c r="Y1204"/>
    </row>
    <row r="1205" spans="13:25" x14ac:dyDescent="0.35">
      <c r="M1205"/>
      <c r="N1205"/>
      <c r="O1205"/>
      <c r="P1205"/>
      <c r="Q1205"/>
      <c r="R1205"/>
      <c r="S1205"/>
      <c r="T1205"/>
      <c r="U1205"/>
      <c r="V1205"/>
      <c r="W1205"/>
      <c r="X1205"/>
      <c r="Y1205"/>
    </row>
    <row r="1206" spans="13:25" x14ac:dyDescent="0.35">
      <c r="M1206"/>
      <c r="N1206"/>
      <c r="O1206"/>
      <c r="P1206"/>
      <c r="Q1206"/>
      <c r="R1206"/>
      <c r="S1206"/>
      <c r="T1206"/>
      <c r="U1206"/>
      <c r="V1206"/>
      <c r="W1206"/>
      <c r="X1206"/>
      <c r="Y1206"/>
    </row>
    <row r="1207" spans="13:25" x14ac:dyDescent="0.35">
      <c r="M1207"/>
      <c r="N1207"/>
      <c r="O1207"/>
      <c r="P1207"/>
      <c r="Q1207"/>
      <c r="R1207"/>
      <c r="S1207"/>
      <c r="T1207"/>
      <c r="U1207"/>
      <c r="V1207"/>
      <c r="W1207"/>
      <c r="X1207"/>
      <c r="Y1207"/>
    </row>
    <row r="1208" spans="13:25" x14ac:dyDescent="0.35">
      <c r="M1208"/>
      <c r="N1208"/>
      <c r="O1208"/>
      <c r="P1208"/>
      <c r="Q1208"/>
      <c r="R1208"/>
      <c r="S1208"/>
      <c r="T1208"/>
      <c r="U1208"/>
      <c r="V1208"/>
      <c r="W1208"/>
      <c r="X1208"/>
      <c r="Y1208"/>
    </row>
    <row r="1209" spans="13:25" x14ac:dyDescent="0.35">
      <c r="M1209"/>
      <c r="N1209"/>
      <c r="O1209"/>
      <c r="P1209"/>
      <c r="Q1209"/>
      <c r="R1209"/>
      <c r="S1209"/>
      <c r="T1209"/>
      <c r="U1209"/>
      <c r="V1209"/>
      <c r="W1209"/>
      <c r="X1209"/>
      <c r="Y1209"/>
    </row>
    <row r="1210" spans="13:25" x14ac:dyDescent="0.35">
      <c r="M1210"/>
      <c r="N1210"/>
      <c r="O1210"/>
      <c r="P1210"/>
      <c r="Q1210"/>
      <c r="R1210"/>
      <c r="S1210"/>
      <c r="T1210"/>
      <c r="U1210"/>
      <c r="V1210"/>
      <c r="W1210"/>
      <c r="X1210"/>
      <c r="Y1210"/>
    </row>
    <row r="1211" spans="13:25" x14ac:dyDescent="0.35">
      <c r="M1211"/>
      <c r="N1211"/>
      <c r="O1211"/>
      <c r="P1211"/>
      <c r="Q1211"/>
      <c r="R1211"/>
      <c r="S1211"/>
      <c r="T1211"/>
      <c r="U1211"/>
      <c r="V1211"/>
      <c r="W1211"/>
      <c r="X1211"/>
      <c r="Y1211"/>
    </row>
    <row r="1212" spans="13:25" x14ac:dyDescent="0.35">
      <c r="M1212"/>
      <c r="N1212"/>
      <c r="O1212"/>
      <c r="P1212"/>
      <c r="Q1212"/>
      <c r="R1212"/>
      <c r="S1212"/>
      <c r="T1212"/>
      <c r="U1212"/>
      <c r="V1212"/>
      <c r="W1212"/>
      <c r="X1212"/>
      <c r="Y1212"/>
    </row>
    <row r="1213" spans="13:25" x14ac:dyDescent="0.35">
      <c r="M1213"/>
      <c r="N1213"/>
      <c r="O1213"/>
      <c r="P1213"/>
      <c r="Q1213"/>
      <c r="R1213"/>
      <c r="S1213"/>
      <c r="T1213"/>
      <c r="U1213"/>
      <c r="V1213"/>
      <c r="W1213"/>
      <c r="X1213"/>
      <c r="Y1213"/>
    </row>
    <row r="1214" spans="13:25" x14ac:dyDescent="0.35">
      <c r="M1214"/>
      <c r="N1214"/>
      <c r="O1214"/>
      <c r="P1214"/>
      <c r="Q1214"/>
      <c r="R1214"/>
      <c r="S1214"/>
      <c r="T1214"/>
      <c r="U1214"/>
      <c r="V1214"/>
      <c r="W1214"/>
      <c r="X1214"/>
      <c r="Y1214"/>
    </row>
    <row r="1215" spans="13:25" x14ac:dyDescent="0.35">
      <c r="M1215"/>
      <c r="N1215"/>
      <c r="O1215"/>
      <c r="P1215"/>
      <c r="Q1215"/>
      <c r="R1215"/>
      <c r="S1215"/>
      <c r="T1215"/>
      <c r="U1215"/>
      <c r="V1215"/>
      <c r="W1215"/>
      <c r="X1215"/>
      <c r="Y1215"/>
    </row>
    <row r="1216" spans="13:25" x14ac:dyDescent="0.35">
      <c r="M1216"/>
      <c r="N1216"/>
      <c r="O1216"/>
      <c r="P1216"/>
      <c r="Q1216"/>
      <c r="R1216"/>
      <c r="S1216"/>
      <c r="T1216"/>
      <c r="U1216"/>
      <c r="V1216"/>
      <c r="W1216"/>
      <c r="X1216"/>
      <c r="Y1216"/>
    </row>
    <row r="1217" spans="13:25" x14ac:dyDescent="0.35">
      <c r="M1217"/>
      <c r="N1217"/>
      <c r="O1217"/>
      <c r="P1217"/>
      <c r="Q1217"/>
      <c r="R1217"/>
      <c r="S1217"/>
      <c r="T1217"/>
      <c r="U1217"/>
      <c r="V1217"/>
      <c r="W1217"/>
      <c r="X1217"/>
      <c r="Y1217"/>
    </row>
    <row r="1218" spans="13:25" x14ac:dyDescent="0.35">
      <c r="M1218"/>
      <c r="N1218"/>
      <c r="O1218"/>
      <c r="P1218"/>
      <c r="Q1218"/>
      <c r="R1218"/>
      <c r="S1218"/>
      <c r="T1218"/>
      <c r="U1218"/>
      <c r="V1218"/>
      <c r="W1218"/>
      <c r="X1218"/>
      <c r="Y1218"/>
    </row>
    <row r="1219" spans="13:25" x14ac:dyDescent="0.35">
      <c r="M1219"/>
      <c r="N1219"/>
      <c r="O1219"/>
      <c r="P1219"/>
      <c r="Q1219"/>
      <c r="R1219"/>
      <c r="S1219"/>
      <c r="T1219"/>
      <c r="U1219"/>
      <c r="V1219"/>
      <c r="W1219"/>
      <c r="X1219"/>
      <c r="Y1219"/>
    </row>
    <row r="1220" spans="13:25" x14ac:dyDescent="0.35">
      <c r="M1220"/>
      <c r="N1220"/>
      <c r="O1220"/>
      <c r="P1220"/>
      <c r="Q1220"/>
      <c r="R1220"/>
      <c r="S1220"/>
      <c r="T1220"/>
      <c r="U1220"/>
      <c r="V1220"/>
      <c r="W1220"/>
      <c r="X1220"/>
      <c r="Y1220"/>
    </row>
    <row r="1221" spans="13:25" x14ac:dyDescent="0.35">
      <c r="M1221"/>
      <c r="N1221"/>
      <c r="O1221"/>
      <c r="P1221"/>
      <c r="Q1221"/>
      <c r="R1221"/>
      <c r="S1221"/>
      <c r="T1221"/>
      <c r="U1221"/>
      <c r="V1221"/>
      <c r="W1221"/>
      <c r="X1221"/>
      <c r="Y1221"/>
    </row>
    <row r="1222" spans="13:25" x14ac:dyDescent="0.35">
      <c r="M1222"/>
      <c r="N1222"/>
      <c r="O1222"/>
      <c r="P1222"/>
      <c r="Q1222"/>
      <c r="R1222"/>
      <c r="S1222"/>
      <c r="T1222"/>
      <c r="U1222"/>
      <c r="V1222"/>
      <c r="W1222"/>
      <c r="X1222"/>
      <c r="Y1222"/>
    </row>
    <row r="1223" spans="13:25" x14ac:dyDescent="0.35">
      <c r="M1223"/>
      <c r="N1223"/>
      <c r="O1223"/>
      <c r="P1223"/>
      <c r="Q1223"/>
      <c r="R1223"/>
      <c r="S1223"/>
      <c r="T1223"/>
      <c r="U1223"/>
      <c r="V1223"/>
      <c r="W1223"/>
      <c r="X1223"/>
      <c r="Y1223"/>
    </row>
    <row r="1224" spans="13:25" x14ac:dyDescent="0.35">
      <c r="M1224"/>
      <c r="N1224"/>
      <c r="O1224"/>
      <c r="P1224"/>
      <c r="Q1224"/>
      <c r="R1224"/>
      <c r="S1224"/>
      <c r="T1224"/>
      <c r="U1224"/>
      <c r="V1224"/>
      <c r="W1224"/>
      <c r="X1224"/>
      <c r="Y1224"/>
    </row>
    <row r="1225" spans="13:25" x14ac:dyDescent="0.35">
      <c r="M1225"/>
      <c r="N1225"/>
      <c r="O1225"/>
      <c r="P1225"/>
      <c r="Q1225"/>
      <c r="R1225"/>
      <c r="S1225"/>
      <c r="T1225"/>
      <c r="U1225"/>
      <c r="V1225"/>
      <c r="W1225"/>
      <c r="X1225"/>
      <c r="Y1225"/>
    </row>
    <row r="1226" spans="13:25" x14ac:dyDescent="0.35">
      <c r="M1226"/>
      <c r="N1226"/>
      <c r="O1226"/>
      <c r="P1226"/>
      <c r="Q1226"/>
      <c r="R1226"/>
      <c r="S1226"/>
      <c r="T1226"/>
      <c r="U1226"/>
      <c r="V1226"/>
      <c r="W1226"/>
      <c r="X1226"/>
      <c r="Y1226"/>
    </row>
    <row r="1227" spans="13:25" x14ac:dyDescent="0.35">
      <c r="M1227"/>
      <c r="N1227"/>
      <c r="O1227"/>
      <c r="P1227"/>
      <c r="Q1227"/>
      <c r="R1227"/>
      <c r="S1227"/>
      <c r="T1227"/>
      <c r="U1227"/>
      <c r="V1227"/>
      <c r="W1227"/>
      <c r="X1227"/>
      <c r="Y1227"/>
    </row>
    <row r="1228" spans="13:25" x14ac:dyDescent="0.35">
      <c r="M1228"/>
      <c r="N1228"/>
      <c r="O1228"/>
      <c r="P1228"/>
      <c r="Q1228"/>
      <c r="R1228"/>
      <c r="S1228"/>
      <c r="T1228"/>
      <c r="U1228"/>
      <c r="V1228"/>
      <c r="W1228"/>
      <c r="X1228"/>
      <c r="Y1228"/>
    </row>
    <row r="1229" spans="13:25" x14ac:dyDescent="0.35">
      <c r="M1229"/>
      <c r="N1229"/>
      <c r="O1229"/>
      <c r="P1229"/>
      <c r="Q1229"/>
      <c r="R1229"/>
      <c r="S1229"/>
      <c r="T1229"/>
      <c r="U1229"/>
      <c r="V1229"/>
      <c r="W1229"/>
      <c r="X1229"/>
      <c r="Y1229"/>
    </row>
    <row r="1230" spans="13:25" x14ac:dyDescent="0.35">
      <c r="M1230"/>
      <c r="N1230"/>
      <c r="O1230"/>
      <c r="P1230"/>
      <c r="Q1230"/>
      <c r="R1230"/>
      <c r="S1230"/>
      <c r="T1230"/>
      <c r="U1230"/>
      <c r="V1230"/>
      <c r="W1230"/>
      <c r="X1230"/>
      <c r="Y1230"/>
    </row>
    <row r="1231" spans="13:25" x14ac:dyDescent="0.35">
      <c r="M1231"/>
      <c r="N1231"/>
      <c r="O1231"/>
      <c r="P1231"/>
      <c r="Q1231"/>
      <c r="R1231"/>
      <c r="S1231"/>
      <c r="T1231"/>
      <c r="U1231"/>
      <c r="V1231"/>
      <c r="W1231"/>
      <c r="X1231"/>
      <c r="Y1231"/>
    </row>
    <row r="1232" spans="13:25" x14ac:dyDescent="0.35">
      <c r="M1232"/>
      <c r="N1232"/>
      <c r="O1232"/>
      <c r="P1232"/>
      <c r="Q1232"/>
      <c r="R1232"/>
      <c r="S1232"/>
      <c r="T1232"/>
      <c r="U1232"/>
      <c r="V1232"/>
      <c r="W1232"/>
      <c r="X1232"/>
      <c r="Y1232"/>
    </row>
    <row r="1233" spans="13:25" x14ac:dyDescent="0.35">
      <c r="M1233"/>
      <c r="N1233"/>
      <c r="O1233"/>
      <c r="P1233"/>
      <c r="Q1233"/>
      <c r="R1233"/>
      <c r="S1233"/>
      <c r="T1233"/>
      <c r="U1233"/>
      <c r="V1233"/>
      <c r="W1233"/>
      <c r="X1233"/>
      <c r="Y1233"/>
    </row>
    <row r="1234" spans="13:25" x14ac:dyDescent="0.35">
      <c r="M1234"/>
      <c r="N1234"/>
      <c r="O1234"/>
      <c r="P1234"/>
      <c r="Q1234"/>
      <c r="R1234"/>
      <c r="S1234"/>
      <c r="T1234"/>
      <c r="U1234"/>
      <c r="V1234"/>
      <c r="W1234"/>
      <c r="X1234"/>
      <c r="Y1234"/>
    </row>
    <row r="1235" spans="13:25" x14ac:dyDescent="0.35">
      <c r="M1235"/>
      <c r="N1235"/>
      <c r="O1235"/>
      <c r="P1235"/>
      <c r="Q1235"/>
      <c r="R1235"/>
      <c r="S1235"/>
      <c r="T1235"/>
      <c r="U1235"/>
      <c r="V1235"/>
      <c r="W1235"/>
      <c r="X1235"/>
      <c r="Y1235"/>
    </row>
    <row r="1236" spans="13:25" x14ac:dyDescent="0.35">
      <c r="M1236"/>
      <c r="N1236"/>
      <c r="O1236"/>
      <c r="P1236"/>
      <c r="Q1236"/>
      <c r="R1236"/>
      <c r="S1236"/>
      <c r="T1236"/>
      <c r="U1236"/>
      <c r="V1236"/>
      <c r="W1236"/>
      <c r="X1236"/>
      <c r="Y1236"/>
    </row>
    <row r="1237" spans="13:25" x14ac:dyDescent="0.35">
      <c r="M1237"/>
      <c r="N1237"/>
      <c r="O1237"/>
      <c r="P1237"/>
      <c r="Q1237"/>
      <c r="R1237"/>
      <c r="S1237"/>
      <c r="T1237"/>
      <c r="U1237"/>
      <c r="V1237"/>
      <c r="W1237"/>
      <c r="X1237"/>
      <c r="Y1237"/>
    </row>
    <row r="1238" spans="13:25" x14ac:dyDescent="0.35">
      <c r="M1238"/>
      <c r="N1238"/>
      <c r="O1238"/>
      <c r="P1238"/>
      <c r="Q1238"/>
      <c r="R1238"/>
      <c r="S1238"/>
      <c r="T1238"/>
      <c r="U1238"/>
      <c r="V1238"/>
      <c r="W1238"/>
      <c r="X1238"/>
      <c r="Y1238"/>
    </row>
    <row r="1239" spans="13:25" x14ac:dyDescent="0.35">
      <c r="M1239"/>
      <c r="N1239"/>
      <c r="O1239"/>
      <c r="P1239"/>
      <c r="Q1239"/>
      <c r="R1239"/>
      <c r="S1239"/>
      <c r="T1239"/>
      <c r="U1239"/>
      <c r="V1239"/>
      <c r="W1239"/>
      <c r="X1239"/>
      <c r="Y1239"/>
    </row>
    <row r="1240" spans="13:25" x14ac:dyDescent="0.35">
      <c r="M1240"/>
      <c r="N1240"/>
      <c r="O1240"/>
      <c r="P1240"/>
      <c r="Q1240"/>
      <c r="R1240"/>
      <c r="S1240"/>
      <c r="T1240"/>
      <c r="U1240"/>
      <c r="V1240"/>
      <c r="W1240"/>
      <c r="X1240"/>
      <c r="Y1240"/>
    </row>
    <row r="1241" spans="13:25" x14ac:dyDescent="0.35">
      <c r="M1241"/>
      <c r="N1241"/>
      <c r="O1241"/>
      <c r="P1241"/>
      <c r="Q1241"/>
      <c r="R1241"/>
      <c r="S1241"/>
      <c r="T1241"/>
      <c r="U1241"/>
      <c r="V1241"/>
      <c r="W1241"/>
      <c r="X1241"/>
      <c r="Y1241"/>
    </row>
    <row r="1242" spans="13:25" x14ac:dyDescent="0.35">
      <c r="M1242"/>
      <c r="N1242"/>
      <c r="O1242"/>
      <c r="P1242"/>
      <c r="Q1242"/>
      <c r="R1242"/>
      <c r="S1242"/>
      <c r="T1242"/>
      <c r="U1242"/>
      <c r="V1242"/>
      <c r="W1242"/>
      <c r="X1242"/>
      <c r="Y1242"/>
    </row>
    <row r="1243" spans="13:25" x14ac:dyDescent="0.35">
      <c r="M1243"/>
      <c r="N1243"/>
      <c r="O1243"/>
      <c r="P1243"/>
      <c r="Q1243"/>
      <c r="R1243"/>
      <c r="S1243"/>
      <c r="T1243"/>
      <c r="U1243"/>
      <c r="V1243"/>
      <c r="W1243"/>
      <c r="X1243"/>
      <c r="Y1243"/>
    </row>
    <row r="1244" spans="13:25" x14ac:dyDescent="0.35">
      <c r="M1244"/>
      <c r="N1244"/>
      <c r="O1244"/>
      <c r="P1244"/>
      <c r="Q1244"/>
      <c r="R1244"/>
      <c r="S1244"/>
      <c r="T1244"/>
      <c r="U1244"/>
      <c r="V1244"/>
      <c r="W1244"/>
      <c r="X1244"/>
      <c r="Y1244"/>
    </row>
    <row r="1245" spans="13:25" x14ac:dyDescent="0.35">
      <c r="M1245"/>
      <c r="N1245"/>
      <c r="O1245"/>
      <c r="P1245"/>
      <c r="Q1245"/>
      <c r="R1245"/>
      <c r="S1245"/>
      <c r="T1245"/>
      <c r="U1245"/>
      <c r="V1245"/>
      <c r="W1245"/>
      <c r="X1245"/>
      <c r="Y1245"/>
    </row>
    <row r="1246" spans="13:25" x14ac:dyDescent="0.35">
      <c r="M1246"/>
      <c r="N1246"/>
      <c r="O1246"/>
      <c r="P1246"/>
      <c r="Q1246"/>
      <c r="R1246"/>
      <c r="S1246"/>
      <c r="T1246"/>
      <c r="U1246"/>
      <c r="V1246"/>
      <c r="W1246"/>
      <c r="X1246"/>
      <c r="Y1246"/>
    </row>
    <row r="1247" spans="13:25" x14ac:dyDescent="0.35">
      <c r="M1247"/>
      <c r="N1247"/>
      <c r="O1247"/>
      <c r="P1247"/>
      <c r="Q1247"/>
      <c r="R1247"/>
      <c r="S1247"/>
      <c r="T1247"/>
      <c r="U1247"/>
      <c r="V1247"/>
      <c r="W1247"/>
      <c r="X1247"/>
      <c r="Y1247"/>
    </row>
    <row r="1248" spans="13:25" x14ac:dyDescent="0.35">
      <c r="M1248"/>
      <c r="N1248"/>
      <c r="O1248"/>
      <c r="P1248"/>
      <c r="Q1248"/>
      <c r="R1248"/>
      <c r="S1248"/>
      <c r="T1248"/>
      <c r="U1248"/>
      <c r="V1248"/>
      <c r="W1248"/>
      <c r="X1248"/>
      <c r="Y1248"/>
    </row>
    <row r="1249" spans="13:25" x14ac:dyDescent="0.35">
      <c r="M1249"/>
      <c r="N1249"/>
      <c r="O1249"/>
      <c r="P1249"/>
      <c r="Q1249"/>
      <c r="R1249"/>
      <c r="S1249"/>
      <c r="T1249"/>
      <c r="U1249"/>
      <c r="V1249"/>
      <c r="W1249"/>
      <c r="X1249"/>
      <c r="Y1249"/>
    </row>
    <row r="1250" spans="13:25" x14ac:dyDescent="0.35">
      <c r="M1250"/>
      <c r="N1250"/>
      <c r="O1250"/>
      <c r="P1250"/>
      <c r="Q1250"/>
      <c r="R1250"/>
      <c r="S1250"/>
      <c r="T1250"/>
      <c r="U1250"/>
      <c r="V1250"/>
      <c r="W1250"/>
      <c r="X1250"/>
      <c r="Y1250"/>
    </row>
    <row r="1251" spans="13:25" x14ac:dyDescent="0.35">
      <c r="M1251"/>
      <c r="N1251"/>
      <c r="O1251"/>
      <c r="P1251"/>
      <c r="Q1251"/>
      <c r="R1251"/>
      <c r="S1251"/>
      <c r="T1251"/>
      <c r="U1251"/>
      <c r="V1251"/>
      <c r="W1251"/>
      <c r="X1251"/>
      <c r="Y1251"/>
    </row>
    <row r="1252" spans="13:25" x14ac:dyDescent="0.35">
      <c r="M1252"/>
      <c r="N1252"/>
      <c r="O1252"/>
      <c r="P1252"/>
      <c r="Q1252"/>
      <c r="R1252"/>
      <c r="S1252"/>
      <c r="T1252"/>
      <c r="U1252"/>
      <c r="V1252"/>
      <c r="W1252"/>
      <c r="X1252"/>
      <c r="Y1252"/>
    </row>
    <row r="1253" spans="13:25" x14ac:dyDescent="0.35">
      <c r="M1253"/>
      <c r="N1253"/>
      <c r="O1253"/>
      <c r="P1253"/>
      <c r="Q1253"/>
      <c r="R1253"/>
      <c r="S1253"/>
      <c r="T1253"/>
      <c r="U1253"/>
      <c r="V1253"/>
      <c r="W1253"/>
      <c r="X1253"/>
      <c r="Y1253"/>
    </row>
    <row r="1254" spans="13:25" x14ac:dyDescent="0.35">
      <c r="M1254"/>
      <c r="N1254"/>
      <c r="O1254"/>
      <c r="P1254"/>
      <c r="Q1254"/>
      <c r="R1254"/>
      <c r="S1254"/>
      <c r="T1254"/>
      <c r="U1254"/>
      <c r="V1254"/>
      <c r="W1254"/>
      <c r="X1254"/>
      <c r="Y1254"/>
    </row>
    <row r="1255" spans="13:25" x14ac:dyDescent="0.35">
      <c r="M1255"/>
      <c r="N1255"/>
      <c r="O1255"/>
      <c r="P1255"/>
      <c r="Q1255"/>
      <c r="R1255"/>
      <c r="S1255"/>
      <c r="T1255"/>
      <c r="U1255"/>
      <c r="V1255"/>
      <c r="W1255"/>
      <c r="X1255"/>
      <c r="Y1255"/>
    </row>
    <row r="1256" spans="13:25" x14ac:dyDescent="0.35">
      <c r="M1256"/>
      <c r="N1256"/>
      <c r="O1256"/>
      <c r="P1256"/>
      <c r="Q1256"/>
      <c r="R1256"/>
      <c r="S1256"/>
      <c r="T1256"/>
      <c r="U1256"/>
      <c r="V1256"/>
      <c r="W1256"/>
      <c r="X1256"/>
      <c r="Y1256"/>
    </row>
    <row r="1257" spans="13:25" x14ac:dyDescent="0.35">
      <c r="M1257"/>
      <c r="N1257"/>
      <c r="O1257"/>
      <c r="P1257"/>
      <c r="Q1257"/>
      <c r="R1257"/>
      <c r="S1257"/>
      <c r="T1257"/>
      <c r="U1257"/>
      <c r="V1257"/>
      <c r="W1257"/>
      <c r="X1257"/>
      <c r="Y1257"/>
    </row>
    <row r="1258" spans="13:25" x14ac:dyDescent="0.35">
      <c r="M1258"/>
      <c r="N1258"/>
      <c r="O1258"/>
      <c r="P1258"/>
      <c r="Q1258"/>
      <c r="R1258"/>
      <c r="S1258"/>
      <c r="T1258"/>
      <c r="U1258"/>
      <c r="V1258"/>
      <c r="W1258"/>
      <c r="X1258"/>
      <c r="Y1258"/>
    </row>
    <row r="1259" spans="13:25" x14ac:dyDescent="0.35">
      <c r="M1259"/>
      <c r="N1259"/>
      <c r="O1259"/>
      <c r="P1259"/>
      <c r="Q1259"/>
      <c r="R1259"/>
      <c r="S1259"/>
      <c r="T1259"/>
      <c r="U1259"/>
      <c r="V1259"/>
      <c r="W1259"/>
      <c r="X1259"/>
      <c r="Y1259"/>
    </row>
    <row r="1260" spans="13:25" x14ac:dyDescent="0.35">
      <c r="M1260"/>
      <c r="N1260"/>
      <c r="O1260"/>
      <c r="P1260"/>
      <c r="Q1260"/>
      <c r="R1260"/>
      <c r="S1260"/>
      <c r="T1260"/>
      <c r="U1260"/>
      <c r="V1260"/>
      <c r="W1260"/>
      <c r="X1260"/>
      <c r="Y1260"/>
    </row>
    <row r="1261" spans="13:25" x14ac:dyDescent="0.35">
      <c r="M1261"/>
      <c r="N1261"/>
      <c r="O1261"/>
      <c r="P1261"/>
      <c r="Q1261"/>
      <c r="R1261"/>
      <c r="S1261"/>
      <c r="T1261"/>
      <c r="U1261"/>
      <c r="V1261"/>
      <c r="W1261"/>
      <c r="X1261"/>
      <c r="Y1261"/>
    </row>
    <row r="1262" spans="13:25" x14ac:dyDescent="0.35">
      <c r="M1262"/>
      <c r="N1262"/>
      <c r="O1262"/>
      <c r="P1262"/>
      <c r="Q1262"/>
      <c r="R1262"/>
      <c r="S1262"/>
      <c r="T1262"/>
      <c r="U1262"/>
      <c r="V1262"/>
      <c r="W1262"/>
      <c r="X1262"/>
      <c r="Y1262"/>
    </row>
    <row r="1263" spans="13:25" x14ac:dyDescent="0.35">
      <c r="M1263"/>
      <c r="N1263"/>
      <c r="O1263"/>
      <c r="P1263"/>
      <c r="Q1263"/>
      <c r="R1263"/>
      <c r="S1263"/>
      <c r="T1263"/>
      <c r="U1263"/>
      <c r="V1263"/>
      <c r="W1263"/>
      <c r="X1263"/>
      <c r="Y1263"/>
    </row>
    <row r="1264" spans="13:25" x14ac:dyDescent="0.35">
      <c r="M1264"/>
      <c r="N1264"/>
      <c r="O1264"/>
      <c r="P1264"/>
      <c r="Q1264"/>
      <c r="R1264"/>
      <c r="S1264"/>
      <c r="T1264"/>
      <c r="U1264"/>
      <c r="V1264"/>
      <c r="W1264"/>
      <c r="X1264"/>
      <c r="Y1264"/>
    </row>
    <row r="1265" spans="13:25" x14ac:dyDescent="0.35">
      <c r="M1265"/>
      <c r="N1265"/>
      <c r="O1265"/>
      <c r="P1265"/>
      <c r="Q1265"/>
      <c r="R1265"/>
      <c r="S1265"/>
      <c r="T1265"/>
      <c r="U1265"/>
      <c r="V1265"/>
      <c r="W1265"/>
      <c r="X1265"/>
      <c r="Y1265"/>
    </row>
    <row r="1266" spans="13:25" x14ac:dyDescent="0.35">
      <c r="M1266"/>
      <c r="N1266"/>
      <c r="O1266"/>
      <c r="P1266"/>
      <c r="Q1266"/>
      <c r="R1266"/>
      <c r="S1266"/>
      <c r="T1266"/>
      <c r="U1266"/>
      <c r="V1266"/>
      <c r="W1266"/>
      <c r="X1266"/>
      <c r="Y1266"/>
    </row>
    <row r="1267" spans="13:25" x14ac:dyDescent="0.35">
      <c r="M1267"/>
      <c r="N1267"/>
      <c r="O1267"/>
      <c r="P1267"/>
      <c r="Q1267"/>
      <c r="R1267"/>
      <c r="S1267"/>
      <c r="T1267"/>
      <c r="U1267"/>
      <c r="V1267"/>
      <c r="W1267"/>
      <c r="X1267"/>
      <c r="Y1267"/>
    </row>
    <row r="1268" spans="13:25" x14ac:dyDescent="0.35">
      <c r="M1268"/>
      <c r="N1268"/>
      <c r="O1268"/>
      <c r="P1268"/>
      <c r="Q1268"/>
      <c r="R1268"/>
      <c r="S1268"/>
      <c r="T1268"/>
      <c r="U1268"/>
      <c r="V1268"/>
      <c r="W1268"/>
      <c r="X1268"/>
      <c r="Y1268"/>
    </row>
    <row r="1269" spans="13:25" x14ac:dyDescent="0.35">
      <c r="M1269"/>
      <c r="N1269"/>
      <c r="O1269"/>
      <c r="P1269"/>
      <c r="Q1269"/>
      <c r="R1269"/>
      <c r="S1269"/>
      <c r="T1269"/>
      <c r="U1269"/>
      <c r="V1269"/>
      <c r="W1269"/>
      <c r="X1269"/>
      <c r="Y1269"/>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C588-99ED-4DCC-82EC-6FD7E7DC0CE9}">
  <sheetPr codeName="Sheet3"/>
  <dimension ref="A1:AB48"/>
  <sheetViews>
    <sheetView workbookViewId="0">
      <selection activeCell="M29" sqref="M29"/>
    </sheetView>
  </sheetViews>
  <sheetFormatPr defaultRowHeight="14.5" x14ac:dyDescent="0.35"/>
  <cols>
    <col min="1" max="1" width="24.1796875" bestFit="1" customWidth="1"/>
    <col min="2" max="2" width="15.6328125" bestFit="1" customWidth="1"/>
    <col min="3" max="3" width="8.08984375" bestFit="1" customWidth="1"/>
    <col min="4" max="4" width="4.08984375" bestFit="1" customWidth="1"/>
    <col min="5" max="5" width="10.36328125" bestFit="1" customWidth="1"/>
    <col min="9" max="9" width="26.453125" bestFit="1" customWidth="1"/>
    <col min="10" max="10" width="15.6328125" bestFit="1" customWidth="1"/>
    <col min="11" max="11" width="8.08984375" bestFit="1" customWidth="1"/>
    <col min="12" max="12" width="4.08984375" bestFit="1" customWidth="1"/>
    <col min="13" max="13" width="10.36328125" bestFit="1" customWidth="1"/>
    <col min="14" max="14" width="18.36328125" bestFit="1" customWidth="1"/>
    <col min="15" max="15" width="17.54296875" bestFit="1" customWidth="1"/>
    <col min="16" max="16" width="24.90625" bestFit="1" customWidth="1"/>
    <col min="17" max="17" width="23.6328125" bestFit="1" customWidth="1"/>
    <col min="18" max="18" width="13.36328125" bestFit="1" customWidth="1"/>
    <col min="19" max="19" width="19.81640625" bestFit="1" customWidth="1"/>
    <col min="20" max="20" width="18.81640625" bestFit="1" customWidth="1"/>
    <col min="21" max="21" width="10.36328125" bestFit="1" customWidth="1"/>
    <col min="23" max="23" width="18.54296875" bestFit="1" customWidth="1"/>
    <col min="24" max="24" width="20.81640625" bestFit="1" customWidth="1"/>
    <col min="25" max="26" width="17.7265625" bestFit="1" customWidth="1"/>
    <col min="27" max="30" width="20.81640625" bestFit="1" customWidth="1"/>
    <col min="31" max="31" width="18.81640625" customWidth="1"/>
    <col min="32" max="34" width="17.7265625" bestFit="1" customWidth="1"/>
    <col min="35" max="35" width="20.1796875" customWidth="1"/>
    <col min="36" max="39" width="17.7265625" bestFit="1" customWidth="1"/>
    <col min="40" max="40" width="26.1796875" bestFit="1" customWidth="1"/>
    <col min="41" max="41" width="22.453125" bestFit="1" customWidth="1"/>
    <col min="42" max="42" width="25.36328125" bestFit="1" customWidth="1"/>
    <col min="43" max="43" width="30.54296875" bestFit="1" customWidth="1"/>
    <col min="44" max="44" width="25.7265625" bestFit="1" customWidth="1"/>
    <col min="45" max="47" width="43.7265625" bestFit="1" customWidth="1"/>
    <col min="48" max="48" width="33.08984375" bestFit="1" customWidth="1"/>
    <col min="49" max="49" width="28.6328125" bestFit="1" customWidth="1"/>
  </cols>
  <sheetData>
    <row r="1" spans="1:28" x14ac:dyDescent="0.35">
      <c r="A1" s="2" t="s">
        <v>27</v>
      </c>
      <c r="B1" s="2" t="s">
        <v>560</v>
      </c>
      <c r="I1" s="2" t="s">
        <v>27</v>
      </c>
      <c r="J1" s="2" t="s">
        <v>560</v>
      </c>
      <c r="O1" s="2" t="s">
        <v>27</v>
      </c>
      <c r="P1" s="2" t="s">
        <v>560</v>
      </c>
      <c r="Z1" s="7" t="s">
        <v>4</v>
      </c>
      <c r="AA1" s="7" t="s">
        <v>591</v>
      </c>
      <c r="AB1" s="7" t="s">
        <v>592</v>
      </c>
    </row>
    <row r="2" spans="1:28" x14ac:dyDescent="0.35">
      <c r="A2" s="2" t="s">
        <v>29</v>
      </c>
      <c r="B2" t="s">
        <v>406</v>
      </c>
      <c r="C2" t="s">
        <v>463</v>
      </c>
      <c r="D2" t="s">
        <v>38</v>
      </c>
      <c r="E2" t="s">
        <v>28</v>
      </c>
      <c r="I2" s="2" t="s">
        <v>29</v>
      </c>
      <c r="J2" t="s">
        <v>406</v>
      </c>
      <c r="K2" t="s">
        <v>463</v>
      </c>
      <c r="L2" t="s">
        <v>38</v>
      </c>
      <c r="M2" t="s">
        <v>28</v>
      </c>
      <c r="O2" s="2" t="s">
        <v>29</v>
      </c>
      <c r="P2" t="s">
        <v>593</v>
      </c>
      <c r="Q2" t="s">
        <v>594</v>
      </c>
      <c r="R2" t="s">
        <v>595</v>
      </c>
      <c r="S2" t="s">
        <v>596</v>
      </c>
      <c r="T2" t="s">
        <v>597</v>
      </c>
      <c r="U2" t="s">
        <v>28</v>
      </c>
      <c r="Z2" t="s">
        <v>463</v>
      </c>
      <c r="AA2" t="s">
        <v>567</v>
      </c>
      <c r="AB2">
        <f>COUNTIFS(Tasks!$G:$G,"Limerick",Tasks!AJ:AJ,"TRUE")</f>
        <v>20</v>
      </c>
    </row>
    <row r="3" spans="1:28" x14ac:dyDescent="0.35">
      <c r="A3" s="6" t="s">
        <v>595</v>
      </c>
      <c r="B3" s="12">
        <v>27</v>
      </c>
      <c r="C3" s="12">
        <v>5</v>
      </c>
      <c r="D3" s="12">
        <v>33</v>
      </c>
      <c r="E3" s="12">
        <v>65</v>
      </c>
      <c r="I3" s="6" t="s">
        <v>601</v>
      </c>
      <c r="J3" s="12">
        <v>26</v>
      </c>
      <c r="K3" s="12">
        <v>1</v>
      </c>
      <c r="L3" s="12"/>
      <c r="M3" s="12">
        <v>27</v>
      </c>
      <c r="O3" s="6" t="s">
        <v>406</v>
      </c>
      <c r="P3" s="12">
        <v>13</v>
      </c>
      <c r="Q3" s="12">
        <v>27</v>
      </c>
      <c r="R3" s="12">
        <v>27</v>
      </c>
      <c r="S3" s="12">
        <v>95</v>
      </c>
      <c r="T3" s="12">
        <v>41</v>
      </c>
      <c r="U3" s="12">
        <v>203</v>
      </c>
      <c r="W3" s="7" t="s">
        <v>591</v>
      </c>
      <c r="X3" s="7" t="s">
        <v>592</v>
      </c>
      <c r="Z3" t="s">
        <v>463</v>
      </c>
      <c r="AA3" t="s">
        <v>568</v>
      </c>
      <c r="AB3">
        <f>COUNTIFS(Tasks!$G:$G,"Limerick",Tasks!AK:AK,"TRUE")</f>
        <v>4</v>
      </c>
    </row>
    <row r="4" spans="1:28" x14ac:dyDescent="0.35">
      <c r="A4" s="6" t="s">
        <v>596</v>
      </c>
      <c r="B4" s="12">
        <v>95</v>
      </c>
      <c r="C4" s="12">
        <v>1</v>
      </c>
      <c r="D4" s="12">
        <v>209</v>
      </c>
      <c r="E4" s="12">
        <v>305</v>
      </c>
      <c r="I4" s="6" t="s">
        <v>1395</v>
      </c>
      <c r="J4" s="12"/>
      <c r="K4" s="12"/>
      <c r="L4" s="12">
        <v>1</v>
      </c>
      <c r="M4" s="12">
        <v>1</v>
      </c>
      <c r="O4" s="6" t="s">
        <v>463</v>
      </c>
      <c r="P4" s="12"/>
      <c r="Q4" s="12">
        <v>21</v>
      </c>
      <c r="R4" s="12">
        <v>5</v>
      </c>
      <c r="S4" s="12">
        <v>1</v>
      </c>
      <c r="T4" s="12">
        <v>72</v>
      </c>
      <c r="U4" s="12">
        <v>99</v>
      </c>
      <c r="W4" t="s">
        <v>567</v>
      </c>
      <c r="X4">
        <f>COUNTIF(Tasks!AJ:AJ,TRUE)</f>
        <v>365</v>
      </c>
      <c r="Z4" t="s">
        <v>463</v>
      </c>
      <c r="AA4" t="s">
        <v>569</v>
      </c>
      <c r="AB4">
        <f>COUNTIFS(Tasks!$G:$G,"Limerick",Tasks!AL:AL,"TRUE")</f>
        <v>45</v>
      </c>
    </row>
    <row r="5" spans="1:28" x14ac:dyDescent="0.35">
      <c r="A5" s="6" t="s">
        <v>593</v>
      </c>
      <c r="B5" s="12">
        <v>13</v>
      </c>
      <c r="C5" s="12"/>
      <c r="D5" s="12">
        <v>84</v>
      </c>
      <c r="E5" s="12">
        <v>97</v>
      </c>
      <c r="I5" s="6" t="s">
        <v>612</v>
      </c>
      <c r="J5" s="12">
        <v>10</v>
      </c>
      <c r="K5" s="12"/>
      <c r="L5" s="12">
        <v>5</v>
      </c>
      <c r="M5" s="12">
        <v>15</v>
      </c>
      <c r="O5" s="6" t="s">
        <v>38</v>
      </c>
      <c r="P5" s="12">
        <v>84</v>
      </c>
      <c r="Q5" s="12">
        <v>31</v>
      </c>
      <c r="R5" s="12">
        <v>33</v>
      </c>
      <c r="S5" s="12">
        <v>209</v>
      </c>
      <c r="T5" s="12">
        <v>146</v>
      </c>
      <c r="U5" s="12">
        <v>503</v>
      </c>
      <c r="W5" t="s">
        <v>568</v>
      </c>
      <c r="X5">
        <f>COUNTIF(Tasks!AK:AK,TRUE)</f>
        <v>157</v>
      </c>
      <c r="Z5" t="s">
        <v>463</v>
      </c>
      <c r="AA5" t="s">
        <v>570</v>
      </c>
      <c r="AB5">
        <f>COUNTIFS(Tasks!$G:$G,"Limerick",Tasks!AM:AM,"TRUE")</f>
        <v>4</v>
      </c>
    </row>
    <row r="6" spans="1:28" x14ac:dyDescent="0.35">
      <c r="A6" s="6" t="s">
        <v>594</v>
      </c>
      <c r="B6" s="12">
        <v>27</v>
      </c>
      <c r="C6" s="12">
        <v>21</v>
      </c>
      <c r="D6" s="12">
        <v>31</v>
      </c>
      <c r="E6" s="12">
        <v>79</v>
      </c>
      <c r="I6" s="6" t="s">
        <v>624</v>
      </c>
      <c r="J6" s="12">
        <v>15</v>
      </c>
      <c r="K6" s="12"/>
      <c r="L6" s="12"/>
      <c r="M6" s="12">
        <v>15</v>
      </c>
      <c r="O6" s="6" t="s">
        <v>28</v>
      </c>
      <c r="P6" s="12">
        <v>97</v>
      </c>
      <c r="Q6" s="12">
        <v>79</v>
      </c>
      <c r="R6" s="12">
        <v>65</v>
      </c>
      <c r="S6" s="12">
        <v>305</v>
      </c>
      <c r="T6" s="12">
        <v>259</v>
      </c>
      <c r="U6" s="12">
        <v>805</v>
      </c>
      <c r="W6" t="s">
        <v>569</v>
      </c>
      <c r="X6">
        <f>COUNTIF(Tasks!AL:AL,TRUE)</f>
        <v>104</v>
      </c>
      <c r="Z6" t="s">
        <v>463</v>
      </c>
      <c r="AA6" t="s">
        <v>571</v>
      </c>
      <c r="AB6">
        <f>COUNTIFS(Tasks!$G:$G,"Limerick",Tasks!AN:AN,"TRUE")</f>
        <v>4</v>
      </c>
    </row>
    <row r="7" spans="1:28" x14ac:dyDescent="0.35">
      <c r="A7" s="6" t="s">
        <v>597</v>
      </c>
      <c r="B7" s="12">
        <v>41</v>
      </c>
      <c r="C7" s="12">
        <v>72</v>
      </c>
      <c r="D7" s="12">
        <v>146</v>
      </c>
      <c r="E7" s="12">
        <v>259</v>
      </c>
      <c r="I7" s="6" t="s">
        <v>629</v>
      </c>
      <c r="J7" s="12">
        <v>17</v>
      </c>
      <c r="K7" s="12">
        <v>5</v>
      </c>
      <c r="L7" s="12">
        <v>2</v>
      </c>
      <c r="M7" s="12">
        <v>24</v>
      </c>
      <c r="W7" t="s">
        <v>570</v>
      </c>
      <c r="X7">
        <f>COUNTIF(Tasks!AM:AM,TRUE)</f>
        <v>4</v>
      </c>
      <c r="Z7" t="s">
        <v>463</v>
      </c>
      <c r="AA7" t="s">
        <v>572</v>
      </c>
      <c r="AB7">
        <f>COUNTIFS(Tasks!$G:$G,"Limerick",Tasks!AO:AO,"TRUE")</f>
        <v>0</v>
      </c>
    </row>
    <row r="8" spans="1:28" x14ac:dyDescent="0.35">
      <c r="A8" s="6" t="s">
        <v>28</v>
      </c>
      <c r="B8" s="12">
        <v>203</v>
      </c>
      <c r="C8" s="12">
        <v>99</v>
      </c>
      <c r="D8" s="12">
        <v>503</v>
      </c>
      <c r="E8" s="12">
        <v>805</v>
      </c>
      <c r="I8" s="6" t="s">
        <v>640</v>
      </c>
      <c r="J8" s="12">
        <v>95</v>
      </c>
      <c r="K8" s="12">
        <v>1</v>
      </c>
      <c r="L8" s="12">
        <v>209</v>
      </c>
      <c r="M8" s="12">
        <v>305</v>
      </c>
      <c r="W8" t="s">
        <v>571</v>
      </c>
      <c r="X8">
        <f>COUNTIF(Tasks!AN:AN,TRUE)</f>
        <v>4</v>
      </c>
      <c r="Z8" t="s">
        <v>463</v>
      </c>
      <c r="AA8" t="s">
        <v>573</v>
      </c>
      <c r="AB8">
        <f>COUNTIFS(Tasks!$G:$G,"Limerick",Tasks!AP:AP,"TRUE")</f>
        <v>0</v>
      </c>
    </row>
    <row r="9" spans="1:28" x14ac:dyDescent="0.35">
      <c r="I9" s="6" t="s">
        <v>680</v>
      </c>
      <c r="J9" s="12">
        <v>3</v>
      </c>
      <c r="K9" s="12"/>
      <c r="L9" s="12">
        <v>10</v>
      </c>
      <c r="M9" s="12">
        <v>13</v>
      </c>
      <c r="W9" t="s">
        <v>572</v>
      </c>
      <c r="X9">
        <f>COUNTIF(Tasks!AO:AO,TRUE)</f>
        <v>0</v>
      </c>
      <c r="Z9" t="s">
        <v>463</v>
      </c>
      <c r="AA9" t="s">
        <v>574</v>
      </c>
      <c r="AB9">
        <f>COUNTIFS(Tasks!$G:$G,"Limerick",Tasks!AQ:AQ,"TRUE")</f>
        <v>0</v>
      </c>
    </row>
    <row r="10" spans="1:28" x14ac:dyDescent="0.35">
      <c r="I10" s="6" t="s">
        <v>816</v>
      </c>
      <c r="J10" s="12">
        <v>2</v>
      </c>
      <c r="K10" s="12"/>
      <c r="L10" s="12">
        <v>12</v>
      </c>
      <c r="M10" s="12">
        <v>14</v>
      </c>
      <c r="W10" t="s">
        <v>573</v>
      </c>
      <c r="X10">
        <f>COUNTIF(Tasks!AP:AP,TRUE)</f>
        <v>199</v>
      </c>
      <c r="Z10" t="s">
        <v>463</v>
      </c>
      <c r="AA10" t="s">
        <v>575</v>
      </c>
      <c r="AB10">
        <f>COUNTIFS(Tasks!$G:$G,"Limerick",Tasks!AR:AR,"TRUE")</f>
        <v>0</v>
      </c>
    </row>
    <row r="11" spans="1:28" x14ac:dyDescent="0.35">
      <c r="I11" s="6" t="s">
        <v>821</v>
      </c>
      <c r="J11" s="12">
        <v>5</v>
      </c>
      <c r="K11" s="12"/>
      <c r="L11" s="12">
        <v>12</v>
      </c>
      <c r="M11" s="12">
        <v>17</v>
      </c>
      <c r="W11" t="s">
        <v>574</v>
      </c>
      <c r="X11">
        <f>COUNTIF(Tasks!AQ:AQ,TRUE)</f>
        <v>15</v>
      </c>
      <c r="Z11" t="s">
        <v>463</v>
      </c>
      <c r="AA11" t="s">
        <v>576</v>
      </c>
      <c r="AB11">
        <f>COUNTIFS(Tasks!$G:$G,"Limerick",Tasks!AS:AS,"TRUE")</f>
        <v>0</v>
      </c>
    </row>
    <row r="12" spans="1:28" x14ac:dyDescent="0.35">
      <c r="I12" s="6" t="s">
        <v>860</v>
      </c>
      <c r="J12" s="12">
        <v>1</v>
      </c>
      <c r="K12" s="12"/>
      <c r="L12" s="12"/>
      <c r="M12" s="12">
        <v>1</v>
      </c>
      <c r="W12" t="s">
        <v>575</v>
      </c>
      <c r="X12">
        <f>COUNTIF(Tasks!AR:AR,TRUE)</f>
        <v>54</v>
      </c>
      <c r="Z12" t="s">
        <v>463</v>
      </c>
      <c r="AA12" t="s">
        <v>577</v>
      </c>
      <c r="AB12">
        <f>COUNTIFS(Tasks!$G:$G,"Limerick",Tasks!AT:AT,"TRUE")</f>
        <v>0</v>
      </c>
    </row>
    <row r="13" spans="1:28" x14ac:dyDescent="0.35">
      <c r="I13" s="6" t="s">
        <v>865</v>
      </c>
      <c r="J13" s="12">
        <v>2</v>
      </c>
      <c r="K13" s="12"/>
      <c r="L13" s="12"/>
      <c r="M13" s="12">
        <v>2</v>
      </c>
      <c r="W13" t="s">
        <v>576</v>
      </c>
      <c r="X13">
        <f>COUNTIF(Tasks!AS:AS,TRUE)</f>
        <v>68</v>
      </c>
      <c r="Z13" t="s">
        <v>463</v>
      </c>
      <c r="AA13" t="s">
        <v>578</v>
      </c>
      <c r="AB13">
        <f>COUNTIFS(Tasks!$G:$G,"Limerick",Tasks!AU:AU,"TRUE")</f>
        <v>0</v>
      </c>
    </row>
    <row r="14" spans="1:28" x14ac:dyDescent="0.35">
      <c r="I14" s="6" t="s">
        <v>988</v>
      </c>
      <c r="J14" s="12">
        <v>26</v>
      </c>
      <c r="K14" s="12">
        <v>72</v>
      </c>
      <c r="L14" s="12">
        <v>133</v>
      </c>
      <c r="M14" s="12">
        <v>231</v>
      </c>
      <c r="W14" t="s">
        <v>577</v>
      </c>
      <c r="X14">
        <f>COUNTIF(Tasks!AT:AT,TRUE)</f>
        <v>12</v>
      </c>
      <c r="Z14" t="s">
        <v>463</v>
      </c>
      <c r="AA14" t="s">
        <v>579</v>
      </c>
      <c r="AB14">
        <f>COUNTIFS(Tasks!$G:$G,"Limerick",Tasks!AV:AV,"TRUE")</f>
        <v>0</v>
      </c>
    </row>
    <row r="15" spans="1:28" x14ac:dyDescent="0.35">
      <c r="I15" s="6" t="s">
        <v>1039</v>
      </c>
      <c r="J15" s="12">
        <v>1</v>
      </c>
      <c r="K15" s="12"/>
      <c r="L15" s="12"/>
      <c r="M15" s="12">
        <v>1</v>
      </c>
      <c r="W15" t="s">
        <v>578</v>
      </c>
      <c r="X15">
        <f>COUNTIF(Tasks!AU:AU,TRUE)</f>
        <v>39</v>
      </c>
      <c r="Z15" t="s">
        <v>463</v>
      </c>
      <c r="AA15" t="s">
        <v>582</v>
      </c>
      <c r="AB15">
        <f>COUNTIFS(Tasks!$G:$G,"Limerick",Tasks!AY:AY,"TRUE")</f>
        <v>0</v>
      </c>
    </row>
    <row r="16" spans="1:28" x14ac:dyDescent="0.35">
      <c r="I16" s="6" t="s">
        <v>1149</v>
      </c>
      <c r="J16" s="12"/>
      <c r="K16" s="12">
        <v>4</v>
      </c>
      <c r="L16" s="12">
        <v>32</v>
      </c>
      <c r="M16" s="12">
        <v>36</v>
      </c>
      <c r="W16" t="s">
        <v>579</v>
      </c>
      <c r="X16">
        <f>COUNTIF(Tasks!AV:AV,TRUE)</f>
        <v>22</v>
      </c>
      <c r="Z16" t="s">
        <v>463</v>
      </c>
      <c r="AA16" t="s">
        <v>583</v>
      </c>
      <c r="AB16">
        <f>COUNTIFS(Tasks!$G:$G,"Limerick",Tasks!AZ:AZ,"TRUE")</f>
        <v>0</v>
      </c>
    </row>
    <row r="17" spans="9:28" x14ac:dyDescent="0.35">
      <c r="I17" s="6" t="s">
        <v>1157</v>
      </c>
      <c r="J17" s="12"/>
      <c r="K17" s="12">
        <v>16</v>
      </c>
      <c r="L17" s="12">
        <v>24</v>
      </c>
      <c r="M17" s="12">
        <v>40</v>
      </c>
      <c r="W17" t="s">
        <v>580</v>
      </c>
      <c r="X17">
        <f>COUNTIF(Tasks!AW:AW,TRUE)</f>
        <v>23</v>
      </c>
      <c r="Z17" t="s">
        <v>38</v>
      </c>
      <c r="AA17" t="s">
        <v>567</v>
      </c>
      <c r="AB17">
        <f>COUNTIFS(Tasks!$G:$G,"PR5",Tasks!AJ:AJ,"TRUE")</f>
        <v>260</v>
      </c>
    </row>
    <row r="18" spans="9:28" x14ac:dyDescent="0.35">
      <c r="I18" s="6" t="s">
        <v>1329</v>
      </c>
      <c r="J18" s="12"/>
      <c r="K18" s="12"/>
      <c r="L18" s="12">
        <v>44</v>
      </c>
      <c r="M18" s="12">
        <v>44</v>
      </c>
      <c r="W18" t="s">
        <v>581</v>
      </c>
      <c r="X18">
        <f>COUNTIF(Tasks!AX:AX,TRUE)</f>
        <v>0</v>
      </c>
      <c r="Z18" t="s">
        <v>38</v>
      </c>
      <c r="AA18" t="s">
        <v>568</v>
      </c>
      <c r="AB18">
        <f>COUNTIFS(Tasks!$G:$G,"PR5",Tasks!AK:AK,"TRUE")</f>
        <v>112</v>
      </c>
    </row>
    <row r="19" spans="9:28" x14ac:dyDescent="0.35">
      <c r="I19" s="6" t="s">
        <v>1377</v>
      </c>
      <c r="J19" s="12"/>
      <c r="K19" s="12"/>
      <c r="L19" s="12">
        <v>13</v>
      </c>
      <c r="M19" s="12">
        <v>13</v>
      </c>
      <c r="W19" t="s">
        <v>582</v>
      </c>
      <c r="X19">
        <f>COUNTIF(Tasks!AY:AY,TRUE)</f>
        <v>101</v>
      </c>
      <c r="Z19" t="s">
        <v>38</v>
      </c>
      <c r="AA19" t="s">
        <v>569</v>
      </c>
      <c r="AB19">
        <f>COUNTIFS(Tasks!$G:$G,"PR5",Tasks!AL:AL,"TRUE")</f>
        <v>6</v>
      </c>
    </row>
    <row r="20" spans="9:28" x14ac:dyDescent="0.35">
      <c r="I20" s="6" t="s">
        <v>1692</v>
      </c>
      <c r="J20" s="12"/>
      <c r="K20" s="12"/>
      <c r="L20" s="12">
        <v>6</v>
      </c>
      <c r="M20" s="12">
        <v>6</v>
      </c>
      <c r="W20" t="s">
        <v>583</v>
      </c>
      <c r="X20">
        <f>COUNTIF(Tasks!AZ:AZ,TRUE)</f>
        <v>217</v>
      </c>
      <c r="Z20" t="s">
        <v>38</v>
      </c>
      <c r="AA20" t="s">
        <v>570</v>
      </c>
      <c r="AB20">
        <f>COUNTIFS(Tasks!$G:$G,"PR5",Tasks!AM:AM,"TRUE")</f>
        <v>0</v>
      </c>
    </row>
    <row r="21" spans="9:28" x14ac:dyDescent="0.35">
      <c r="I21" s="6" t="s">
        <v>28</v>
      </c>
      <c r="J21" s="12">
        <v>203</v>
      </c>
      <c r="K21" s="12">
        <v>99</v>
      </c>
      <c r="L21" s="12">
        <v>503</v>
      </c>
      <c r="M21" s="12">
        <v>805</v>
      </c>
      <c r="Z21" t="s">
        <v>38</v>
      </c>
      <c r="AA21" t="s">
        <v>571</v>
      </c>
      <c r="AB21">
        <f>COUNTIFS(Tasks!$G:$G,"PR5",Tasks!AN:AN,"TRUE")</f>
        <v>0</v>
      </c>
    </row>
    <row r="22" spans="9:28" x14ac:dyDescent="0.35">
      <c r="Z22" t="s">
        <v>38</v>
      </c>
      <c r="AA22" t="s">
        <v>572</v>
      </c>
      <c r="AB22">
        <f>COUNTIFS(Tasks!$G:$G,"PR5",Tasks!AO:AO,"TRUE")</f>
        <v>0</v>
      </c>
    </row>
    <row r="23" spans="9:28" x14ac:dyDescent="0.35">
      <c r="Z23" t="s">
        <v>38</v>
      </c>
      <c r="AA23" t="s">
        <v>573</v>
      </c>
      <c r="AB23">
        <f>COUNTIFS(Tasks!$G:$G,"PR5",Tasks!AP:AP,"TRUE")</f>
        <v>199</v>
      </c>
    </row>
    <row r="24" spans="9:28" x14ac:dyDescent="0.35">
      <c r="Z24" t="s">
        <v>38</v>
      </c>
      <c r="AA24" t="s">
        <v>574</v>
      </c>
      <c r="AB24">
        <f>COUNTIFS(Tasks!$G:$G,"PR5",Tasks!AQ:AQ,"TRUE")</f>
        <v>15</v>
      </c>
    </row>
    <row r="25" spans="9:28" x14ac:dyDescent="0.35">
      <c r="Z25" t="s">
        <v>38</v>
      </c>
      <c r="AA25" t="s">
        <v>575</v>
      </c>
      <c r="AB25">
        <f>COUNTIFS(Tasks!$G:$G,"PR5",Tasks!AR:AR,"TRUE")</f>
        <v>54</v>
      </c>
    </row>
    <row r="26" spans="9:28" x14ac:dyDescent="0.35">
      <c r="Z26" t="s">
        <v>38</v>
      </c>
      <c r="AA26" t="s">
        <v>576</v>
      </c>
      <c r="AB26">
        <f>COUNTIFS(Tasks!$G:$G,"PR5",Tasks!AS:AS,"TRUE")</f>
        <v>68</v>
      </c>
    </row>
    <row r="27" spans="9:28" x14ac:dyDescent="0.35">
      <c r="Z27" t="s">
        <v>38</v>
      </c>
      <c r="AA27" t="s">
        <v>577</v>
      </c>
      <c r="AB27">
        <f>COUNTIFS(Tasks!$G:$G,"PR5",Tasks!AT:AT,"TRUE")</f>
        <v>12</v>
      </c>
    </row>
    <row r="28" spans="9:28" x14ac:dyDescent="0.35">
      <c r="Z28" t="s">
        <v>38</v>
      </c>
      <c r="AA28" t="s">
        <v>578</v>
      </c>
      <c r="AB28">
        <f>COUNTIFS(Tasks!$G:$G,"PR5",Tasks!AU:AU,"TRUE")</f>
        <v>39</v>
      </c>
    </row>
    <row r="29" spans="9:28" x14ac:dyDescent="0.35">
      <c r="Z29" t="s">
        <v>38</v>
      </c>
      <c r="AA29" t="s">
        <v>579</v>
      </c>
      <c r="AB29">
        <f>COUNTIFS(Tasks!$G:$G,"PR5",Tasks!AV:AV,"TRUE")</f>
        <v>22</v>
      </c>
    </row>
    <row r="30" spans="9:28" x14ac:dyDescent="0.35">
      <c r="Z30" t="s">
        <v>38</v>
      </c>
      <c r="AA30" t="s">
        <v>582</v>
      </c>
      <c r="AB30">
        <f>COUNTIFS(Tasks!$G:$G,"PR5",Tasks!AY:AY,"TRUE")</f>
        <v>77</v>
      </c>
    </row>
    <row r="31" spans="9:28" x14ac:dyDescent="0.35">
      <c r="Z31" t="s">
        <v>38</v>
      </c>
      <c r="AA31" t="s">
        <v>583</v>
      </c>
      <c r="AB31">
        <f>COUNTIFS(Tasks!$G:$G,"PR5",Tasks!AZ:AZ,"TRUE")</f>
        <v>183</v>
      </c>
    </row>
    <row r="32" spans="9:28" x14ac:dyDescent="0.35">
      <c r="Z32" t="s">
        <v>406</v>
      </c>
      <c r="AA32" t="s">
        <v>567</v>
      </c>
      <c r="AB32">
        <f>COUNTIFS(Tasks!$G:$G,"Concord",Tasks!AJ:AJ,"TRUE")</f>
        <v>85</v>
      </c>
    </row>
    <row r="33" spans="26:28" x14ac:dyDescent="0.35">
      <c r="Z33" t="s">
        <v>406</v>
      </c>
      <c r="AA33" t="s">
        <v>568</v>
      </c>
      <c r="AB33">
        <f>COUNTIFS(Tasks!$G:$G,"Concord",Tasks!AK:AK,"TRUE")</f>
        <v>41</v>
      </c>
    </row>
    <row r="34" spans="26:28" x14ac:dyDescent="0.35">
      <c r="Z34" t="s">
        <v>406</v>
      </c>
      <c r="AA34" t="s">
        <v>569</v>
      </c>
      <c r="AB34">
        <f>COUNTIFS(Tasks!$G:$G,"Concord",Tasks!AL:AL,"TRUE")</f>
        <v>53</v>
      </c>
    </row>
    <row r="35" spans="26:28" x14ac:dyDescent="0.35">
      <c r="Z35" t="s">
        <v>406</v>
      </c>
      <c r="AA35" t="s">
        <v>570</v>
      </c>
      <c r="AB35">
        <f>COUNTIFS(Tasks!$G:$G,"Concord",Tasks!AM:AM,"TRUE")</f>
        <v>0</v>
      </c>
    </row>
    <row r="36" spans="26:28" x14ac:dyDescent="0.35">
      <c r="Z36" t="s">
        <v>406</v>
      </c>
      <c r="AA36" t="s">
        <v>571</v>
      </c>
      <c r="AB36">
        <f>COUNTIFS(Tasks!$G:$G,"Concord",Tasks!AN:AN,"TRUE")</f>
        <v>0</v>
      </c>
    </row>
    <row r="37" spans="26:28" x14ac:dyDescent="0.35">
      <c r="Z37" t="s">
        <v>406</v>
      </c>
      <c r="AA37" t="s">
        <v>572</v>
      </c>
      <c r="AB37">
        <f>COUNTIFS(Tasks!$G:$G,"Concord",Tasks!AO:AO,"TRUE")</f>
        <v>0</v>
      </c>
    </row>
    <row r="38" spans="26:28" x14ac:dyDescent="0.35">
      <c r="Z38" t="s">
        <v>406</v>
      </c>
      <c r="AA38" t="s">
        <v>573</v>
      </c>
      <c r="AB38">
        <f>COUNTIFS(Tasks!$G:$G,"Concord",Tasks!AP:AP,"TRUE")</f>
        <v>0</v>
      </c>
    </row>
    <row r="39" spans="26:28" x14ac:dyDescent="0.35">
      <c r="Z39" t="s">
        <v>406</v>
      </c>
      <c r="AA39" t="s">
        <v>574</v>
      </c>
      <c r="AB39">
        <f>COUNTIFS(Tasks!$G:$G,"Concord",Tasks!AQ:AQ,"TRUE")</f>
        <v>0</v>
      </c>
    </row>
    <row r="40" spans="26:28" x14ac:dyDescent="0.35">
      <c r="Z40" t="s">
        <v>406</v>
      </c>
      <c r="AA40" t="s">
        <v>575</v>
      </c>
      <c r="AB40">
        <f>COUNTIFS(Tasks!$G:$G,"Concord",Tasks!AR:AR,"TRUE")</f>
        <v>0</v>
      </c>
    </row>
    <row r="41" spans="26:28" x14ac:dyDescent="0.35">
      <c r="Z41" t="s">
        <v>406</v>
      </c>
      <c r="AA41" t="s">
        <v>576</v>
      </c>
      <c r="AB41">
        <f>COUNTIFS(Tasks!$G:$G,"Concord",Tasks!AS:AS,"TRUE")</f>
        <v>0</v>
      </c>
    </row>
    <row r="42" spans="26:28" x14ac:dyDescent="0.35">
      <c r="Z42" t="s">
        <v>406</v>
      </c>
      <c r="AA42" t="s">
        <v>577</v>
      </c>
      <c r="AB42">
        <f>COUNTIFS(Tasks!$G:$G,"Concord",Tasks!AT:AT,"TRUE")</f>
        <v>0</v>
      </c>
    </row>
    <row r="43" spans="26:28" x14ac:dyDescent="0.35">
      <c r="Z43" t="s">
        <v>406</v>
      </c>
      <c r="AA43" t="s">
        <v>578</v>
      </c>
      <c r="AB43">
        <f>COUNTIFS(Tasks!$G:$G,"Concord",Tasks!AU:AU,"TRUE")</f>
        <v>0</v>
      </c>
    </row>
    <row r="44" spans="26:28" x14ac:dyDescent="0.35">
      <c r="Z44" t="s">
        <v>406</v>
      </c>
      <c r="AA44" t="s">
        <v>579</v>
      </c>
      <c r="AB44">
        <f>COUNTIFS(Tasks!$G:$G,"Concord",Tasks!AV:AV,"TRUE")</f>
        <v>0</v>
      </c>
    </row>
    <row r="45" spans="26:28" x14ac:dyDescent="0.35">
      <c r="Z45" t="s">
        <v>406</v>
      </c>
      <c r="AA45" t="s">
        <v>580</v>
      </c>
      <c r="AB45">
        <f>COUNTIFS(Tasks!$G:$G,"Concord",Tasks!AW:AW,"TRUE")</f>
        <v>23</v>
      </c>
    </row>
    <row r="46" spans="26:28" x14ac:dyDescent="0.35">
      <c r="Z46" t="s">
        <v>406</v>
      </c>
      <c r="AA46" t="s">
        <v>581</v>
      </c>
      <c r="AB46">
        <f>COUNTIFS(Tasks!$G:$G,"Concord",Tasks!AX:AX,"TRUE")</f>
        <v>0</v>
      </c>
    </row>
    <row r="47" spans="26:28" x14ac:dyDescent="0.35">
      <c r="Z47" t="s">
        <v>406</v>
      </c>
      <c r="AA47" t="s">
        <v>582</v>
      </c>
      <c r="AB47">
        <f>COUNTIFS(Tasks!$G:$G,"Concord",Tasks!AY:AY,"TRUE")</f>
        <v>24</v>
      </c>
    </row>
    <row r="48" spans="26:28" x14ac:dyDescent="0.35">
      <c r="Z48" t="s">
        <v>406</v>
      </c>
      <c r="AA48" t="s">
        <v>583</v>
      </c>
      <c r="AB48">
        <f>COUNTIFS(Tasks!$G:$G,"Concord",Tasks!AZ:AZ,"TRUE")</f>
        <v>34</v>
      </c>
    </row>
  </sheetData>
  <phoneticPr fontId="2" type="noConversion"/>
  <pageMargins left="0.7" right="0.7" top="0.75" bottom="0.75" header="0.3" footer="0.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B Q D A A B Q S w M E F A A C A A g A z F X 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F X 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V 6 F g o i k e 4 D g A A A B E A A A A T A B w A R m 9 y b X V s Y X M v U 2 V j d G l v b j E u b S C i G A A o o B Q A A A A A A A A A A A A A A A A A A A A A A A A A A A A r T k 0 u y c z P U w i G 0 I b W A F B L A Q I t A B Q A A g A I A M x V 6 F g + y t z o p A A A A P Y A A A A S A A A A A A A A A A A A A A A A A A A A A A B D b 2 5 m a W c v U G F j a 2 F n Z S 5 4 b W x Q S w E C L Q A U A A I A C A D M V e h Y D 8 r p q 6 Q A A A D p A A A A E w A A A A A A A A A A A A A A A A D w A A A A W 0 N v b n R l b n R f V H l w Z X N d L n h t b F B L A Q I t A B Q A A g A I A M x V 6 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s o O 6 L a 5 + R Y R j G x H O m Z T X A A A A A A I A A A A A A B B m A A A A A Q A A I A A A A B s 1 z x f I j 0 u h I I t h + G 2 n t O + u z q H R P m G e x S F Q 0 E W M + L w q A A A A A A 6 A A A A A A g A A I A A A A J B 0 s W c G 1 v R p p U M D 0 n 9 M c x I + k k V r Q Z 9 v A r v C k c z 0 S c d 6 U A A A A I 9 v M O D h K w t l M r a s f 4 6 w j 2 M / B X V A w g 9 g p j 0 A l a 9 3 4 8 N 0 T u + M M O w G k 6 6 g 8 G s 9 5 l D + h T c n h f w x b t G Y J V 6 L q n p r Z 6 u o p h b k P o M Q X W P 1 0 e P Z J K y e Q A A A A C q F f Z s m N H X 9 D q q h O y j X X l / k 1 g / u Z w o 5 G f F A B h 3 Z L t o 2 N B 8 8 n O P F 3 W d Y 7 V G C 8 y R b 9 7 V O E O G / t c 5 K n M A a z r j H s B 0 = < / 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D3F25060C7CC4EBBCB5399FC86E006" ma:contentTypeVersion="14" ma:contentTypeDescription="Create a new document." ma:contentTypeScope="" ma:versionID="767455591a6ef23ef10587c6cc4474cf">
  <xsd:schema xmlns:xsd="http://www.w3.org/2001/XMLSchema" xmlns:xs="http://www.w3.org/2001/XMLSchema" xmlns:p="http://schemas.microsoft.com/office/2006/metadata/properties" xmlns:ns2="9f42be84-5b52-4c57-9f43-ffcc83b8a8c4" xmlns:ns3="a8788943-059e-4117-a626-3ec36b59d27a" targetNamespace="http://schemas.microsoft.com/office/2006/metadata/properties" ma:root="true" ma:fieldsID="83177598beea1a2a979d28d395a16591" ns2:_="" ns3:_="">
    <xsd:import namespace="9f42be84-5b52-4c57-9f43-ffcc83b8a8c4"/>
    <xsd:import namespace="a8788943-059e-4117-a626-3ec36b59d27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GenerationTime" minOccurs="0"/>
                <xsd:element ref="ns3:MediaServiceEventHashCode" minOccurs="0"/>
                <xsd:element ref="ns3:MediaLengthInSeconds" minOccurs="0"/>
                <xsd:element ref="ns3:MediaServiceDateTaken"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42be84-5b52-4c57-9f43-ffcc83b8a8c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75bd661-4807-408c-9b8e-cfcbdf756dbc}" ma:internalName="TaxCatchAll" ma:showField="CatchAllData" ma:web="9f42be84-5b52-4c57-9f43-ffcc83b8a8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8788943-059e-4117-a626-3ec36b59d27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c89bd108-ead9-4cfa-8921-68d735d355e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8788943-059e-4117-a626-3ec36b59d27a">
      <Terms xmlns="http://schemas.microsoft.com/office/infopath/2007/PartnerControls"/>
    </lcf76f155ced4ddcb4097134ff3c332f>
    <TaxCatchAll xmlns="9f42be84-5b52-4c57-9f43-ffcc83b8a8c4" xsi:nil="true"/>
    <SharedWithUsers xmlns="9f42be84-5b52-4c57-9f43-ffcc83b8a8c4">
      <UserInfo>
        <DisplayName>Cristofer Orozco</DisplayName>
        <AccountId>118</AccountId>
        <AccountType/>
      </UserInfo>
    </SharedWithUsers>
  </documentManagement>
</p:properties>
</file>

<file path=customXml/item5.xml><?xml version="1.0" encoding="utf-8"?>
<scriptIds xmlns="http://schemas.microsoft.com/office/extensibility/maker/v1.0" id="script-ids-node-id">
  <scriptId id="ms-officescript%3A%2F%2Fonedrive_business_itemlink%2F01HE4XCHZKFSBA2GDVCRELN2X3SXF7HMIA:ms-officescript%3A%2F%2Fonedrive_business_sharinglink%2Fu!aHR0cHM6Ly9hc3RyaXh0ZWNoZ3JvdXAtbXkuc2hhcmVwb2ludC5jb20vOnU6L2cvcGVyc29uYWwvamJsYW5jb19hc3RyaXhpbmNfY29tL0VTb3NnZzBZZFJSSXR1cjdsY3Z6c1FBQmFYd1l6ZTY5YTFWMDFmX1p5R0lfV0E"/>
</scriptIds>
</file>

<file path=customXml/itemProps1.xml><?xml version="1.0" encoding="utf-8"?>
<ds:datastoreItem xmlns:ds="http://schemas.openxmlformats.org/officeDocument/2006/customXml" ds:itemID="{39584E6E-565E-4425-A6D6-D333C475708A}">
  <ds:schemaRefs>
    <ds:schemaRef ds:uri="http://schemas.microsoft.com/DataMashup"/>
  </ds:schemaRefs>
</ds:datastoreItem>
</file>

<file path=customXml/itemProps2.xml><?xml version="1.0" encoding="utf-8"?>
<ds:datastoreItem xmlns:ds="http://schemas.openxmlformats.org/officeDocument/2006/customXml" ds:itemID="{06BF0F36-7154-4F01-B9D2-260213A76ED6}">
  <ds:schemaRefs>
    <ds:schemaRef ds:uri="http://schemas.microsoft.com/sharepoint/v3/contenttype/forms"/>
  </ds:schemaRefs>
</ds:datastoreItem>
</file>

<file path=customXml/itemProps3.xml><?xml version="1.0" encoding="utf-8"?>
<ds:datastoreItem xmlns:ds="http://schemas.openxmlformats.org/officeDocument/2006/customXml" ds:itemID="{AE1C5EEC-9CA1-40FC-84E0-68C492A440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42be84-5b52-4c57-9f43-ffcc83b8a8c4"/>
    <ds:schemaRef ds:uri="a8788943-059e-4117-a626-3ec36b59d2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F0D5061-ADB7-4381-ACD8-063275E44B81}">
  <ds:schemaRefs>
    <ds:schemaRef ds:uri="http://schemas.microsoft.com/office/2006/metadata/properties"/>
    <ds:schemaRef ds:uri="http://schemas.microsoft.com/office/infopath/2007/PartnerControls"/>
    <ds:schemaRef ds:uri="a8788943-059e-4117-a626-3ec36b59d27a"/>
    <ds:schemaRef ds:uri="9f42be84-5b52-4c57-9f43-ffcc83b8a8c4"/>
  </ds:schemaRefs>
</ds:datastoreItem>
</file>

<file path=customXml/itemProps5.xml><?xml version="1.0" encoding="utf-8"?>
<ds:datastoreItem xmlns:ds="http://schemas.openxmlformats.org/officeDocument/2006/customXml" ds:itemID="{98A064BE-C357-48E9-95F8-7493C25D0381}">
  <ds:schemaRefs>
    <ds:schemaRef ds:uri="http://schemas.microsoft.com/office/extensibility/maker/v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Tasks</vt:lpstr>
      <vt:lpstr>Dashboard</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Cristofer Orozco</dc:creator>
  <cp:keywords/>
  <dc:description/>
  <cp:lastModifiedBy>Johan Blanco</cp:lastModifiedBy>
  <cp:revision/>
  <dcterms:created xsi:type="dcterms:W3CDTF">2024-07-03T18:19:25Z</dcterms:created>
  <dcterms:modified xsi:type="dcterms:W3CDTF">2024-08-05T19:23:01Z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0x010100E7D3F25060C7CC4EBBCB5399FC86E006</vt:lpwstr>
  </property>
  <property fmtid="{D5CDD505-2E9C-101B-9397-08002B2CF9AE}" pid="3" name="MediaServiceImageTags">
    <vt:lpwstr/>
  </property>
</Properties>
</file>