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anoelgaard/My Drive/04 Økonomi/08 Financial Economics/03 Problem Sets/ECON136/ps3/"/>
    </mc:Choice>
  </mc:AlternateContent>
  <xr:revisionPtr revIDLastSave="0" documentId="13_ncr:1_{FCE45D75-C911-C943-9351-59E94D12F050}" xr6:coauthVersionLast="47" xr6:coauthVersionMax="47" xr10:uidLastSave="{00000000-0000-0000-0000-000000000000}"/>
  <bookViews>
    <workbookView xWindow="0" yWindow="0" windowWidth="28800" windowHeight="18000" xr2:uid="{2115212E-5A06-0C47-8CE8-8E72B33899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4" i="1" l="1"/>
  <c r="D223" i="1"/>
  <c r="B223" i="1"/>
  <c r="B233" i="1"/>
  <c r="B232" i="1"/>
  <c r="B184" i="1"/>
  <c r="B185" i="1"/>
  <c r="B99" i="1"/>
  <c r="D122" i="1" s="1"/>
  <c r="D220" i="1"/>
  <c r="D219" i="1"/>
  <c r="D218" i="1"/>
  <c r="D217" i="1"/>
  <c r="D216" i="1"/>
  <c r="D215" i="1"/>
  <c r="D214" i="1"/>
  <c r="D213" i="1"/>
  <c r="D212" i="1"/>
  <c r="A212" i="1"/>
  <c r="A213" i="1" s="1"/>
  <c r="A214" i="1" s="1"/>
  <c r="D211" i="1"/>
  <c r="B211" i="1" a="1"/>
  <c r="B211" i="1" s="1"/>
  <c r="C211" i="1" s="1"/>
  <c r="E211" i="1" s="1"/>
  <c r="D205" i="1"/>
  <c r="D204" i="1"/>
  <c r="D203" i="1"/>
  <c r="D202" i="1"/>
  <c r="D201" i="1"/>
  <c r="D200" i="1"/>
  <c r="D199" i="1"/>
  <c r="D198" i="1"/>
  <c r="D197" i="1"/>
  <c r="A197" i="1"/>
  <c r="D196" i="1"/>
  <c r="B196" i="1" a="1"/>
  <c r="B196" i="1" s="1"/>
  <c r="C196" i="1" s="1"/>
  <c r="E196" i="1" s="1"/>
  <c r="D172" i="1"/>
  <c r="D171" i="1"/>
  <c r="D170" i="1"/>
  <c r="D169" i="1"/>
  <c r="D168" i="1"/>
  <c r="D167" i="1"/>
  <c r="D166" i="1"/>
  <c r="D165" i="1"/>
  <c r="D164" i="1"/>
  <c r="A164" i="1"/>
  <c r="A165" i="1" s="1"/>
  <c r="A166" i="1" s="1"/>
  <c r="A167" i="1" s="1"/>
  <c r="D163" i="1"/>
  <c r="B163" i="1" a="1"/>
  <c r="B163" i="1" s="1"/>
  <c r="C163" i="1" s="1"/>
  <c r="B148" i="1" a="1"/>
  <c r="B148" i="1" s="1"/>
  <c r="C148" i="1" s="1"/>
  <c r="D157" i="1"/>
  <c r="D156" i="1"/>
  <c r="D155" i="1"/>
  <c r="D154" i="1"/>
  <c r="D153" i="1"/>
  <c r="D152" i="1"/>
  <c r="D151" i="1"/>
  <c r="D150" i="1"/>
  <c r="D149" i="1"/>
  <c r="A149" i="1"/>
  <c r="D148" i="1"/>
  <c r="B98" i="1"/>
  <c r="D103" i="1" s="1"/>
  <c r="B82" i="1"/>
  <c r="B81" i="1"/>
  <c r="B80" i="1"/>
  <c r="B79" i="1"/>
  <c r="B78" i="1"/>
  <c r="B77" i="1"/>
  <c r="B76" i="1"/>
  <c r="B75" i="1"/>
  <c r="B74" i="1"/>
  <c r="B73" i="1"/>
  <c r="C73" i="1" s="1"/>
  <c r="D82" i="1"/>
  <c r="D81" i="1"/>
  <c r="D80" i="1"/>
  <c r="D79" i="1"/>
  <c r="D78" i="1"/>
  <c r="D77" i="1"/>
  <c r="D76" i="1"/>
  <c r="D75" i="1"/>
  <c r="D74" i="1"/>
  <c r="A74" i="1"/>
  <c r="D73" i="1"/>
  <c r="C57" i="1"/>
  <c r="D66" i="1"/>
  <c r="D58" i="1"/>
  <c r="D59" i="1"/>
  <c r="D60" i="1"/>
  <c r="D61" i="1"/>
  <c r="D62" i="1"/>
  <c r="D63" i="1"/>
  <c r="D64" i="1"/>
  <c r="D65" i="1"/>
  <c r="D57" i="1"/>
  <c r="A58" i="1"/>
  <c r="A59" i="1" s="1"/>
  <c r="A60" i="1" s="1"/>
  <c r="A61" i="1" s="1"/>
  <c r="A62" i="1" s="1"/>
  <c r="A63" i="1" s="1"/>
  <c r="A64" i="1" s="1"/>
  <c r="A65" i="1" s="1"/>
  <c r="A66" i="1" s="1"/>
  <c r="C66" i="1" s="1"/>
  <c r="E45" i="1"/>
  <c r="C45" i="1"/>
  <c r="B45" i="1"/>
  <c r="E39" i="1"/>
  <c r="C39" i="1"/>
  <c r="B39" i="1"/>
  <c r="D39" i="1"/>
  <c r="D45" i="1"/>
  <c r="B14" i="1"/>
  <c r="B15" i="1"/>
  <c r="B16" i="1"/>
  <c r="B17" i="1"/>
  <c r="B18" i="1"/>
  <c r="B19" i="1"/>
  <c r="B20" i="1"/>
  <c r="B21" i="1"/>
  <c r="B22" i="1"/>
  <c r="C13" i="1"/>
  <c r="B13" i="1"/>
  <c r="A14" i="1"/>
  <c r="A15" i="1" s="1"/>
  <c r="A16" i="1" s="1"/>
  <c r="A17" i="1" s="1"/>
  <c r="A18" i="1" s="1"/>
  <c r="A19" i="1" s="1"/>
  <c r="A20" i="1" s="1"/>
  <c r="A21" i="1" s="1"/>
  <c r="A22" i="1" s="1"/>
  <c r="C22" i="1" s="1"/>
  <c r="B25" i="1"/>
  <c r="C103" i="1" l="1"/>
  <c r="E163" i="1"/>
  <c r="C197" i="1"/>
  <c r="E197" i="1" s="1"/>
  <c r="A215" i="1"/>
  <c r="A216" i="1" s="1"/>
  <c r="C214" i="1"/>
  <c r="E214" i="1" s="1"/>
  <c r="C213" i="1"/>
  <c r="E213" i="1" s="1"/>
  <c r="C215" i="1"/>
  <c r="E215" i="1" s="1"/>
  <c r="A198" i="1"/>
  <c r="A199" i="1" s="1"/>
  <c r="C212" i="1"/>
  <c r="E212" i="1" s="1"/>
  <c r="E148" i="1"/>
  <c r="B103" i="1" a="1"/>
  <c r="B103" i="1" s="1"/>
  <c r="B122" i="1" a="1"/>
  <c r="B122" i="1" s="1"/>
  <c r="C149" i="1"/>
  <c r="E149" i="1" s="1"/>
  <c r="C74" i="1"/>
  <c r="E74" i="1" s="1"/>
  <c r="C165" i="1"/>
  <c r="E165" i="1" s="1"/>
  <c r="A168" i="1"/>
  <c r="A169" i="1" s="1"/>
  <c r="C167" i="1"/>
  <c r="E167" i="1" s="1"/>
  <c r="C164" i="1"/>
  <c r="E164" i="1" s="1"/>
  <c r="C166" i="1"/>
  <c r="E166" i="1" s="1"/>
  <c r="A150" i="1"/>
  <c r="C150" i="1" s="1"/>
  <c r="E150" i="1" s="1"/>
  <c r="E66" i="1"/>
  <c r="E73" i="1"/>
  <c r="A75" i="1"/>
  <c r="E57" i="1"/>
  <c r="C62" i="1"/>
  <c r="E62" i="1" s="1"/>
  <c r="C60" i="1"/>
  <c r="E60" i="1" s="1"/>
  <c r="C59" i="1"/>
  <c r="E59" i="1" s="1"/>
  <c r="C65" i="1"/>
  <c r="E65" i="1" s="1"/>
  <c r="C64" i="1"/>
  <c r="E64" i="1" s="1"/>
  <c r="C61" i="1"/>
  <c r="E61" i="1" s="1"/>
  <c r="C58" i="1"/>
  <c r="E58" i="1" s="1"/>
  <c r="C63" i="1"/>
  <c r="E63" i="1" s="1"/>
  <c r="D13" i="1"/>
  <c r="D22" i="1"/>
  <c r="C20" i="1"/>
  <c r="D20" i="1" s="1"/>
  <c r="C19" i="1"/>
  <c r="D19" i="1" s="1"/>
  <c r="C17" i="1"/>
  <c r="D17" i="1" s="1"/>
  <c r="C16" i="1"/>
  <c r="D16" i="1" s="1"/>
  <c r="C15" i="1"/>
  <c r="D15" i="1" s="1"/>
  <c r="C14" i="1"/>
  <c r="D14" i="1" s="1"/>
  <c r="C18" i="1"/>
  <c r="D18" i="1" s="1"/>
  <c r="C21" i="1"/>
  <c r="D21" i="1" s="1"/>
  <c r="C198" i="1" l="1"/>
  <c r="E198" i="1" s="1"/>
  <c r="C199" i="1"/>
  <c r="E199" i="1" s="1"/>
  <c r="A200" i="1"/>
  <c r="A217" i="1"/>
  <c r="C216" i="1"/>
  <c r="E216" i="1" s="1"/>
  <c r="C168" i="1"/>
  <c r="E168" i="1" s="1"/>
  <c r="C169" i="1"/>
  <c r="E169" i="1" s="1"/>
  <c r="A170" i="1"/>
  <c r="A151" i="1"/>
  <c r="C151" i="1" s="1"/>
  <c r="E151" i="1" s="1"/>
  <c r="F57" i="1"/>
  <c r="A76" i="1"/>
  <c r="C75" i="1"/>
  <c r="E75" i="1" s="1"/>
  <c r="E13" i="1"/>
  <c r="A218" i="1" l="1"/>
  <c r="C217" i="1"/>
  <c r="E217" i="1" s="1"/>
  <c r="A201" i="1"/>
  <c r="C200" i="1"/>
  <c r="E200" i="1" s="1"/>
  <c r="A152" i="1"/>
  <c r="C152" i="1" s="1"/>
  <c r="E152" i="1" s="1"/>
  <c r="A171" i="1"/>
  <c r="C170" i="1"/>
  <c r="E170" i="1" s="1"/>
  <c r="B85" i="1"/>
  <c r="B100" i="1"/>
  <c r="C76" i="1"/>
  <c r="E76" i="1" s="1"/>
  <c r="A77" i="1"/>
  <c r="A153" i="1" l="1"/>
  <c r="C201" i="1"/>
  <c r="E201" i="1" s="1"/>
  <c r="A202" i="1"/>
  <c r="A219" i="1"/>
  <c r="C218" i="1"/>
  <c r="E218" i="1" s="1"/>
  <c r="B117" i="1"/>
  <c r="A172" i="1"/>
  <c r="C172" i="1" s="1"/>
  <c r="E172" i="1" s="1"/>
  <c r="C171" i="1"/>
  <c r="E171" i="1" s="1"/>
  <c r="A154" i="1"/>
  <c r="C153" i="1"/>
  <c r="E153" i="1" s="1"/>
  <c r="C77" i="1"/>
  <c r="E77" i="1" s="1"/>
  <c r="A78" i="1"/>
  <c r="A203" i="1" l="1"/>
  <c r="C202" i="1"/>
  <c r="E202" i="1" s="1"/>
  <c r="A220" i="1"/>
  <c r="C220" i="1" s="1"/>
  <c r="E220" i="1" s="1"/>
  <c r="C219" i="1"/>
  <c r="E219" i="1" s="1"/>
  <c r="F163" i="1"/>
  <c r="C154" i="1"/>
  <c r="E154" i="1" s="1"/>
  <c r="A155" i="1"/>
  <c r="C78" i="1"/>
  <c r="E78" i="1" s="1"/>
  <c r="A79" i="1"/>
  <c r="F211" i="1" l="1"/>
  <c r="C203" i="1"/>
  <c r="E203" i="1" s="1"/>
  <c r="A204" i="1"/>
  <c r="A156" i="1"/>
  <c r="C155" i="1"/>
  <c r="E155" i="1" s="1"/>
  <c r="A80" i="1"/>
  <c r="C79" i="1"/>
  <c r="E79" i="1" s="1"/>
  <c r="A205" i="1" l="1"/>
  <c r="C205" i="1" s="1"/>
  <c r="E205" i="1" s="1"/>
  <c r="C204" i="1"/>
  <c r="E204" i="1" s="1"/>
  <c r="C156" i="1"/>
  <c r="E156" i="1" s="1"/>
  <c r="A157" i="1"/>
  <c r="C157" i="1" s="1"/>
  <c r="E157" i="1" s="1"/>
  <c r="C80" i="1"/>
  <c r="E80" i="1" s="1"/>
  <c r="A81" i="1"/>
  <c r="F196" i="1" l="1"/>
  <c r="F148" i="1"/>
  <c r="B175" i="1" s="1"/>
  <c r="A82" i="1"/>
  <c r="C81" i="1"/>
  <c r="E81" i="1" s="1"/>
  <c r="A103" i="1" l="1" a="1"/>
  <c r="A103" i="1" s="1"/>
  <c r="A122" i="1" a="1"/>
  <c r="C82" i="1"/>
  <c r="E82" i="1" s="1"/>
  <c r="F73" i="1"/>
  <c r="C130" i="1" l="1"/>
  <c r="C126" i="1"/>
  <c r="C127" i="1"/>
  <c r="C128" i="1"/>
  <c r="C123" i="1"/>
  <c r="C131" i="1"/>
  <c r="C124" i="1"/>
  <c r="C125" i="1"/>
  <c r="C129" i="1"/>
  <c r="A122" i="1"/>
  <c r="C122" i="1" s="1"/>
  <c r="C111" i="1"/>
  <c r="C112" i="1"/>
  <c r="C104" i="1"/>
  <c r="C107" i="1"/>
  <c r="C108" i="1"/>
  <c r="C105" i="1"/>
  <c r="C106" i="1"/>
  <c r="C109" i="1"/>
  <c r="C110" i="1"/>
  <c r="E103" i="1" l="1"/>
  <c r="E122" i="1"/>
  <c r="B116" i="1"/>
  <c r="C233" i="1" l="1"/>
  <c r="C185" i="1"/>
  <c r="B227" i="1"/>
  <c r="C227" i="1" s="1"/>
  <c r="C232" i="1"/>
  <c r="C184" i="1"/>
  <c r="B228" i="1"/>
  <c r="C228" i="1" s="1"/>
  <c r="B180" i="1"/>
  <c r="C180" i="1" s="1"/>
  <c r="B179" i="1"/>
  <c r="C179" i="1" s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<sst xmlns="http://schemas.openxmlformats.org/spreadsheetml/2006/main" count="129" uniqueCount="64">
  <si>
    <t>Problem 2</t>
  </si>
  <si>
    <t>Period</t>
  </si>
  <si>
    <t>Payment</t>
  </si>
  <si>
    <t>Interest Rate</t>
  </si>
  <si>
    <t>Discount Factor</t>
  </si>
  <si>
    <t>Calculated with 'Present Value' formula in Excel</t>
  </si>
  <si>
    <t>PV of Payment</t>
  </si>
  <si>
    <t>Total PV</t>
  </si>
  <si>
    <t>Periods</t>
  </si>
  <si>
    <t>Calculated with 'Brute Force method' in Excel</t>
  </si>
  <si>
    <t>&lt;– negative as this is the cash-outflow we are willing to have for this payment stream</t>
  </si>
  <si>
    <t>Problem 3</t>
  </si>
  <si>
    <t>Interest rate</t>
  </si>
  <si>
    <t>Future Value</t>
  </si>
  <si>
    <t>Infinite</t>
  </si>
  <si>
    <t>Value with 5% interest rate</t>
  </si>
  <si>
    <t>(i)</t>
  </si>
  <si>
    <t>(ii)</t>
  </si>
  <si>
    <t>(iii)</t>
  </si>
  <si>
    <t>(iv)</t>
  </si>
  <si>
    <t>-</t>
  </si>
  <si>
    <t>Value with 9% interest rate</t>
  </si>
  <si>
    <t>Problem 4</t>
  </si>
  <si>
    <t>Calculate the value of a $1,000 bond with 5% coupon rate</t>
  </si>
  <si>
    <t>P</t>
  </si>
  <si>
    <t>Spot rate</t>
  </si>
  <si>
    <t>Face value</t>
  </si>
  <si>
    <t>Coupon rate</t>
  </si>
  <si>
    <t>Payment pr year</t>
  </si>
  <si>
    <t>Present Value</t>
  </si>
  <si>
    <t>Price</t>
  </si>
  <si>
    <t>Calculate the YTM</t>
  </si>
  <si>
    <t>YTM</t>
  </si>
  <si>
    <t>Difference</t>
  </si>
  <si>
    <t>Brute force with GoalSeek</t>
  </si>
  <si>
    <t>Using =RATE(period;payment;price;future value)*periods</t>
  </si>
  <si>
    <t>Calculate the Macualay Duration</t>
  </si>
  <si>
    <t>t</t>
  </si>
  <si>
    <t>m</t>
  </si>
  <si>
    <t>R</t>
  </si>
  <si>
    <t>CF</t>
  </si>
  <si>
    <t>D</t>
  </si>
  <si>
    <t>Value of Sum</t>
  </si>
  <si>
    <t>Calculate the Duration</t>
  </si>
  <si>
    <t>D* with MDURATION</t>
  </si>
  <si>
    <t>D* with formula</t>
  </si>
  <si>
    <t>Calculate the Convexity</t>
  </si>
  <si>
    <t>C</t>
  </si>
  <si>
    <t>Multiplier</t>
  </si>
  <si>
    <t>Recalculate the Price 100 basis points higher</t>
  </si>
  <si>
    <t>Delta-% in spot</t>
  </si>
  <si>
    <t>Recalculate the Price 100 basis points lower</t>
  </si>
  <si>
    <t>Calculate the Effective Duration</t>
  </si>
  <si>
    <t>D_eff</t>
  </si>
  <si>
    <t>Calculate prices using the modified duration and convexity-based approximation</t>
  </si>
  <si>
    <t>Calculate prices using the modified duration</t>
  </si>
  <si>
    <t>Delta r = 1%</t>
  </si>
  <si>
    <t>Delta r = -1%</t>
  </si>
  <si>
    <t>Recalculate the Price 25 basis points higher</t>
  </si>
  <si>
    <t>Recalculate the Price 25 basis points lower</t>
  </si>
  <si>
    <t>Delta price</t>
  </si>
  <si>
    <t>Excel Sheet</t>
  </si>
  <si>
    <t>Delta r = 0,25%</t>
  </si>
  <si>
    <t>Delta r = -0,25%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</si>
</sst>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4" formatCode="_-* #,##0.00\ &quot;kr.&quot;_-;\-* #,##0.00\ &quot;kr.&quot;_-;_-* &quot;-&quot;??\ &quot;kr.&quot;_-;_-@_-"/>
    <numFmt numFmtId="43" formatCode="_-* #,##0.00_-;\-* #,##0.00_-;_-* &quot;-&quot;??_-;_-@_-"/>
    <numFmt numFmtId="164" formatCode="_-* #,##0_-;\-* #,##0_-;_-* &quot;-&quot;??_-;_-@_-"/>
    <numFmt numFmtId="165" formatCode="_-[$$-409]* #,##0_ ;_-[$$-409]* \-#,##0\ ;_-[$$-409]* &quot;-&quot;_ ;_-@_ "/>
    <numFmt numFmtId="166" formatCode="_-[$$-409]* #,##0.000_ ;_-[$$-409]* \-#,##0.000\ ;_-[$$-409]* &quot;-&quot;??_ ;_-@_ "/>
    <numFmt numFmtId="167" formatCode="_-[$$-409]* #,##0.000_ ;_-[$$-409]* \-#,##0.000\ ;_-[$$-409]* &quot;-&quot;_ ;_-@_ "/>
    <numFmt numFmtId="168" formatCode="_-[$$-409]* #,##0.00000_ ;_-[$$-409]* \-#,##0.00000\ ;_-[$$-409]* &quot;-&quot;_ ;_-@_ "/>
    <numFmt numFmtId="169" formatCode="0.00000"/>
    <numFmt numFmtId="171" formatCode="[$$-409]#,##0.000"/>
    <numFmt numFmtId="173" formatCode="[$$-409]#,##0"/>
    <numFmt numFmtId="180" formatCode="_-[$$-409]* #,##0.00_ ;_-[$$-409]* \-#,##0.00\ ;_-[$$-409]* &quot;-&quot;??_ ;_-@_ "/>
    <numFmt numFmtId="191" formatCode="[$$-409]#,##0.00000"/>
    <numFmt numFmtId="193" formatCode="0.000%"/>
    <numFmt numFmtId="194" formatCode="0.0000%"/>
    <numFmt numFmtId="198" formatCode="0.000"/>
    <numFmt numFmtId="199" formatCode="_-[$$-409]* #,##0.000_ ;_-[$$-409]* \-#,##0.000\ ;_-[$$-409]* &quot;-&quot;???_ ;_-@_ "/>
    <numFmt numFmtId="203" formatCode="_-[$$-409]* #,##0.0000000_ ;_-[$$-409]* \-#,##0.0000000\ ;_-[$$-409]* &quot;-&quot;???_ ;_-@_ 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3" fillId="0" borderId="0" xfId="0" applyFont="1"/>
    <xf numFmtId="9" fontId="0" fillId="0" borderId="0" xfId="0" applyNumberFormat="1"/>
    <xf numFmtId="0" fontId="2" fillId="0" borderId="0" xfId="0" applyFont="1"/>
    <xf numFmtId="164" fontId="0" fillId="0" borderId="0" xfId="1" applyNumberFormat="1" applyFont="1"/>
    <xf numFmtId="165" fontId="0" fillId="0" borderId="0" xfId="2" applyNumberFormat="1" applyFont="1"/>
    <xf numFmtId="166" fontId="0" fillId="0" borderId="0" xfId="2" applyNumberFormat="1" applyFont="1"/>
    <xf numFmtId="165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left" wrapText="1"/>
    </xf>
    <xf numFmtId="0" fontId="5" fillId="0" borderId="0" xfId="0" applyFont="1"/>
    <xf numFmtId="171" fontId="0" fillId="0" borderId="0" xfId="0" applyNumberFormat="1"/>
    <xf numFmtId="173" fontId="0" fillId="0" borderId="0" xfId="0" applyNumberFormat="1"/>
    <xf numFmtId="0" fontId="0" fillId="0" borderId="0" xfId="1" applyNumberFormat="1" applyFont="1"/>
    <xf numFmtId="180" fontId="0" fillId="0" borderId="0" xfId="0" applyNumberFormat="1"/>
    <xf numFmtId="10" fontId="0" fillId="0" borderId="0" xfId="0" applyNumberFormat="1"/>
    <xf numFmtId="191" fontId="0" fillId="0" borderId="0" xfId="0" applyNumberFormat="1"/>
    <xf numFmtId="171" fontId="2" fillId="0" borderId="0" xfId="0" applyNumberFormat="1" applyFont="1"/>
    <xf numFmtId="194" fontId="0" fillId="0" borderId="0" xfId="0" applyNumberFormat="1"/>
    <xf numFmtId="10" fontId="2" fillId="0" borderId="0" xfId="0" applyNumberFormat="1" applyFont="1"/>
    <xf numFmtId="198" fontId="0" fillId="0" borderId="0" xfId="0" applyNumberFormat="1"/>
    <xf numFmtId="198" fontId="0" fillId="0" borderId="0" xfId="0" applyNumberFormat="1" applyAlignment="1">
      <alignment horizontal="right"/>
    </xf>
    <xf numFmtId="193" fontId="0" fillId="0" borderId="0" xfId="3" applyNumberFormat="1" applyFont="1"/>
    <xf numFmtId="199" fontId="0" fillId="0" borderId="0" xfId="0" applyNumberFormat="1"/>
    <xf numFmtId="198" fontId="0" fillId="0" borderId="0" xfId="3" applyNumberFormat="1" applyFont="1"/>
    <xf numFmtId="0" fontId="6" fillId="0" borderId="0" xfId="0" applyFont="1" applyAlignment="1">
      <alignment horizontal="center"/>
    </xf>
    <xf numFmtId="203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 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6EF19-2D6F-1944-9AAD-A2EFA326274F}">
  <dimension ref="A1:G233"/>
  <sheetViews>
    <sheetView tabSelected="1" view="pageLayout" topLeftCell="A200" zoomScaleNormal="100" workbookViewId="0">
      <selection activeCell="D210" sqref="D208:D210"/>
    </sheetView>
  </sheetViews>
  <sheetFormatPr baseColWidth="10" defaultRowHeight="16" x14ac:dyDescent="0.2"/>
  <cols>
    <col min="1" max="1" width="14.6640625" customWidth="1"/>
    <col min="2" max="5" width="14.1640625" customWidth="1"/>
    <col min="6" max="6" width="10.83203125" customWidth="1"/>
  </cols>
  <sheetData>
    <row r="1" spans="1:7" x14ac:dyDescent="0.2">
      <c r="A1" s="28" t="s">
        <v>61</v>
      </c>
      <c r="B1" s="28"/>
      <c r="C1" s="28"/>
      <c r="D1" s="28"/>
      <c r="E1" s="28"/>
      <c r="F1" s="28"/>
      <c r="G1" s="28"/>
    </row>
    <row r="2" spans="1:7" x14ac:dyDescent="0.2">
      <c r="A2" s="28"/>
      <c r="B2" s="28"/>
      <c r="C2" s="28"/>
      <c r="D2" s="28"/>
      <c r="E2" s="28"/>
      <c r="F2" s="28"/>
      <c r="G2" s="28"/>
    </row>
    <row r="5" spans="1:7" ht="21" x14ac:dyDescent="0.25">
      <c r="A5" s="1" t="s">
        <v>0</v>
      </c>
    </row>
    <row r="7" spans="1:7" x14ac:dyDescent="0.2">
      <c r="A7" t="s">
        <v>3</v>
      </c>
      <c r="B7" s="2">
        <v>0.1</v>
      </c>
    </row>
    <row r="8" spans="1:7" x14ac:dyDescent="0.2">
      <c r="A8" t="s">
        <v>8</v>
      </c>
      <c r="B8" s="4">
        <v>10</v>
      </c>
    </row>
    <row r="9" spans="1:7" x14ac:dyDescent="0.2">
      <c r="A9" t="s">
        <v>2</v>
      </c>
      <c r="B9" s="5">
        <v>100</v>
      </c>
    </row>
    <row r="10" spans="1:7" x14ac:dyDescent="0.2">
      <c r="B10" s="5"/>
    </row>
    <row r="11" spans="1:7" ht="19" x14ac:dyDescent="0.25">
      <c r="A11" s="13" t="s">
        <v>9</v>
      </c>
    </row>
    <row r="12" spans="1:7" x14ac:dyDescent="0.2">
      <c r="A12" t="s">
        <v>1</v>
      </c>
      <c r="B12" t="s">
        <v>2</v>
      </c>
      <c r="C12" t="s">
        <v>4</v>
      </c>
      <c r="D12" t="s">
        <v>6</v>
      </c>
      <c r="E12" s="3" t="s">
        <v>7</v>
      </c>
    </row>
    <row r="13" spans="1:7" x14ac:dyDescent="0.2">
      <c r="A13">
        <v>1</v>
      </c>
      <c r="B13" s="7">
        <f>$B$9</f>
        <v>100</v>
      </c>
      <c r="C13" s="10">
        <f>1/(1+$B$7)^A13</f>
        <v>0.90909090909090906</v>
      </c>
      <c r="D13" s="9">
        <f>B13*C13</f>
        <v>90.909090909090907</v>
      </c>
      <c r="E13" s="8">
        <f>SUM(D13:D22)</f>
        <v>614.45671057046798</v>
      </c>
    </row>
    <row r="14" spans="1:7" x14ac:dyDescent="0.2">
      <c r="A14">
        <f>A13+1</f>
        <v>2</v>
      </c>
      <c r="B14" s="7">
        <f>$B$9</f>
        <v>100</v>
      </c>
      <c r="C14" s="10">
        <f>1/(1+$B$7)^A14</f>
        <v>0.82644628099173545</v>
      </c>
      <c r="D14" s="9">
        <f>B14*C14</f>
        <v>82.644628099173545</v>
      </c>
    </row>
    <row r="15" spans="1:7" x14ac:dyDescent="0.2">
      <c r="A15">
        <f>A14+1</f>
        <v>3</v>
      </c>
      <c r="B15" s="7">
        <f>$B$9</f>
        <v>100</v>
      </c>
      <c r="C15" s="10">
        <f>1/(1+$B$7)^A15</f>
        <v>0.75131480090157754</v>
      </c>
      <c r="D15" s="9">
        <f>B15*C15</f>
        <v>75.131480090157751</v>
      </c>
    </row>
    <row r="16" spans="1:7" x14ac:dyDescent="0.2">
      <c r="A16">
        <f>A15+1</f>
        <v>4</v>
      </c>
      <c r="B16" s="7">
        <f>$B$9</f>
        <v>100</v>
      </c>
      <c r="C16" s="10">
        <f>1/(1+$B$7)^A16</f>
        <v>0.68301345536507052</v>
      </c>
      <c r="D16" s="9">
        <f>B16*C16</f>
        <v>68.301345536507057</v>
      </c>
    </row>
    <row r="17" spans="1:7" x14ac:dyDescent="0.2">
      <c r="A17">
        <f>A16+1</f>
        <v>5</v>
      </c>
      <c r="B17" s="7">
        <f>$B$9</f>
        <v>100</v>
      </c>
      <c r="C17" s="10">
        <f>1/(1+$B$7)^A17</f>
        <v>0.62092132305915493</v>
      </c>
      <c r="D17" s="9">
        <f>B17*C17</f>
        <v>62.092132305915491</v>
      </c>
    </row>
    <row r="18" spans="1:7" x14ac:dyDescent="0.2">
      <c r="A18">
        <f>A17+1</f>
        <v>6</v>
      </c>
      <c r="B18" s="7">
        <f>$B$9</f>
        <v>100</v>
      </c>
      <c r="C18" s="10">
        <f>1/(1+$B$7)^A18</f>
        <v>0.56447393005377722</v>
      </c>
      <c r="D18" s="9">
        <f>B18*C18</f>
        <v>56.44739300537772</v>
      </c>
    </row>
    <row r="19" spans="1:7" x14ac:dyDescent="0.2">
      <c r="A19">
        <f>A18+1</f>
        <v>7</v>
      </c>
      <c r="B19" s="7">
        <f>$B$9</f>
        <v>100</v>
      </c>
      <c r="C19" s="10">
        <f>1/(1+$B$7)^A19</f>
        <v>0.51315811823070645</v>
      </c>
      <c r="D19" s="9">
        <f>B19*C19</f>
        <v>51.315811823070646</v>
      </c>
    </row>
    <row r="20" spans="1:7" x14ac:dyDescent="0.2">
      <c r="A20">
        <f>A19+1</f>
        <v>8</v>
      </c>
      <c r="B20" s="7">
        <f>$B$9</f>
        <v>100</v>
      </c>
      <c r="C20" s="10">
        <f>1/(1+$B$7)^A20</f>
        <v>0.46650738020973315</v>
      </c>
      <c r="D20" s="9">
        <f>B20*C20</f>
        <v>46.650738020973314</v>
      </c>
    </row>
    <row r="21" spans="1:7" ht="16" customHeight="1" x14ac:dyDescent="0.2">
      <c r="A21">
        <f>A20+1</f>
        <v>9</v>
      </c>
      <c r="B21" s="7">
        <f>$B$9</f>
        <v>100</v>
      </c>
      <c r="C21" s="10">
        <f>1/(1+$B$7)^A21</f>
        <v>0.42409761837248466</v>
      </c>
      <c r="D21" s="9">
        <f>B21*C21</f>
        <v>42.409761837248467</v>
      </c>
    </row>
    <row r="22" spans="1:7" ht="16" customHeight="1" x14ac:dyDescent="0.2">
      <c r="A22">
        <f>A21+1</f>
        <v>10</v>
      </c>
      <c r="B22" s="7">
        <f>$B$9</f>
        <v>100</v>
      </c>
      <c r="C22" s="10">
        <f>1/(1+$B$7)^A22</f>
        <v>0.38554328942953148</v>
      </c>
      <c r="D22" s="9">
        <f>B22*C22</f>
        <v>38.554328942953148</v>
      </c>
      <c r="G22" s="11"/>
    </row>
    <row r="23" spans="1:7" x14ac:dyDescent="0.2">
      <c r="G23" s="11"/>
    </row>
    <row r="24" spans="1:7" ht="19" x14ac:dyDescent="0.25">
      <c r="A24" s="13" t="s">
        <v>5</v>
      </c>
    </row>
    <row r="25" spans="1:7" x14ac:dyDescent="0.2">
      <c r="A25" t="s">
        <v>7</v>
      </c>
      <c r="B25" s="6">
        <f>PV($B$7,$B$8,$B$9,$B$10,0)</f>
        <v>-614.45671057046854</v>
      </c>
      <c r="C25" s="12" t="s">
        <v>10</v>
      </c>
      <c r="D25" s="12"/>
      <c r="E25" s="12"/>
      <c r="F25" s="12"/>
    </row>
    <row r="26" spans="1:7" x14ac:dyDescent="0.2">
      <c r="C26" s="12"/>
      <c r="D26" s="12"/>
      <c r="E26" s="12"/>
      <c r="F26" s="12"/>
    </row>
    <row r="28" spans="1:7" ht="21" x14ac:dyDescent="0.25">
      <c r="A28" s="1" t="s">
        <v>11</v>
      </c>
    </row>
    <row r="30" spans="1:7" x14ac:dyDescent="0.2">
      <c r="B30" t="s">
        <v>16</v>
      </c>
      <c r="C30" t="s">
        <v>17</v>
      </c>
      <c r="D30" t="s">
        <v>18</v>
      </c>
      <c r="E30" t="s">
        <v>19</v>
      </c>
    </row>
    <row r="31" spans="1:7" x14ac:dyDescent="0.2">
      <c r="A31" t="s">
        <v>2</v>
      </c>
      <c r="B31" s="15">
        <v>0</v>
      </c>
      <c r="C31" s="15">
        <v>0</v>
      </c>
      <c r="D31" s="15">
        <v>80000</v>
      </c>
      <c r="E31" s="15">
        <v>175000</v>
      </c>
    </row>
    <row r="32" spans="1:7" x14ac:dyDescent="0.2">
      <c r="A32" t="s">
        <v>8</v>
      </c>
      <c r="B32" s="16">
        <v>0</v>
      </c>
      <c r="C32" s="16">
        <v>4</v>
      </c>
      <c r="D32" s="16" t="s">
        <v>14</v>
      </c>
      <c r="E32" s="16">
        <v>10</v>
      </c>
    </row>
    <row r="33" spans="1:5" x14ac:dyDescent="0.2">
      <c r="A33" t="s">
        <v>13</v>
      </c>
      <c r="B33" s="15">
        <v>1200000</v>
      </c>
      <c r="C33" s="15">
        <v>1600000</v>
      </c>
      <c r="D33" s="15" t="s">
        <v>20</v>
      </c>
      <c r="E33" s="15">
        <v>0</v>
      </c>
    </row>
    <row r="35" spans="1:5" ht="19" x14ac:dyDescent="0.25">
      <c r="A35" s="13" t="s">
        <v>15</v>
      </c>
    </row>
    <row r="36" spans="1:5" x14ac:dyDescent="0.2">
      <c r="A36" t="s">
        <v>12</v>
      </c>
      <c r="B36" s="2">
        <v>0.05</v>
      </c>
    </row>
    <row r="38" spans="1:5" x14ac:dyDescent="0.2">
      <c r="B38" t="s">
        <v>16</v>
      </c>
      <c r="C38" t="s">
        <v>17</v>
      </c>
      <c r="D38" t="s">
        <v>18</v>
      </c>
      <c r="E38" t="s">
        <v>19</v>
      </c>
    </row>
    <row r="39" spans="1:5" x14ac:dyDescent="0.2">
      <c r="B39" s="17">
        <f>-PV($B36,B$32,B$31,B$33,0)</f>
        <v>1200000</v>
      </c>
      <c r="C39" s="17">
        <f>-PV($B36,C$32,C$31,C$33,0)</f>
        <v>1316323.9596670112</v>
      </c>
      <c r="D39" s="17">
        <f>$D$31/B36</f>
        <v>1600000</v>
      </c>
      <c r="E39" s="17">
        <f>-PV($B36,E$32,E$31,E$33,0)</f>
        <v>1351303.6126073422</v>
      </c>
    </row>
    <row r="41" spans="1:5" ht="19" x14ac:dyDescent="0.25">
      <c r="A41" s="13" t="s">
        <v>21</v>
      </c>
    </row>
    <row r="42" spans="1:5" x14ac:dyDescent="0.2">
      <c r="A42" t="s">
        <v>12</v>
      </c>
      <c r="B42" s="2">
        <v>0.09</v>
      </c>
    </row>
    <row r="44" spans="1:5" x14ac:dyDescent="0.2">
      <c r="B44" t="s">
        <v>16</v>
      </c>
      <c r="C44" t="s">
        <v>17</v>
      </c>
      <c r="D44" t="s">
        <v>18</v>
      </c>
      <c r="E44" t="s">
        <v>19</v>
      </c>
    </row>
    <row r="45" spans="1:5" x14ac:dyDescent="0.2">
      <c r="B45" s="17">
        <f>-PV($B42,B$32,B$31,B$33,0)</f>
        <v>1200000</v>
      </c>
      <c r="C45" s="17">
        <f>-PV($B42,C$32,C$31,C$33,0)</f>
        <v>1133480.3377043144</v>
      </c>
      <c r="D45" s="17">
        <f>$D$31/B42</f>
        <v>888888.88888888888</v>
      </c>
      <c r="E45" s="17">
        <f>-PV($B42,E$32,E$31,E$33,0)</f>
        <v>1123090.0977028273</v>
      </c>
    </row>
    <row r="48" spans="1:5" ht="21" x14ac:dyDescent="0.25">
      <c r="A48" s="1" t="s">
        <v>22</v>
      </c>
    </row>
    <row r="49" spans="1:6" ht="19" x14ac:dyDescent="0.25">
      <c r="A49" s="13" t="s">
        <v>23</v>
      </c>
    </row>
    <row r="51" spans="1:6" x14ac:dyDescent="0.2">
      <c r="A51" t="s">
        <v>26</v>
      </c>
      <c r="B51" s="15">
        <v>1000</v>
      </c>
    </row>
    <row r="52" spans="1:6" x14ac:dyDescent="0.2">
      <c r="A52" t="s">
        <v>27</v>
      </c>
      <c r="B52" s="2">
        <v>0.05</v>
      </c>
    </row>
    <row r="53" spans="1:6" x14ac:dyDescent="0.2">
      <c r="A53" t="s">
        <v>28</v>
      </c>
      <c r="B53">
        <v>2</v>
      </c>
    </row>
    <row r="54" spans="1:6" x14ac:dyDescent="0.2">
      <c r="A54" t="s">
        <v>8</v>
      </c>
      <c r="B54">
        <v>10</v>
      </c>
    </row>
    <row r="56" spans="1:6" x14ac:dyDescent="0.2">
      <c r="A56" t="s">
        <v>1</v>
      </c>
      <c r="B56" t="s">
        <v>25</v>
      </c>
      <c r="C56" t="s">
        <v>4</v>
      </c>
      <c r="D56" t="s">
        <v>2</v>
      </c>
      <c r="E56" t="s">
        <v>29</v>
      </c>
      <c r="F56" s="3" t="s">
        <v>30</v>
      </c>
    </row>
    <row r="57" spans="1:6" x14ac:dyDescent="0.2">
      <c r="A57">
        <v>1</v>
      </c>
      <c r="B57" s="2">
        <v>0.02</v>
      </c>
      <c r="C57" s="10">
        <f>1/((1+($B57/$B$53))^$A57)</f>
        <v>0.99009900990099009</v>
      </c>
      <c r="D57" s="15">
        <f>$B$51*$B$52/$B$53</f>
        <v>25</v>
      </c>
      <c r="E57" s="19">
        <f>$C57*$D57</f>
        <v>24.752475247524753</v>
      </c>
      <c r="F57" s="20">
        <f>SUM(E57:E66)</f>
        <v>968.07314100701524</v>
      </c>
    </row>
    <row r="58" spans="1:6" x14ac:dyDescent="0.2">
      <c r="A58">
        <f>A57+1</f>
        <v>2</v>
      </c>
      <c r="B58" s="2">
        <v>0.03</v>
      </c>
      <c r="C58" s="10">
        <f>1/((1+($B58/$B$53))^$A58)</f>
        <v>0.9706617486471405</v>
      </c>
      <c r="D58" s="15">
        <f t="shared" ref="D58:D65" si="0">$B$51*$B$52/$B$53</f>
        <v>25</v>
      </c>
      <c r="E58" s="19">
        <f>$C58*$D58</f>
        <v>24.266543716178511</v>
      </c>
    </row>
    <row r="59" spans="1:6" x14ac:dyDescent="0.2">
      <c r="A59">
        <f>A58+1</f>
        <v>3</v>
      </c>
      <c r="B59" s="18">
        <v>3.6700000000000003E-2</v>
      </c>
      <c r="C59" s="10">
        <f>1/((1+($B59/$B$53))^$A59)</f>
        <v>0.94691020450444718</v>
      </c>
      <c r="D59" s="15">
        <f t="shared" si="0"/>
        <v>25</v>
      </c>
      <c r="E59" s="19">
        <f>$C59*$D59</f>
        <v>23.672755112611181</v>
      </c>
    </row>
    <row r="60" spans="1:6" x14ac:dyDescent="0.2">
      <c r="A60">
        <f>A59+1</f>
        <v>4</v>
      </c>
      <c r="B60" s="18">
        <v>4.1700000000000001E-2</v>
      </c>
      <c r="C60" s="10">
        <f>1/((1+($B60/$B$53))^$A60)</f>
        <v>0.92077234618924586</v>
      </c>
      <c r="D60" s="15">
        <f t="shared" si="0"/>
        <v>25</v>
      </c>
      <c r="E60" s="19">
        <f>$C60*$D60</f>
        <v>23.019308654731148</v>
      </c>
    </row>
    <row r="61" spans="1:6" x14ac:dyDescent="0.2">
      <c r="A61">
        <f>A60+1</f>
        <v>5</v>
      </c>
      <c r="B61" s="18">
        <v>4.5699999999999998E-2</v>
      </c>
      <c r="C61" s="10">
        <f>1/((1+($B61/$B$53))^$A61)</f>
        <v>0.89318259684008927</v>
      </c>
      <c r="D61" s="15">
        <f t="shared" si="0"/>
        <v>25</v>
      </c>
      <c r="E61" s="19">
        <f>$C61*$D61</f>
        <v>22.32956492100223</v>
      </c>
    </row>
    <row r="62" spans="1:6" x14ac:dyDescent="0.2">
      <c r="A62">
        <f t="shared" ref="A62:A66" si="1">A61+1</f>
        <v>6</v>
      </c>
      <c r="B62" s="18">
        <v>4.9000000000000002E-2</v>
      </c>
      <c r="C62" s="10">
        <f>1/((1+($B62/$B$53))^$A62)</f>
        <v>0.86482497619650811</v>
      </c>
      <c r="D62" s="15">
        <f t="shared" si="0"/>
        <v>25</v>
      </c>
      <c r="E62" s="19">
        <f>$C62*$D62</f>
        <v>21.620624404912704</v>
      </c>
    </row>
    <row r="63" spans="1:6" x14ac:dyDescent="0.2">
      <c r="A63">
        <f t="shared" si="1"/>
        <v>7</v>
      </c>
      <c r="B63" s="18">
        <v>5.1900000000000002E-2</v>
      </c>
      <c r="C63" s="10">
        <f>1/((1+($B63/$B$53))^$A63)</f>
        <v>0.8358274486617927</v>
      </c>
      <c r="D63" s="15">
        <f t="shared" si="0"/>
        <v>25</v>
      </c>
      <c r="E63" s="19">
        <f>$C63*$D63</f>
        <v>20.895686216544817</v>
      </c>
    </row>
    <row r="64" spans="1:6" x14ac:dyDescent="0.2">
      <c r="A64">
        <f t="shared" si="1"/>
        <v>8</v>
      </c>
      <c r="B64" s="18">
        <v>5.4399999999999997E-2</v>
      </c>
      <c r="C64" s="10">
        <f>1/((1+($B64/$B$53))^$A64)</f>
        <v>0.80678889953590782</v>
      </c>
      <c r="D64" s="15">
        <f t="shared" si="0"/>
        <v>25</v>
      </c>
      <c r="E64" s="19">
        <f>$C64*$D64</f>
        <v>20.169722488397696</v>
      </c>
    </row>
    <row r="65" spans="1:6" x14ac:dyDescent="0.2">
      <c r="A65">
        <f t="shared" si="1"/>
        <v>9</v>
      </c>
      <c r="B65" s="18">
        <v>5.6599999999999998E-2</v>
      </c>
      <c r="C65" s="10">
        <f>1/((1+($B65/$B$53))^$A65)</f>
        <v>0.77789589152603877</v>
      </c>
      <c r="D65" s="15">
        <f t="shared" si="0"/>
        <v>25</v>
      </c>
      <c r="E65" s="19">
        <f>$C65*$D65</f>
        <v>19.44739728815097</v>
      </c>
    </row>
    <row r="66" spans="1:6" x14ac:dyDescent="0.2">
      <c r="A66">
        <f t="shared" si="1"/>
        <v>10</v>
      </c>
      <c r="B66" s="18">
        <v>5.8599999999999999E-2</v>
      </c>
      <c r="C66" s="10">
        <f>1/((1+($B66/$B$53))^$A66)</f>
        <v>0.74916981751898659</v>
      </c>
      <c r="D66" s="15">
        <f>$B$51*$B$52/$B$53+$B$51</f>
        <v>1025</v>
      </c>
      <c r="E66" s="19">
        <f>$C66*$D66</f>
        <v>767.8990629569613</v>
      </c>
    </row>
    <row r="68" spans="1:6" ht="19" x14ac:dyDescent="0.25">
      <c r="A68" s="13" t="s">
        <v>31</v>
      </c>
    </row>
    <row r="69" spans="1:6" x14ac:dyDescent="0.2">
      <c r="A69" t="s">
        <v>34</v>
      </c>
    </row>
    <row r="70" spans="1:6" x14ac:dyDescent="0.2">
      <c r="A70" t="s">
        <v>32</v>
      </c>
      <c r="B70" s="18">
        <v>5.743669923384246E-2</v>
      </c>
    </row>
    <row r="72" spans="1:6" x14ac:dyDescent="0.2">
      <c r="A72" t="s">
        <v>1</v>
      </c>
      <c r="B72" t="s">
        <v>25</v>
      </c>
      <c r="C72" t="s">
        <v>4</v>
      </c>
      <c r="D72" t="s">
        <v>2</v>
      </c>
      <c r="E72" t="s">
        <v>29</v>
      </c>
      <c r="F72" s="3" t="s">
        <v>33</v>
      </c>
    </row>
    <row r="73" spans="1:6" x14ac:dyDescent="0.2">
      <c r="A73">
        <v>1</v>
      </c>
      <c r="B73" s="18">
        <f>$B$70</f>
        <v>5.743669923384246E-2</v>
      </c>
      <c r="C73" s="10">
        <f>1/((1+($B73/$B$53))^$A73)</f>
        <v>0.97208336992567934</v>
      </c>
      <c r="D73" s="15">
        <f>$B$51*$B$52/$B$53</f>
        <v>25</v>
      </c>
      <c r="E73" s="19">
        <f>$C73*$D73</f>
        <v>24.302084248141984</v>
      </c>
      <c r="F73" s="20">
        <f>SUM(E73:E82)-F57</f>
        <v>1.0732804355484404E-4</v>
      </c>
    </row>
    <row r="74" spans="1:6" x14ac:dyDescent="0.2">
      <c r="A74">
        <f>A73+1</f>
        <v>2</v>
      </c>
      <c r="B74" s="18">
        <f>$B$70</f>
        <v>5.743669923384246E-2</v>
      </c>
      <c r="C74" s="10">
        <f>1/((1+($B74/$B$53))^$A74)</f>
        <v>0.94494607808606523</v>
      </c>
      <c r="D74" s="15">
        <f t="shared" ref="D74:D81" si="2">$B$51*$B$52/$B$53</f>
        <v>25</v>
      </c>
      <c r="E74" s="19">
        <f>$C74*$D74</f>
        <v>23.623651952151629</v>
      </c>
    </row>
    <row r="75" spans="1:6" x14ac:dyDescent="0.2">
      <c r="A75">
        <f>A74+1</f>
        <v>3</v>
      </c>
      <c r="B75" s="18">
        <f>$B$70</f>
        <v>5.743669923384246E-2</v>
      </c>
      <c r="C75" s="10">
        <f>1/((1+($B75/$B$53))^$A75)</f>
        <v>0.91856636798395641</v>
      </c>
      <c r="D75" s="15">
        <f t="shared" si="2"/>
        <v>25</v>
      </c>
      <c r="E75" s="19">
        <f>$C75*$D75</f>
        <v>22.96415919959891</v>
      </c>
    </row>
    <row r="76" spans="1:6" x14ac:dyDescent="0.2">
      <c r="A76">
        <f>A75+1</f>
        <v>4</v>
      </c>
      <c r="B76" s="18">
        <f>$B$70</f>
        <v>5.743669923384246E-2</v>
      </c>
      <c r="C76" s="10">
        <f>1/((1+($B76/$B$53))^$A76)</f>
        <v>0.89292309049023599</v>
      </c>
      <c r="D76" s="15">
        <f t="shared" si="2"/>
        <v>25</v>
      </c>
      <c r="E76" s="19">
        <f>$C76*$D76</f>
        <v>22.3230772622559</v>
      </c>
    </row>
    <row r="77" spans="1:6" x14ac:dyDescent="0.2">
      <c r="A77">
        <f>A76+1</f>
        <v>5</v>
      </c>
      <c r="B77" s="18">
        <f>$B$70</f>
        <v>5.743669923384246E-2</v>
      </c>
      <c r="C77" s="10">
        <f>1/((1+($B77/$B$53))^$A77)</f>
        <v>0.86799568688820095</v>
      </c>
      <c r="D77" s="15">
        <f t="shared" si="2"/>
        <v>25</v>
      </c>
      <c r="E77" s="19">
        <f>$C77*$D77</f>
        <v>21.699892172205022</v>
      </c>
    </row>
    <row r="78" spans="1:6" x14ac:dyDescent="0.2">
      <c r="A78">
        <f t="shared" ref="A78:A82" si="3">A77+1</f>
        <v>6</v>
      </c>
      <c r="B78" s="18">
        <f>$B$70</f>
        <v>5.743669923384246E-2</v>
      </c>
      <c r="C78" s="10">
        <f>1/((1+($B78/$B$53))^$A78)</f>
        <v>0.84376417239123724</v>
      </c>
      <c r="D78" s="15">
        <f t="shared" si="2"/>
        <v>25</v>
      </c>
      <c r="E78" s="19">
        <f>$C78*$D78</f>
        <v>21.094104309780931</v>
      </c>
    </row>
    <row r="79" spans="1:6" x14ac:dyDescent="0.2">
      <c r="A79">
        <f t="shared" si="3"/>
        <v>7</v>
      </c>
      <c r="B79" s="18">
        <f>$B$70</f>
        <v>5.743669923384246E-2</v>
      </c>
      <c r="C79" s="10">
        <f>1/((1+($B79/$B$53))^$A79)</f>
        <v>0.82020912012062575</v>
      </c>
      <c r="D79" s="15">
        <f t="shared" si="2"/>
        <v>25</v>
      </c>
      <c r="E79" s="19">
        <f>$C79*$D79</f>
        <v>20.505228003015645</v>
      </c>
    </row>
    <row r="80" spans="1:6" x14ac:dyDescent="0.2">
      <c r="A80">
        <f t="shared" si="3"/>
        <v>8</v>
      </c>
      <c r="B80" s="18">
        <f>$B$70</f>
        <v>5.743669923384246E-2</v>
      </c>
      <c r="C80" s="10">
        <f>1/((1+($B80/$B$53))^$A80)</f>
        <v>0.79731164553063416</v>
      </c>
      <c r="D80" s="15">
        <f t="shared" si="2"/>
        <v>25</v>
      </c>
      <c r="E80" s="19">
        <f>$C80*$D80</f>
        <v>19.932791138265856</v>
      </c>
    </row>
    <row r="81" spans="1:5" x14ac:dyDescent="0.2">
      <c r="A81">
        <f t="shared" si="3"/>
        <v>9</v>
      </c>
      <c r="B81" s="18">
        <f>$B$70</f>
        <v>5.743669923384246E-2</v>
      </c>
      <c r="C81" s="10">
        <f>1/((1+($B81/$B$53))^$A81)</f>
        <v>0.77505339126840755</v>
      </c>
      <c r="D81" s="15">
        <f t="shared" si="2"/>
        <v>25</v>
      </c>
      <c r="E81" s="19">
        <f>$C81*$D81</f>
        <v>19.376334781710188</v>
      </c>
    </row>
    <row r="82" spans="1:5" x14ac:dyDescent="0.2">
      <c r="A82">
        <f t="shared" si="3"/>
        <v>10</v>
      </c>
      <c r="B82" s="18">
        <f>$B$70</f>
        <v>5.743669923384246E-2</v>
      </c>
      <c r="C82" s="10">
        <f>1/((1+($B82/$B$53))^$A82)</f>
        <v>0.75341651245651975</v>
      </c>
      <c r="D82" s="15">
        <f>$B$51*$B$52/$B$53+$B$51</f>
        <v>1025</v>
      </c>
      <c r="E82" s="19">
        <f>$C82*$D82</f>
        <v>772.25192526793273</v>
      </c>
    </row>
    <row r="84" spans="1:5" x14ac:dyDescent="0.2">
      <c r="A84" t="s">
        <v>35</v>
      </c>
    </row>
    <row r="85" spans="1:5" x14ac:dyDescent="0.2">
      <c r="A85" s="3" t="s">
        <v>32</v>
      </c>
      <c r="B85" s="22">
        <f>RATE(B54,B51*B52/B53,-F57,B51)*2</f>
        <v>5.7436724720469443E-2</v>
      </c>
    </row>
    <row r="86" spans="1:5" x14ac:dyDescent="0.2">
      <c r="B86" s="21"/>
    </row>
    <row r="96" spans="1:5" ht="19" x14ac:dyDescent="0.25">
      <c r="A96" s="13" t="s">
        <v>36</v>
      </c>
    </row>
    <row r="98" spans="1:5" x14ac:dyDescent="0.2">
      <c r="A98" t="s">
        <v>38</v>
      </c>
      <c r="B98">
        <f>$B$53</f>
        <v>2</v>
      </c>
    </row>
    <row r="99" spans="1:5" x14ac:dyDescent="0.2">
      <c r="A99" t="s">
        <v>39</v>
      </c>
      <c r="B99" s="18">
        <f>$B$85</f>
        <v>5.7436724720469443E-2</v>
      </c>
    </row>
    <row r="100" spans="1:5" x14ac:dyDescent="0.2">
      <c r="A100" t="s">
        <v>24</v>
      </c>
      <c r="B100" s="14">
        <f>F57</f>
        <v>968.07314100701524</v>
      </c>
    </row>
    <row r="102" spans="1:5" x14ac:dyDescent="0.2">
      <c r="A102" t="s">
        <v>37</v>
      </c>
      <c r="B102" t="s">
        <v>40</v>
      </c>
      <c r="C102" t="s">
        <v>42</v>
      </c>
      <c r="D102" t="s">
        <v>48</v>
      </c>
      <c r="E102" s="23" t="s">
        <v>41</v>
      </c>
    </row>
    <row r="103" spans="1:5" x14ac:dyDescent="0.2">
      <c r="A103" cm="1">
        <f t="array" ref="A103:A112">$A$73:$A$82</f>
        <v>1</v>
      </c>
      <c r="B103" s="7" cm="1">
        <f t="array" ref="B103:B112">$D$57:$D$66</f>
        <v>25</v>
      </c>
      <c r="C103" s="24">
        <f>$A103*(($B103/((1+($B$99/$B$98))^$A103))/$B$100)</f>
        <v>2.5103561825730147E-2</v>
      </c>
      <c r="D103" s="23">
        <f>1/$B$98</f>
        <v>0.5</v>
      </c>
      <c r="E103" s="23">
        <f>D103*SUM(C103:C112)</f>
        <v>4.4752312900872226</v>
      </c>
    </row>
    <row r="104" spans="1:5" x14ac:dyDescent="0.2">
      <c r="A104">
        <v>2</v>
      </c>
      <c r="B104" s="7">
        <v>25</v>
      </c>
      <c r="C104" s="24">
        <f>$A104*(($B104/((1+($B$99/$B$98))^$A104))/$B$100)</f>
        <v>4.8805509348805468E-2</v>
      </c>
    </row>
    <row r="105" spans="1:5" x14ac:dyDescent="0.2">
      <c r="A105">
        <v>3</v>
      </c>
      <c r="B105" s="7">
        <v>25</v>
      </c>
      <c r="C105" s="24">
        <f>$A105*(($B105/((1+($B$99/$B$98))^$A105))/$B$100)</f>
        <v>7.1164535116533936E-2</v>
      </c>
    </row>
    <row r="106" spans="1:5" x14ac:dyDescent="0.2">
      <c r="A106">
        <v>4</v>
      </c>
      <c r="B106" s="7">
        <v>25</v>
      </c>
      <c r="C106" s="24">
        <f>$A106*(($B106/((1+($B$99/$B$98))^$A106))/$B$100)</f>
        <v>9.2237147011106052E-2</v>
      </c>
    </row>
    <row r="107" spans="1:5" x14ac:dyDescent="0.2">
      <c r="A107">
        <v>5</v>
      </c>
      <c r="B107" s="7">
        <v>25</v>
      </c>
      <c r="C107" s="24">
        <f>$A107*(($B107/((1+($B$99/$B$98))^$A107))/$B$100)</f>
        <v>0.1120777444852377</v>
      </c>
    </row>
    <row r="108" spans="1:5" x14ac:dyDescent="0.2">
      <c r="A108">
        <v>6</v>
      </c>
      <c r="B108" s="7">
        <v>25</v>
      </c>
      <c r="C108" s="24">
        <f>$A108*(($B108/((1+($B$99/$B$98))^$A108))/$B$100)</f>
        <v>0.13073869224392112</v>
      </c>
    </row>
    <row r="109" spans="1:5" x14ac:dyDescent="0.2">
      <c r="A109">
        <v>7</v>
      </c>
      <c r="B109" s="7">
        <v>25</v>
      </c>
      <c r="C109" s="24">
        <f>$A109*(($B109/((1+($B$99/$B$98))^$A109))/$B$100)</f>
        <v>0.14827039145546284</v>
      </c>
    </row>
    <row r="110" spans="1:5" x14ac:dyDescent="0.2">
      <c r="A110">
        <v>8</v>
      </c>
      <c r="B110" s="7">
        <v>25</v>
      </c>
      <c r="C110" s="24">
        <f>$A110*(($B110/((1+($B$99/$B$98))^$A110))/$B$100)</f>
        <v>0.1647213485723335</v>
      </c>
    </row>
    <row r="111" spans="1:5" x14ac:dyDescent="0.2">
      <c r="A111">
        <v>9</v>
      </c>
      <c r="B111" s="7">
        <v>25</v>
      </c>
      <c r="C111" s="24">
        <f>$A111*(($B111/((1+($B$99/$B$98))^$A111))/$B$100)</f>
        <v>0.18013824183978466</v>
      </c>
    </row>
    <row r="112" spans="1:5" x14ac:dyDescent="0.2">
      <c r="A112">
        <v>10</v>
      </c>
      <c r="B112" s="7">
        <v>1025</v>
      </c>
      <c r="C112" s="24">
        <f>$A112*(($B112/((1+($B$99/$B$98))^$A112))/$B$100)</f>
        <v>7.9772054082755304</v>
      </c>
    </row>
    <row r="114" spans="1:5" ht="19" x14ac:dyDescent="0.25">
      <c r="A114" s="13" t="s">
        <v>43</v>
      </c>
    </row>
    <row r="116" spans="1:5" x14ac:dyDescent="0.2">
      <c r="A116" t="s">
        <v>45</v>
      </c>
      <c r="B116" s="23">
        <f>E103/(1+(B99/B98))</f>
        <v>4.3502978597752433</v>
      </c>
    </row>
    <row r="117" spans="1:5" x14ac:dyDescent="0.2">
      <c r="A117" t="s">
        <v>44</v>
      </c>
      <c r="B117" s="23">
        <f>MDURATION(DATE(2024,2,15),DATE(2029,2,15),5%,B99,2)</f>
        <v>4.3502978598045008</v>
      </c>
    </row>
    <row r="119" spans="1:5" ht="19" x14ac:dyDescent="0.25">
      <c r="A119" s="13" t="s">
        <v>46</v>
      </c>
    </row>
    <row r="121" spans="1:5" x14ac:dyDescent="0.2">
      <c r="A121" t="s">
        <v>37</v>
      </c>
      <c r="B121" t="s">
        <v>40</v>
      </c>
      <c r="C121" t="s">
        <v>42</v>
      </c>
      <c r="D121" t="s">
        <v>48</v>
      </c>
      <c r="E121" s="23" t="s">
        <v>47</v>
      </c>
    </row>
    <row r="122" spans="1:5" x14ac:dyDescent="0.2">
      <c r="A122" cm="1">
        <f t="array" ref="A122:A131">$A$73:$A$82</f>
        <v>1</v>
      </c>
      <c r="B122" s="7" cm="1">
        <f t="array" ref="B122:B131">$D$57:$D$66</f>
        <v>25</v>
      </c>
      <c r="C122" s="24">
        <f>($A122^2 + $A122)*(($B122/((1+($B$99/$B$98))^$A122))/$B$100)</f>
        <v>5.0207123651460295E-2</v>
      </c>
      <c r="D122" s="23">
        <f>1/(($B$98^2)*(1+($B$99/$B$98))^2)</f>
        <v>0.23623651366872681</v>
      </c>
      <c r="E122" s="23">
        <f>D122*SUM(C122:C131)</f>
        <v>22.38326840494355</v>
      </c>
    </row>
    <row r="123" spans="1:5" x14ac:dyDescent="0.2">
      <c r="A123">
        <v>2</v>
      </c>
      <c r="B123" s="7">
        <v>25</v>
      </c>
      <c r="C123" s="24">
        <f t="shared" ref="C123:C131" si="4">($A123^2 + $A123)*(($B123/((1+($B$99/$B$98))^$A123))/$B$100)</f>
        <v>0.14641652804641642</v>
      </c>
    </row>
    <row r="124" spans="1:5" x14ac:dyDescent="0.2">
      <c r="A124">
        <v>3</v>
      </c>
      <c r="B124" s="7">
        <v>25</v>
      </c>
      <c r="C124" s="24">
        <f t="shared" si="4"/>
        <v>0.28465814046613575</v>
      </c>
    </row>
    <row r="125" spans="1:5" x14ac:dyDescent="0.2">
      <c r="A125">
        <v>4</v>
      </c>
      <c r="B125" s="7">
        <v>25</v>
      </c>
      <c r="C125" s="24">
        <f t="shared" si="4"/>
        <v>0.46118573505553029</v>
      </c>
    </row>
    <row r="126" spans="1:5" x14ac:dyDescent="0.2">
      <c r="A126">
        <v>5</v>
      </c>
      <c r="B126" s="7">
        <v>25</v>
      </c>
      <c r="C126" s="24">
        <f t="shared" si="4"/>
        <v>0.6724664669114262</v>
      </c>
    </row>
    <row r="127" spans="1:5" x14ac:dyDescent="0.2">
      <c r="A127">
        <v>6</v>
      </c>
      <c r="B127" s="7">
        <v>25</v>
      </c>
      <c r="C127" s="24">
        <f t="shared" si="4"/>
        <v>0.91517084570744778</v>
      </c>
    </row>
    <row r="128" spans="1:5" x14ac:dyDescent="0.2">
      <c r="A128">
        <v>7</v>
      </c>
      <c r="B128" s="7">
        <v>25</v>
      </c>
      <c r="C128" s="24">
        <f t="shared" si="4"/>
        <v>1.1861631316437027</v>
      </c>
    </row>
    <row r="129" spans="1:3" x14ac:dyDescent="0.2">
      <c r="A129">
        <v>8</v>
      </c>
      <c r="B129" s="7">
        <v>25</v>
      </c>
      <c r="C129" s="24">
        <f t="shared" si="4"/>
        <v>1.4824921371510016</v>
      </c>
    </row>
    <row r="130" spans="1:3" x14ac:dyDescent="0.2">
      <c r="A130">
        <v>9</v>
      </c>
      <c r="B130" s="7">
        <v>25</v>
      </c>
      <c r="C130" s="24">
        <f t="shared" si="4"/>
        <v>1.8013824183978466</v>
      </c>
    </row>
    <row r="131" spans="1:3" x14ac:dyDescent="0.2">
      <c r="A131">
        <v>10</v>
      </c>
      <c r="B131" s="7">
        <v>1025</v>
      </c>
      <c r="C131" s="24">
        <f t="shared" si="4"/>
        <v>87.749259491030841</v>
      </c>
    </row>
    <row r="144" spans="1:3" ht="19" x14ac:dyDescent="0.25">
      <c r="A144" s="13" t="s">
        <v>49</v>
      </c>
    </row>
    <row r="145" spans="1:6" x14ac:dyDescent="0.2">
      <c r="A145" t="s">
        <v>50</v>
      </c>
      <c r="B145" s="2">
        <v>0.01</v>
      </c>
    </row>
    <row r="147" spans="1:6" x14ac:dyDescent="0.2">
      <c r="A147" t="s">
        <v>1</v>
      </c>
      <c r="B147" t="s">
        <v>25</v>
      </c>
      <c r="C147" t="s">
        <v>4</v>
      </c>
      <c r="D147" t="s">
        <v>2</v>
      </c>
      <c r="E147" t="s">
        <v>29</v>
      </c>
      <c r="F147" s="3" t="s">
        <v>30</v>
      </c>
    </row>
    <row r="148" spans="1:6" x14ac:dyDescent="0.2">
      <c r="A148">
        <v>1</v>
      </c>
      <c r="B148" s="2" cm="1">
        <f t="array" ref="B148:B157">$B$57:$B$66+B145</f>
        <v>0.03</v>
      </c>
      <c r="C148" s="10">
        <f>1/((1+($B148/$B$53))^$A148)</f>
        <v>0.98522167487684742</v>
      </c>
      <c r="D148" s="15">
        <f>$B$51*$B$52/$B$53</f>
        <v>25</v>
      </c>
      <c r="E148" s="19">
        <f>$C148*$D148</f>
        <v>24.630541871921185</v>
      </c>
      <c r="F148" s="20">
        <f>SUM(E148:E157)</f>
        <v>927.13994922839356</v>
      </c>
    </row>
    <row r="149" spans="1:6" x14ac:dyDescent="0.2">
      <c r="A149">
        <f>A148+1</f>
        <v>2</v>
      </c>
      <c r="B149" s="2">
        <v>0.04</v>
      </c>
      <c r="C149" s="10">
        <f>1/((1+($B149/$B$53))^$A149)</f>
        <v>0.96116878123798544</v>
      </c>
      <c r="D149" s="15">
        <f t="shared" ref="D149:D156" si="5">$B$51*$B$52/$B$53</f>
        <v>25</v>
      </c>
      <c r="E149" s="19">
        <f>$C149*$D149</f>
        <v>24.029219530949636</v>
      </c>
    </row>
    <row r="150" spans="1:6" x14ac:dyDescent="0.2">
      <c r="A150">
        <f>A149+1</f>
        <v>3</v>
      </c>
      <c r="B150" s="18">
        <v>4.6700000000000005E-2</v>
      </c>
      <c r="C150" s="10">
        <f>1/((1+($B150/$B$53))^$A150)</f>
        <v>0.9330983432004919</v>
      </c>
      <c r="D150" s="15">
        <f t="shared" si="5"/>
        <v>25</v>
      </c>
      <c r="E150" s="19">
        <f>$C150*$D150</f>
        <v>23.327458580012298</v>
      </c>
    </row>
    <row r="151" spans="1:6" x14ac:dyDescent="0.2">
      <c r="A151">
        <f>A150+1</f>
        <v>4</v>
      </c>
      <c r="B151" s="18">
        <v>5.1700000000000003E-2</v>
      </c>
      <c r="C151" s="10">
        <f>1/((1+($B151/$B$53))^$A151)</f>
        <v>0.90295175999887423</v>
      </c>
      <c r="D151" s="15">
        <f t="shared" si="5"/>
        <v>25</v>
      </c>
      <c r="E151" s="19">
        <f>$C151*$D151</f>
        <v>22.573793999971855</v>
      </c>
    </row>
    <row r="152" spans="1:6" x14ac:dyDescent="0.2">
      <c r="A152">
        <f>A151+1</f>
        <v>5</v>
      </c>
      <c r="B152" s="18">
        <v>5.57E-2</v>
      </c>
      <c r="C152" s="10">
        <f>1/((1+($B152/$B$53))^$A152)</f>
        <v>0.87166839361742754</v>
      </c>
      <c r="D152" s="15">
        <f t="shared" si="5"/>
        <v>25</v>
      </c>
      <c r="E152" s="19">
        <f>$C152*$D152</f>
        <v>21.79170984043569</v>
      </c>
    </row>
    <row r="153" spans="1:6" x14ac:dyDescent="0.2">
      <c r="A153">
        <f t="shared" ref="A153:A157" si="6">A152+1</f>
        <v>6</v>
      </c>
      <c r="B153" s="18">
        <v>5.9000000000000004E-2</v>
      </c>
      <c r="C153" s="10">
        <f>1/((1+($B153/$B$53))^$A153)</f>
        <v>0.83992768098694681</v>
      </c>
      <c r="D153" s="15">
        <f t="shared" si="5"/>
        <v>25</v>
      </c>
      <c r="E153" s="19">
        <f>$C153*$D153</f>
        <v>20.998192024673671</v>
      </c>
    </row>
    <row r="154" spans="1:6" x14ac:dyDescent="0.2">
      <c r="A154">
        <f t="shared" si="6"/>
        <v>7</v>
      </c>
      <c r="B154" s="18">
        <v>6.1900000000000004E-2</v>
      </c>
      <c r="C154" s="10">
        <f>1/((1+($B154/$B$53))^$A154)</f>
        <v>0.80786125382003782</v>
      </c>
      <c r="D154" s="15">
        <f t="shared" si="5"/>
        <v>25</v>
      </c>
      <c r="E154" s="19">
        <f>$C154*$D154</f>
        <v>20.196531345500944</v>
      </c>
    </row>
    <row r="155" spans="1:6" x14ac:dyDescent="0.2">
      <c r="A155">
        <f t="shared" si="6"/>
        <v>8</v>
      </c>
      <c r="B155" s="18">
        <v>6.4399999999999999E-2</v>
      </c>
      <c r="C155" s="10">
        <f>1/((1+($B155/$B$53))^$A155)</f>
        <v>0.77604903306172346</v>
      </c>
      <c r="D155" s="15">
        <f t="shared" si="5"/>
        <v>25</v>
      </c>
      <c r="E155" s="19">
        <f>$C155*$D155</f>
        <v>19.401225826543087</v>
      </c>
    </row>
    <row r="156" spans="1:6" x14ac:dyDescent="0.2">
      <c r="A156">
        <f t="shared" si="6"/>
        <v>9</v>
      </c>
      <c r="B156" s="18">
        <v>6.6599999999999993E-2</v>
      </c>
      <c r="C156" s="10">
        <f>1/((1+($B156/$B$53))^$A156)</f>
        <v>0.74466704635557901</v>
      </c>
      <c r="D156" s="15">
        <f t="shared" si="5"/>
        <v>25</v>
      </c>
      <c r="E156" s="19">
        <f>$C156*$D156</f>
        <v>18.616676158889476</v>
      </c>
    </row>
    <row r="157" spans="1:6" x14ac:dyDescent="0.2">
      <c r="A157">
        <f t="shared" si="6"/>
        <v>10</v>
      </c>
      <c r="B157" s="18">
        <v>6.8599999999999994E-2</v>
      </c>
      <c r="C157" s="10">
        <f>1/((1+($B157/$B$53))^$A157)</f>
        <v>0.71373131712145932</v>
      </c>
      <c r="D157" s="15">
        <f>$B$51*$B$52/$B$53+$B$51</f>
        <v>1025</v>
      </c>
      <c r="E157" s="19">
        <f>$C157*$D157</f>
        <v>731.57460004949576</v>
      </c>
    </row>
    <row r="159" spans="1:6" ht="19" x14ac:dyDescent="0.25">
      <c r="A159" s="13" t="s">
        <v>51</v>
      </c>
    </row>
    <row r="160" spans="1:6" x14ac:dyDescent="0.2">
      <c r="A160" t="s">
        <v>50</v>
      </c>
      <c r="B160" s="2">
        <v>-0.01</v>
      </c>
    </row>
    <row r="162" spans="1:6" x14ac:dyDescent="0.2">
      <c r="A162" t="s">
        <v>1</v>
      </c>
      <c r="B162" t="s">
        <v>25</v>
      </c>
      <c r="C162" t="s">
        <v>4</v>
      </c>
      <c r="D162" t="s">
        <v>2</v>
      </c>
      <c r="E162" t="s">
        <v>29</v>
      </c>
      <c r="F162" s="3" t="s">
        <v>30</v>
      </c>
    </row>
    <row r="163" spans="1:6" x14ac:dyDescent="0.2">
      <c r="A163">
        <v>1</v>
      </c>
      <c r="B163" s="2" cm="1">
        <f t="array" ref="B163:B172">$B$57:$B$66+B160</f>
        <v>0.01</v>
      </c>
      <c r="C163" s="10">
        <f>1/((1+($B163/$B$53))^$A163)</f>
        <v>0.99502487562189068</v>
      </c>
      <c r="D163" s="15">
        <f>$B$51*$B$52/$B$53</f>
        <v>25</v>
      </c>
      <c r="E163" s="19">
        <f>$C163*$D163</f>
        <v>24.875621890547269</v>
      </c>
      <c r="F163" s="20">
        <f>SUM(E163:E172)</f>
        <v>1011.1640405377015</v>
      </c>
    </row>
    <row r="164" spans="1:6" x14ac:dyDescent="0.2">
      <c r="A164">
        <f>A163+1</f>
        <v>2</v>
      </c>
      <c r="B164" s="2">
        <v>1.9999999999999997E-2</v>
      </c>
      <c r="C164" s="10">
        <f>1/((1+($B164/$B$53))^$A164)</f>
        <v>0.98029604940692083</v>
      </c>
      <c r="D164" s="15">
        <f t="shared" ref="D164:D171" si="7">$B$51*$B$52/$B$53</f>
        <v>25</v>
      </c>
      <c r="E164" s="19">
        <f>$C164*$D164</f>
        <v>24.50740123517302</v>
      </c>
    </row>
    <row r="165" spans="1:6" x14ac:dyDescent="0.2">
      <c r="A165">
        <f>A164+1</f>
        <v>3</v>
      </c>
      <c r="B165" s="18">
        <v>2.6700000000000002E-2</v>
      </c>
      <c r="C165" s="10">
        <f>1/((1+($B165/$B$53))^$A165)</f>
        <v>0.96099600999614299</v>
      </c>
      <c r="D165" s="15">
        <f t="shared" si="7"/>
        <v>25</v>
      </c>
      <c r="E165" s="19">
        <f>$C165*$D165</f>
        <v>24.024900249903574</v>
      </c>
    </row>
    <row r="166" spans="1:6" x14ac:dyDescent="0.2">
      <c r="A166">
        <f>A165+1</f>
        <v>4</v>
      </c>
      <c r="B166" s="18">
        <v>3.1699999999999999E-2</v>
      </c>
      <c r="C166" s="10">
        <f>1/((1+($B166/$B$53))^$A166)</f>
        <v>0.9390347416970215</v>
      </c>
      <c r="D166" s="15">
        <f t="shared" si="7"/>
        <v>25</v>
      </c>
      <c r="E166" s="19">
        <f>$C166*$D166</f>
        <v>23.475868542425538</v>
      </c>
    </row>
    <row r="167" spans="1:6" x14ac:dyDescent="0.2">
      <c r="A167">
        <f>A166+1</f>
        <v>5</v>
      </c>
      <c r="B167" s="18">
        <v>3.5699999999999996E-2</v>
      </c>
      <c r="C167" s="10">
        <f>1/((1+($B167/$B$53))^$A167)</f>
        <v>0.9153371627918816</v>
      </c>
      <c r="D167" s="15">
        <f t="shared" si="7"/>
        <v>25</v>
      </c>
      <c r="E167" s="19">
        <f>$C167*$D167</f>
        <v>22.883429069797039</v>
      </c>
    </row>
    <row r="168" spans="1:6" x14ac:dyDescent="0.2">
      <c r="A168">
        <f t="shared" ref="A168:A172" si="8">A167+1</f>
        <v>6</v>
      </c>
      <c r="B168" s="18">
        <v>3.9E-2</v>
      </c>
      <c r="C168" s="10">
        <f>1/((1+($B168/$B$53))^$A168)</f>
        <v>0.89058754941023544</v>
      </c>
      <c r="D168" s="15">
        <f t="shared" si="7"/>
        <v>25</v>
      </c>
      <c r="E168" s="19">
        <f>$C168*$D168</f>
        <v>22.264688735255884</v>
      </c>
    </row>
    <row r="169" spans="1:6" x14ac:dyDescent="0.2">
      <c r="A169">
        <f t="shared" si="8"/>
        <v>7</v>
      </c>
      <c r="B169" s="18">
        <v>4.19E-2</v>
      </c>
      <c r="C169" s="10">
        <f>1/((1+($B169/$B$53))^$A169)</f>
        <v>0.86490555350727827</v>
      </c>
      <c r="D169" s="15">
        <f t="shared" si="7"/>
        <v>25</v>
      </c>
      <c r="E169" s="19">
        <f>$C169*$D169</f>
        <v>21.622638837681958</v>
      </c>
    </row>
    <row r="170" spans="1:6" x14ac:dyDescent="0.2">
      <c r="A170">
        <f t="shared" si="8"/>
        <v>8</v>
      </c>
      <c r="B170" s="18">
        <v>4.4399999999999995E-2</v>
      </c>
      <c r="C170" s="10">
        <f>1/((1+($B170/$B$53))^$A170)</f>
        <v>0.83890539440738188</v>
      </c>
      <c r="D170" s="15">
        <f t="shared" si="7"/>
        <v>25</v>
      </c>
      <c r="E170" s="19">
        <f>$C170*$D170</f>
        <v>20.972634860184549</v>
      </c>
    </row>
    <row r="171" spans="1:6" x14ac:dyDescent="0.2">
      <c r="A171">
        <f t="shared" si="8"/>
        <v>9</v>
      </c>
      <c r="B171" s="18">
        <v>4.6599999999999996E-2</v>
      </c>
      <c r="C171" s="10">
        <f>1/((1+($B171/$B$53))^$A171)</f>
        <v>0.81278042001613571</v>
      </c>
      <c r="D171" s="15">
        <f t="shared" si="7"/>
        <v>25</v>
      </c>
      <c r="E171" s="19">
        <f>$C171*$D171</f>
        <v>20.319510500403393</v>
      </c>
    </row>
    <row r="172" spans="1:6" x14ac:dyDescent="0.2">
      <c r="A172">
        <f t="shared" si="8"/>
        <v>10</v>
      </c>
      <c r="B172" s="18">
        <v>4.8599999999999997E-2</v>
      </c>
      <c r="C172" s="10">
        <f>1/((1+($B172/$B$53))^$A172)</f>
        <v>0.78655350889397968</v>
      </c>
      <c r="D172" s="15">
        <f>$B$51*$B$52/$B$53+$B$51</f>
        <v>1025</v>
      </c>
      <c r="E172" s="19">
        <f>$C172*$D172</f>
        <v>806.21734661632922</v>
      </c>
    </row>
    <row r="174" spans="1:6" ht="19" x14ac:dyDescent="0.25">
      <c r="A174" s="13" t="s">
        <v>52</v>
      </c>
    </row>
    <row r="175" spans="1:6" x14ac:dyDescent="0.2">
      <c r="A175" t="s">
        <v>53</v>
      </c>
      <c r="B175" s="27">
        <f>(F163-F148)/(2*(B145)*$F$57)</f>
        <v>4.3397594536040849</v>
      </c>
    </row>
    <row r="176" spans="1:6" x14ac:dyDescent="0.2">
      <c r="B176" s="25"/>
    </row>
    <row r="177" spans="1:3" ht="19" x14ac:dyDescent="0.25">
      <c r="A177" s="13" t="s">
        <v>55</v>
      </c>
      <c r="B177" s="25"/>
    </row>
    <row r="178" spans="1:3" x14ac:dyDescent="0.2">
      <c r="C178" t="s">
        <v>60</v>
      </c>
    </row>
    <row r="179" spans="1:3" x14ac:dyDescent="0.2">
      <c r="A179" t="s">
        <v>56</v>
      </c>
      <c r="B179" s="6">
        <f>-$B$116*B145*$F$57+$F$57</f>
        <v>925.95907587272814</v>
      </c>
      <c r="C179" s="26">
        <f>B179-F148</f>
        <v>-1.1808733556654261</v>
      </c>
    </row>
    <row r="180" spans="1:3" x14ac:dyDescent="0.2">
      <c r="A180" t="s">
        <v>57</v>
      </c>
      <c r="B180" s="6">
        <f>-$B$116*B160*$F$57+$F$57</f>
        <v>1010.1872061413023</v>
      </c>
      <c r="C180" s="26">
        <f>B180-F163</f>
        <v>-0.97683439639911285</v>
      </c>
    </row>
    <row r="181" spans="1:3" ht="19" x14ac:dyDescent="0.25">
      <c r="A181" s="13"/>
    </row>
    <row r="182" spans="1:3" ht="19" x14ac:dyDescent="0.25">
      <c r="A182" s="13" t="s">
        <v>54</v>
      </c>
    </row>
    <row r="183" spans="1:3" x14ac:dyDescent="0.2">
      <c r="C183" t="s">
        <v>60</v>
      </c>
    </row>
    <row r="184" spans="1:3" x14ac:dyDescent="0.2">
      <c r="A184" t="s">
        <v>56</v>
      </c>
      <c r="B184" s="6">
        <f>(-$B$116*B145+0.5*$E$122*(B145^2))*$F$57+$F$57</f>
        <v>927.04250792026687</v>
      </c>
      <c r="C184" s="26">
        <f>B184-F148</f>
        <v>-9.7441308126690274E-2</v>
      </c>
    </row>
    <row r="185" spans="1:3" x14ac:dyDescent="0.2">
      <c r="A185" t="s">
        <v>57</v>
      </c>
      <c r="B185" s="6">
        <f>(-$B$116*B160+0.5*$E$122*(B160^2))*$F$57+$F$57</f>
        <v>1011.2706381888412</v>
      </c>
      <c r="C185" s="26">
        <f>B185-F163</f>
        <v>0.10659765113973663</v>
      </c>
    </row>
    <row r="192" spans="1:3" ht="19" x14ac:dyDescent="0.25">
      <c r="A192" s="13" t="s">
        <v>58</v>
      </c>
    </row>
    <row r="193" spans="1:6" x14ac:dyDescent="0.2">
      <c r="A193" t="s">
        <v>50</v>
      </c>
      <c r="B193" s="18">
        <v>2.5000000000000001E-3</v>
      </c>
    </row>
    <row r="195" spans="1:6" x14ac:dyDescent="0.2">
      <c r="A195" t="s">
        <v>1</v>
      </c>
      <c r="B195" t="s">
        <v>25</v>
      </c>
      <c r="C195" t="s">
        <v>4</v>
      </c>
      <c r="D195" t="s">
        <v>2</v>
      </c>
      <c r="E195" t="s">
        <v>29</v>
      </c>
      <c r="F195" s="3" t="s">
        <v>30</v>
      </c>
    </row>
    <row r="196" spans="1:6" x14ac:dyDescent="0.2">
      <c r="A196">
        <v>1</v>
      </c>
      <c r="B196" s="2" cm="1">
        <f t="array" ref="B196:B205">$B$57:$B$66+B193</f>
        <v>2.2499999999999999E-2</v>
      </c>
      <c r="C196" s="10">
        <f>1/((1+($B196/$B$53))^$A196)</f>
        <v>0.9888751545117429</v>
      </c>
      <c r="D196" s="15">
        <f>$B$51*$B$52/$B$53</f>
        <v>25</v>
      </c>
      <c r="E196" s="19">
        <f>$C196*$D196</f>
        <v>24.721878862793574</v>
      </c>
      <c r="F196" s="20">
        <f>SUM(E196:E205)</f>
        <v>957.64235541085213</v>
      </c>
    </row>
    <row r="197" spans="1:6" x14ac:dyDescent="0.2">
      <c r="A197">
        <f>A196+1</f>
        <v>2</v>
      </c>
      <c r="B197" s="2">
        <v>3.2500000000000001E-2</v>
      </c>
      <c r="C197" s="10">
        <f>1/((1+($B197/$B$53))^$A197)</f>
        <v>0.96827536541048043</v>
      </c>
      <c r="D197" s="15">
        <f t="shared" ref="D197:D204" si="9">$B$51*$B$52/$B$53</f>
        <v>25</v>
      </c>
      <c r="E197" s="19">
        <f>$C197*$D197</f>
        <v>24.206884135262012</v>
      </c>
    </row>
    <row r="198" spans="1:6" x14ac:dyDescent="0.2">
      <c r="A198">
        <f>A197+1</f>
        <v>3</v>
      </c>
      <c r="B198" s="18">
        <v>3.9200000000000006E-2</v>
      </c>
      <c r="C198" s="10">
        <f>1/((1+($B198/$B$53))^$A198)</f>
        <v>0.94343181912848972</v>
      </c>
      <c r="D198" s="15">
        <f t="shared" si="9"/>
        <v>25</v>
      </c>
      <c r="E198" s="19">
        <f>$C198*$D198</f>
        <v>23.585795478212244</v>
      </c>
    </row>
    <row r="199" spans="1:6" x14ac:dyDescent="0.2">
      <c r="A199">
        <f>A198+1</f>
        <v>4</v>
      </c>
      <c r="B199" s="18">
        <v>4.4200000000000003E-2</v>
      </c>
      <c r="C199" s="10">
        <f>1/((1+($B199/$B$53))^$A199)</f>
        <v>0.91627628609579004</v>
      </c>
      <c r="D199" s="15">
        <f t="shared" si="9"/>
        <v>25</v>
      </c>
      <c r="E199" s="19">
        <f>$C199*$D199</f>
        <v>22.906907152394751</v>
      </c>
    </row>
    <row r="200" spans="1:6" x14ac:dyDescent="0.2">
      <c r="A200">
        <f>A199+1</f>
        <v>5</v>
      </c>
      <c r="B200" s="18">
        <v>4.82E-2</v>
      </c>
      <c r="C200" s="10">
        <f>1/((1+($B200/$B$53))^$A200)</f>
        <v>0.88774486585712731</v>
      </c>
      <c r="D200" s="15">
        <f t="shared" si="9"/>
        <v>25</v>
      </c>
      <c r="E200" s="19">
        <f>$C200*$D200</f>
        <v>22.193621646428184</v>
      </c>
    </row>
    <row r="201" spans="1:6" x14ac:dyDescent="0.2">
      <c r="A201">
        <f t="shared" ref="A201:A205" si="10">A200+1</f>
        <v>6</v>
      </c>
      <c r="B201" s="18">
        <v>5.1500000000000004E-2</v>
      </c>
      <c r="C201" s="10">
        <f>1/((1+($B201/$B$53))^$A201)</f>
        <v>0.85852084858538835</v>
      </c>
      <c r="D201" s="15">
        <f t="shared" si="9"/>
        <v>25</v>
      </c>
      <c r="E201" s="19">
        <f>$C201*$D201</f>
        <v>21.463021214634708</v>
      </c>
    </row>
    <row r="202" spans="1:6" x14ac:dyDescent="0.2">
      <c r="A202">
        <f t="shared" si="10"/>
        <v>7</v>
      </c>
      <c r="B202" s="18">
        <v>5.4400000000000004E-2</v>
      </c>
      <c r="C202" s="10">
        <f>1/((1+($B202/$B$53))^$A202)</f>
        <v>0.82873355760328304</v>
      </c>
      <c r="D202" s="15">
        <f t="shared" si="9"/>
        <v>25</v>
      </c>
      <c r="E202" s="19">
        <f>$C202*$D202</f>
        <v>20.718338940082077</v>
      </c>
    </row>
    <row r="203" spans="1:6" x14ac:dyDescent="0.2">
      <c r="A203">
        <f t="shared" si="10"/>
        <v>8</v>
      </c>
      <c r="B203" s="18">
        <v>5.6899999999999999E-2</v>
      </c>
      <c r="C203" s="10">
        <f>1/((1+($B203/$B$53))^$A203)</f>
        <v>0.79897748264328194</v>
      </c>
      <c r="D203" s="15">
        <f t="shared" si="9"/>
        <v>25</v>
      </c>
      <c r="E203" s="19">
        <f>$C203*$D203</f>
        <v>19.97443706608205</v>
      </c>
    </row>
    <row r="204" spans="1:6" x14ac:dyDescent="0.2">
      <c r="A204">
        <f t="shared" si="10"/>
        <v>9</v>
      </c>
      <c r="B204" s="18">
        <v>5.91E-2</v>
      </c>
      <c r="C204" s="10">
        <f>1/((1+($B204/$B$53))^$A204)</f>
        <v>0.76943690632236439</v>
      </c>
      <c r="D204" s="15">
        <f t="shared" si="9"/>
        <v>25</v>
      </c>
      <c r="E204" s="19">
        <f>$C204*$D204</f>
        <v>19.23592265805911</v>
      </c>
    </row>
    <row r="205" spans="1:6" x14ac:dyDescent="0.2">
      <c r="A205">
        <f t="shared" si="10"/>
        <v>10</v>
      </c>
      <c r="B205" s="18">
        <v>6.1100000000000002E-2</v>
      </c>
      <c r="C205" s="10">
        <f>1/((1+($B205/$B$53))^$A205)</f>
        <v>0.74013224220185703</v>
      </c>
      <c r="D205" s="15">
        <f>$B$51*$B$52/$B$53+$B$51</f>
        <v>1025</v>
      </c>
      <c r="E205" s="19">
        <f>$C205*$D205</f>
        <v>758.63554825690346</v>
      </c>
    </row>
    <row r="207" spans="1:6" ht="19" x14ac:dyDescent="0.25">
      <c r="A207" s="13" t="s">
        <v>59</v>
      </c>
    </row>
    <row r="208" spans="1:6" x14ac:dyDescent="0.2">
      <c r="A208" t="s">
        <v>50</v>
      </c>
      <c r="B208" s="18">
        <v>-2.5000000000000001E-3</v>
      </c>
    </row>
    <row r="210" spans="1:6" x14ac:dyDescent="0.2">
      <c r="A210" t="s">
        <v>1</v>
      </c>
      <c r="B210" t="s">
        <v>25</v>
      </c>
      <c r="C210" t="s">
        <v>4</v>
      </c>
      <c r="D210" t="s">
        <v>2</v>
      </c>
      <c r="E210" t="s">
        <v>29</v>
      </c>
      <c r="F210" s="3" t="s">
        <v>30</v>
      </c>
    </row>
    <row r="211" spans="1:6" x14ac:dyDescent="0.2">
      <c r="A211">
        <v>1</v>
      </c>
      <c r="B211" s="2" cm="1">
        <f t="array" ref="B211:B220">$B$57:$B$66+B208</f>
        <v>1.7500000000000002E-2</v>
      </c>
      <c r="C211" s="10">
        <f>1/((1+($B211/$B$53))^$A211)</f>
        <v>0.99132589838909535</v>
      </c>
      <c r="D211" s="15">
        <f>$B$51*$B$52/$B$53</f>
        <v>25</v>
      </c>
      <c r="E211" s="19">
        <f>$C211*$D211</f>
        <v>24.783147459727385</v>
      </c>
      <c r="F211" s="20">
        <f>SUM(E211:E220)</f>
        <v>978.63874577184606</v>
      </c>
    </row>
    <row r="212" spans="1:6" x14ac:dyDescent="0.2">
      <c r="A212">
        <f>A211+1</f>
        <v>2</v>
      </c>
      <c r="B212" s="2">
        <v>2.75E-2</v>
      </c>
      <c r="C212" s="10">
        <f>1/((1+($B212/$B$53))^$A212)</f>
        <v>0.97305696488328641</v>
      </c>
      <c r="D212" s="15">
        <f t="shared" ref="D212:D219" si="11">$B$51*$B$52/$B$53</f>
        <v>25</v>
      </c>
      <c r="E212" s="19">
        <f>$C212*$D212</f>
        <v>24.326424122082159</v>
      </c>
    </row>
    <row r="213" spans="1:6" x14ac:dyDescent="0.2">
      <c r="A213">
        <f>A212+1</f>
        <v>3</v>
      </c>
      <c r="B213" s="18">
        <v>3.4200000000000001E-2</v>
      </c>
      <c r="C213" s="10">
        <f>1/((1+($B213/$B$53))^$A213)</f>
        <v>0.95040571042476629</v>
      </c>
      <c r="D213" s="15">
        <f t="shared" si="11"/>
        <v>25</v>
      </c>
      <c r="E213" s="19">
        <f>$C213*$D213</f>
        <v>23.760142760619157</v>
      </c>
    </row>
    <row r="214" spans="1:6" x14ac:dyDescent="0.2">
      <c r="A214">
        <f>A213+1</f>
        <v>4</v>
      </c>
      <c r="B214" s="18">
        <v>3.9199999999999999E-2</v>
      </c>
      <c r="C214" s="10">
        <f>1/((1+($B214/$B$53))^$A214)</f>
        <v>0.92529601719153554</v>
      </c>
      <c r="D214" s="15">
        <f t="shared" si="11"/>
        <v>25</v>
      </c>
      <c r="E214" s="19">
        <f>$C214*$D214</f>
        <v>23.132400429788387</v>
      </c>
    </row>
    <row r="215" spans="1:6" x14ac:dyDescent="0.2">
      <c r="A215">
        <f>A214+1</f>
        <v>5</v>
      </c>
      <c r="B215" s="18">
        <v>4.3199999999999995E-2</v>
      </c>
      <c r="C215" s="10">
        <f>1/((1+($B215/$B$53))^$A215)</f>
        <v>0.89866034630968739</v>
      </c>
      <c r="D215" s="15">
        <f t="shared" si="11"/>
        <v>25</v>
      </c>
      <c r="E215" s="19">
        <f>$C215*$D215</f>
        <v>22.466508657742185</v>
      </c>
    </row>
    <row r="216" spans="1:6" x14ac:dyDescent="0.2">
      <c r="A216">
        <f t="shared" ref="A216:A220" si="12">A215+1</f>
        <v>6</v>
      </c>
      <c r="B216" s="18">
        <v>4.65E-2</v>
      </c>
      <c r="C216" s="10">
        <f>1/((1+($B216/$B$53))^$A216)</f>
        <v>0.87118317643765275</v>
      </c>
      <c r="D216" s="15">
        <f t="shared" si="11"/>
        <v>25</v>
      </c>
      <c r="E216" s="19">
        <f>$C216*$D216</f>
        <v>21.77957941094132</v>
      </c>
    </row>
    <row r="217" spans="1:6" x14ac:dyDescent="0.2">
      <c r="A217">
        <f t="shared" si="12"/>
        <v>7</v>
      </c>
      <c r="B217" s="18">
        <v>4.9399999999999999E-2</v>
      </c>
      <c r="C217" s="10">
        <f>1/((1+($B217/$B$53))^$A217)</f>
        <v>0.84299082249065382</v>
      </c>
      <c r="D217" s="15">
        <f t="shared" si="11"/>
        <v>25</v>
      </c>
      <c r="E217" s="19">
        <f>$C217*$D217</f>
        <v>21.074770562266345</v>
      </c>
    </row>
    <row r="218" spans="1:6" x14ac:dyDescent="0.2">
      <c r="A218">
        <f t="shared" si="12"/>
        <v>8</v>
      </c>
      <c r="B218" s="18">
        <v>5.1899999999999995E-2</v>
      </c>
      <c r="C218" s="10">
        <f>1/((1+($B218/$B$53))^$A218)</f>
        <v>0.81468633818586955</v>
      </c>
      <c r="D218" s="15">
        <f t="shared" si="11"/>
        <v>25</v>
      </c>
      <c r="E218" s="19">
        <f>$C218*$D218</f>
        <v>20.367158454646738</v>
      </c>
    </row>
    <row r="219" spans="1:6" x14ac:dyDescent="0.2">
      <c r="A219">
        <f t="shared" si="12"/>
        <v>9</v>
      </c>
      <c r="B219" s="18">
        <v>5.4099999999999995E-2</v>
      </c>
      <c r="C219" s="10">
        <f>1/((1+($B219/$B$53))^$A219)</f>
        <v>0.78645833170965584</v>
      </c>
      <c r="D219" s="15">
        <f t="shared" si="11"/>
        <v>25</v>
      </c>
      <c r="E219" s="19">
        <f>$C219*$D219</f>
        <v>19.661458292741397</v>
      </c>
    </row>
    <row r="220" spans="1:6" x14ac:dyDescent="0.2">
      <c r="A220">
        <f t="shared" si="12"/>
        <v>10</v>
      </c>
      <c r="B220" s="18">
        <v>5.6099999999999997E-2</v>
      </c>
      <c r="C220" s="10">
        <f>1/((1+($B220/$B$53))^$A220)</f>
        <v>0.75832893231345455</v>
      </c>
      <c r="D220" s="15">
        <f>$B$51*$B$52/$B$53+$B$51</f>
        <v>1025</v>
      </c>
      <c r="E220" s="19">
        <f>$C220*$D220</f>
        <v>777.28715562129094</v>
      </c>
    </row>
    <row r="222" spans="1:6" ht="19" x14ac:dyDescent="0.25">
      <c r="A222" s="13" t="s">
        <v>52</v>
      </c>
    </row>
    <row r="223" spans="1:6" x14ac:dyDescent="0.2">
      <c r="A223" t="s">
        <v>53</v>
      </c>
      <c r="B223" s="27">
        <f>(F211-F196)/(2*(B193)*$F$57)</f>
        <v>4.3377694249740113</v>
      </c>
      <c r="D223" s="14">
        <f>(F211-F196)</f>
        <v>20.996390360993928</v>
      </c>
    </row>
    <row r="224" spans="1:6" x14ac:dyDescent="0.2">
      <c r="B224" s="25"/>
      <c r="D224" s="14">
        <f>(2*(B193)*$F$57)</f>
        <v>4.8403657050350759</v>
      </c>
    </row>
    <row r="225" spans="1:4" ht="19" x14ac:dyDescent="0.25">
      <c r="A225" s="13" t="s">
        <v>55</v>
      </c>
      <c r="B225" s="25"/>
    </row>
    <row r="226" spans="1:4" x14ac:dyDescent="0.2">
      <c r="C226" t="s">
        <v>60</v>
      </c>
    </row>
    <row r="227" spans="1:4" x14ac:dyDescent="0.2">
      <c r="A227" t="s">
        <v>62</v>
      </c>
      <c r="B227" s="6">
        <f>-$B$116*B193*$F$57+$F$57</f>
        <v>957.54462472344346</v>
      </c>
      <c r="C227" s="26">
        <f>B227-F196</f>
        <v>-9.7730687408670747E-2</v>
      </c>
      <c r="D227" s="29"/>
    </row>
    <row r="228" spans="1:4" x14ac:dyDescent="0.2">
      <c r="A228" t="s">
        <v>63</v>
      </c>
      <c r="B228" s="6">
        <f>-$B$116*B208*$F$57+$F$57</f>
        <v>978.60165729058701</v>
      </c>
      <c r="C228" s="26">
        <f>B228-F211</f>
        <v>-3.7088481259047512E-2</v>
      </c>
    </row>
    <row r="229" spans="1:4" ht="19" x14ac:dyDescent="0.25">
      <c r="A229" s="13"/>
    </row>
    <row r="230" spans="1:4" ht="19" x14ac:dyDescent="0.25">
      <c r="A230" s="13" t="s">
        <v>54</v>
      </c>
    </row>
    <row r="231" spans="1:4" x14ac:dyDescent="0.2">
      <c r="C231" t="s">
        <v>60</v>
      </c>
    </row>
    <row r="232" spans="1:4" x14ac:dyDescent="0.2">
      <c r="A232" t="s">
        <v>62</v>
      </c>
      <c r="B232" s="6">
        <f>(-$B$116*B193+0.5*$E$122*(B193^2))*$F$57+$F$57</f>
        <v>957.61233922641463</v>
      </c>
      <c r="C232" s="26">
        <f>B232-F196</f>
        <v>-3.001618443749976E-2</v>
      </c>
      <c r="D232" s="29"/>
    </row>
    <row r="233" spans="1:4" x14ac:dyDescent="0.2">
      <c r="A233" t="s">
        <v>63</v>
      </c>
      <c r="B233" s="6">
        <f>(-$B$116*B208+0.5*$E$122*(B208^2))*$F$57+$F$57</f>
        <v>978.66937179355818</v>
      </c>
      <c r="C233" s="26">
        <f>B233-F211</f>
        <v>3.0626021712123475E-2</v>
      </c>
    </row>
  </sheetData>
  <mergeCells count="2">
    <mergeCell ref="C25:F26"/>
    <mergeCell ref="A1:G2"/>
  </mergeCells>
  <pageMargins left="0.25" right="0.25" top="0.75" bottom="0.75" header="0.3" footer="0.3"/>
  <pageSetup paperSize="9" orientation="portrait" horizontalDpi="0" verticalDpi="0"/>
  <headerFooter>
    <oddHeader>&amp;L&amp;"System Font,Regular"&amp;10&amp;K000000ECON 136 Problemset 3&amp;RJohan Oelgaard
Rhys Blackmore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Guldborg Ølgaard</dc:creator>
  <cp:lastModifiedBy>Johan Guldborg Ølgaard</cp:lastModifiedBy>
  <cp:lastPrinted>2024-02-29T01:26:02Z</cp:lastPrinted>
  <dcterms:created xsi:type="dcterms:W3CDTF">2024-02-27T16:45:35Z</dcterms:created>
  <dcterms:modified xsi:type="dcterms:W3CDTF">2024-02-29T02:22:40Z</dcterms:modified>
</cp:coreProperties>
</file>